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ni/Dropbox/dissertation research/Summer_2019/Field_data_2019/"/>
    </mc:Choice>
  </mc:AlternateContent>
  <xr:revisionPtr revIDLastSave="0" documentId="8_{1481A908-66C5-0947-89D5-89CC93CFB935}" xr6:coauthVersionLast="45" xr6:coauthVersionMax="45" xr10:uidLastSave="{00000000-0000-0000-0000-000000000000}"/>
  <bookViews>
    <workbookView xWindow="1720" yWindow="460" windowWidth="29900" windowHeight="17620" xr2:uid="{00000000-000D-0000-FFFF-FFFF00000000}"/>
  </bookViews>
  <sheets>
    <sheet name="field_data_07252019" sheetId="1" r:id="rId1"/>
    <sheet name="surveys" sheetId="2" r:id="rId2"/>
    <sheet name="qpcr dates and notes" sheetId="4" r:id="rId3"/>
    <sheet name="Weather data and refs" sheetId="5" r:id="rId4"/>
    <sheet name="Notes color chart" sheetId="3" r:id="rId5"/>
    <sheet name="Sheet1" sheetId="6" r:id="rId6"/>
  </sheets>
  <definedNames>
    <definedName name="_xlnm._FilterDatabase" localSheetId="0" hidden="1">field_data_07252019!$A$1:$AN$1238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009" i="1" l="1"/>
  <c r="V1010" i="1"/>
  <c r="V1011" i="1"/>
  <c r="V1012" i="1"/>
  <c r="V1013" i="1"/>
  <c r="V1014" i="1"/>
  <c r="V1015" i="1"/>
  <c r="V1016" i="1"/>
  <c r="V1008" i="1"/>
  <c r="V1017" i="1"/>
  <c r="V1018" i="1"/>
  <c r="V1019" i="1"/>
  <c r="V1020" i="1"/>
  <c r="V1179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O1228" i="1"/>
  <c r="O1225" i="1"/>
  <c r="O1221" i="1"/>
  <c r="O1219" i="1"/>
  <c r="O1217" i="1"/>
  <c r="O1216" i="1"/>
  <c r="O1213" i="1"/>
  <c r="O1212" i="1"/>
  <c r="O1209" i="1"/>
  <c r="O1208" i="1"/>
  <c r="O1207" i="1"/>
  <c r="O1206" i="1"/>
  <c r="O1205" i="1"/>
  <c r="O1204" i="1"/>
  <c r="O1203" i="1"/>
  <c r="O1202" i="1"/>
  <c r="O1196" i="1"/>
  <c r="O1191" i="1"/>
  <c r="O1189" i="1"/>
  <c r="O1187" i="1"/>
  <c r="O1186" i="1"/>
  <c r="O1185" i="1"/>
  <c r="O1184" i="1"/>
  <c r="O1181" i="1"/>
  <c r="O1180" i="1"/>
  <c r="O1178" i="1"/>
  <c r="O1177" i="1"/>
  <c r="O1176" i="1"/>
  <c r="O1175" i="1"/>
  <c r="O1174" i="1"/>
  <c r="O1173" i="1"/>
  <c r="O1172" i="1"/>
  <c r="O1171" i="1"/>
  <c r="V1196" i="1" l="1"/>
  <c r="V1197" i="1"/>
  <c r="V1198" i="1"/>
  <c r="V1199" i="1"/>
  <c r="V1200" i="1"/>
  <c r="V1201" i="1"/>
  <c r="V1202" i="1"/>
  <c r="V1173" i="1"/>
  <c r="V1174" i="1"/>
  <c r="V1175" i="1"/>
  <c r="V1176" i="1"/>
  <c r="V1177" i="1"/>
  <c r="V1178" i="1"/>
  <c r="V1180" i="1"/>
  <c r="V1181" i="1"/>
  <c r="V1182" i="1"/>
  <c r="V1183" i="1"/>
  <c r="V1189" i="1"/>
  <c r="V1190" i="1"/>
  <c r="V1191" i="1"/>
  <c r="V1192" i="1"/>
  <c r="V1193" i="1"/>
  <c r="V1194" i="1"/>
  <c r="V1195" i="1"/>
  <c r="V1172" i="1"/>
  <c r="V1171" i="1"/>
  <c r="V1170" i="1"/>
  <c r="V1160" i="1" l="1"/>
  <c r="V1161" i="1"/>
  <c r="V1162" i="1"/>
  <c r="V1163" i="1"/>
  <c r="V1164" i="1"/>
  <c r="V1165" i="1"/>
  <c r="V1166" i="1"/>
  <c r="V1167" i="1"/>
  <c r="V1168" i="1"/>
  <c r="V1169" i="1"/>
  <c r="V1159" i="1"/>
  <c r="V1158" i="1"/>
  <c r="O1169" i="1"/>
  <c r="O1167" i="1"/>
  <c r="O1166" i="1"/>
  <c r="O1165" i="1"/>
  <c r="O1161" i="1"/>
  <c r="O1160" i="1"/>
  <c r="O1159" i="1"/>
  <c r="O1158" i="1"/>
  <c r="AL1162" i="1"/>
  <c r="AL1161" i="1"/>
  <c r="AL1160" i="1"/>
  <c r="AL1159" i="1"/>
  <c r="AL1158" i="1"/>
  <c r="V1143" i="1" l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40" i="1"/>
  <c r="V1141" i="1"/>
  <c r="V1142" i="1"/>
  <c r="V1129" i="1"/>
  <c r="V1130" i="1"/>
  <c r="V1131" i="1"/>
  <c r="V1132" i="1"/>
  <c r="V1133" i="1"/>
  <c r="V1134" i="1"/>
  <c r="V1135" i="1"/>
  <c r="V1136" i="1"/>
  <c r="V1137" i="1"/>
  <c r="V1138" i="1"/>
  <c r="V1157" i="1"/>
  <c r="V1156" i="1"/>
  <c r="V1139" i="1"/>
  <c r="V1040" i="1"/>
  <c r="V1041" i="1"/>
  <c r="V1042" i="1"/>
  <c r="V1043" i="1"/>
  <c r="V1044" i="1"/>
  <c r="V1045" i="1"/>
  <c r="V1023" i="1"/>
  <c r="V1024" i="1"/>
  <c r="V1025" i="1"/>
  <c r="V1026" i="1"/>
  <c r="V1027" i="1"/>
  <c r="V1029" i="1"/>
  <c r="V1030" i="1"/>
  <c r="V1031" i="1"/>
  <c r="V1032" i="1"/>
  <c r="V1033" i="1"/>
  <c r="V1034" i="1"/>
  <c r="V1035" i="1"/>
  <c r="V1037" i="1"/>
  <c r="V1038" i="1"/>
  <c r="V1039" i="1"/>
  <c r="V1022" i="1"/>
  <c r="V1021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075" i="1"/>
  <c r="V107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46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62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2" i="1"/>
  <c r="O1140" i="1"/>
  <c r="O1138" i="1"/>
  <c r="O1137" i="1"/>
  <c r="O1136" i="1"/>
  <c r="O1135" i="1"/>
  <c r="O1134" i="1"/>
  <c r="O1133" i="1"/>
  <c r="O1132" i="1"/>
  <c r="O1131" i="1"/>
  <c r="O1129" i="1"/>
  <c r="O1127" i="1"/>
  <c r="O1126" i="1"/>
  <c r="O1125" i="1"/>
  <c r="O1124" i="1"/>
  <c r="O1123" i="1"/>
  <c r="O1122" i="1"/>
  <c r="O1116" i="1"/>
  <c r="O1114" i="1"/>
  <c r="O1112" i="1"/>
  <c r="O1111" i="1"/>
  <c r="O1110" i="1"/>
  <c r="O1109" i="1"/>
  <c r="O1108" i="1"/>
  <c r="O1107" i="1"/>
  <c r="O1105" i="1"/>
  <c r="O1101" i="1"/>
  <c r="O1099" i="1"/>
  <c r="O1093" i="1"/>
  <c r="O1090" i="1"/>
  <c r="O1089" i="1"/>
  <c r="O1088" i="1"/>
  <c r="O1087" i="1"/>
  <c r="O1086" i="1"/>
  <c r="O1085" i="1"/>
  <c r="O1084" i="1"/>
  <c r="O1083" i="1"/>
  <c r="O1082" i="1"/>
  <c r="O1081" i="1"/>
  <c r="O1080" i="1"/>
  <c r="O1053" i="1"/>
  <c r="AL1077" i="1" l="1"/>
  <c r="AM1077" i="1"/>
  <c r="AN1077" i="1"/>
  <c r="AL1078" i="1"/>
  <c r="AM1078" i="1"/>
  <c r="AN1078" i="1"/>
  <c r="AL1079" i="1"/>
  <c r="AM1079" i="1"/>
  <c r="AN1079" i="1"/>
  <c r="AL1080" i="1"/>
  <c r="AM1080" i="1"/>
  <c r="AN1080" i="1"/>
  <c r="AL1081" i="1"/>
  <c r="AM1081" i="1"/>
  <c r="AN1081" i="1"/>
  <c r="AL1082" i="1"/>
  <c r="AM1082" i="1"/>
  <c r="AN1082" i="1"/>
  <c r="AL1083" i="1"/>
  <c r="AM1083" i="1"/>
  <c r="AN1083" i="1"/>
  <c r="AL1084" i="1"/>
  <c r="AM1084" i="1"/>
  <c r="AN1084" i="1"/>
  <c r="AL1085" i="1"/>
  <c r="AM1085" i="1"/>
  <c r="AN1085" i="1"/>
  <c r="AL1086" i="1"/>
  <c r="AM1086" i="1"/>
  <c r="AN1086" i="1"/>
  <c r="AL1087" i="1"/>
  <c r="AM1087" i="1"/>
  <c r="AN1087" i="1"/>
  <c r="AL1088" i="1"/>
  <c r="AM1088" i="1"/>
  <c r="AN1088" i="1"/>
  <c r="AL1089" i="1"/>
  <c r="AM1089" i="1"/>
  <c r="AN1089" i="1"/>
  <c r="AL1090" i="1"/>
  <c r="AM1090" i="1"/>
  <c r="AN1090" i="1"/>
  <c r="AL1091" i="1"/>
  <c r="AM1091" i="1"/>
  <c r="AN1091" i="1"/>
  <c r="AL1092" i="1"/>
  <c r="AM1092" i="1"/>
  <c r="AN1092" i="1"/>
  <c r="AL1093" i="1"/>
  <c r="AM1093" i="1"/>
  <c r="AN1093" i="1"/>
  <c r="AL1094" i="1"/>
  <c r="AM1094" i="1"/>
  <c r="AN1094" i="1"/>
  <c r="AL1095" i="1"/>
  <c r="AM1095" i="1"/>
  <c r="AN1095" i="1"/>
  <c r="AL1096" i="1"/>
  <c r="AM1096" i="1"/>
  <c r="AN1096" i="1"/>
  <c r="AL1097" i="1"/>
  <c r="AM1097" i="1"/>
  <c r="AN1097" i="1"/>
  <c r="AL1098" i="1"/>
  <c r="AM1098" i="1"/>
  <c r="AN1098" i="1"/>
  <c r="AL1099" i="1"/>
  <c r="AM1099" i="1"/>
  <c r="AN1099" i="1"/>
  <c r="AL1100" i="1"/>
  <c r="AM1100" i="1"/>
  <c r="AN1100" i="1"/>
  <c r="AL1101" i="1"/>
  <c r="AM1101" i="1"/>
  <c r="AN1101" i="1"/>
  <c r="AL1102" i="1"/>
  <c r="AM1102" i="1"/>
  <c r="AN1102" i="1"/>
  <c r="AL1103" i="1"/>
  <c r="AM1103" i="1"/>
  <c r="AN1103" i="1"/>
  <c r="AL1104" i="1"/>
  <c r="AM1104" i="1"/>
  <c r="AN1104" i="1"/>
  <c r="AL1105" i="1"/>
  <c r="AM1105" i="1"/>
  <c r="AN1105" i="1"/>
  <c r="AL1106" i="1"/>
  <c r="AM1106" i="1"/>
  <c r="AN1106" i="1"/>
  <c r="AL1107" i="1"/>
  <c r="AM1107" i="1"/>
  <c r="AN1107" i="1"/>
  <c r="AL1108" i="1"/>
  <c r="AM1108" i="1"/>
  <c r="AN1108" i="1"/>
  <c r="AL1109" i="1"/>
  <c r="AM1109" i="1"/>
  <c r="AN1109" i="1"/>
  <c r="AL1110" i="1"/>
  <c r="AM1110" i="1"/>
  <c r="AN1110" i="1"/>
  <c r="AL1111" i="1"/>
  <c r="AM1111" i="1"/>
  <c r="AN1111" i="1"/>
  <c r="AL1112" i="1"/>
  <c r="AM1112" i="1"/>
  <c r="AN1112" i="1"/>
  <c r="AL1113" i="1"/>
  <c r="AM1113" i="1"/>
  <c r="AN1113" i="1"/>
  <c r="AL1114" i="1"/>
  <c r="AM1114" i="1"/>
  <c r="AN1114" i="1"/>
  <c r="AL1115" i="1"/>
  <c r="AM1115" i="1"/>
  <c r="AN1115" i="1"/>
  <c r="AL1116" i="1"/>
  <c r="AM1116" i="1"/>
  <c r="AN1116" i="1"/>
  <c r="AL1117" i="1"/>
  <c r="AM1117" i="1"/>
  <c r="AN1117" i="1"/>
  <c r="AL1118" i="1"/>
  <c r="AM1118" i="1"/>
  <c r="AN1118" i="1"/>
  <c r="AL1119" i="1"/>
  <c r="AM1119" i="1"/>
  <c r="AN1119" i="1"/>
  <c r="AL1120" i="1"/>
  <c r="AM1120" i="1"/>
  <c r="AN1120" i="1"/>
  <c r="AL1121" i="1"/>
  <c r="AM1121" i="1"/>
  <c r="AN1121" i="1"/>
  <c r="AL1122" i="1"/>
  <c r="AM1122" i="1"/>
  <c r="AN1122" i="1"/>
  <c r="AL1123" i="1"/>
  <c r="AM1123" i="1"/>
  <c r="AN1123" i="1"/>
  <c r="AL1124" i="1"/>
  <c r="AM1124" i="1"/>
  <c r="AN1124" i="1"/>
  <c r="AL1125" i="1"/>
  <c r="AM1125" i="1"/>
  <c r="AN1125" i="1"/>
  <c r="AL1126" i="1"/>
  <c r="AM1126" i="1"/>
  <c r="AN1126" i="1"/>
  <c r="AL1127" i="1"/>
  <c r="AM1127" i="1"/>
  <c r="AN1127" i="1"/>
  <c r="AL1128" i="1"/>
  <c r="AM1128" i="1"/>
  <c r="AN1128" i="1"/>
  <c r="AL1129" i="1"/>
  <c r="AM1129" i="1"/>
  <c r="AN1129" i="1"/>
  <c r="AL1130" i="1"/>
  <c r="AM1130" i="1"/>
  <c r="AN1130" i="1"/>
  <c r="AL1131" i="1"/>
  <c r="AM1131" i="1"/>
  <c r="AN1131" i="1"/>
  <c r="AL1132" i="1"/>
  <c r="AM1132" i="1"/>
  <c r="AN1132" i="1"/>
  <c r="AL1133" i="1"/>
  <c r="AM1133" i="1"/>
  <c r="AN1133" i="1"/>
  <c r="AL1134" i="1"/>
  <c r="AM1134" i="1"/>
  <c r="AN1134" i="1"/>
  <c r="AL1135" i="1"/>
  <c r="AM1135" i="1"/>
  <c r="AN1135" i="1"/>
  <c r="AL1136" i="1"/>
  <c r="AM1136" i="1"/>
  <c r="AN1136" i="1"/>
  <c r="AL1137" i="1"/>
  <c r="AM1137" i="1"/>
  <c r="AN1137" i="1"/>
  <c r="AL1138" i="1"/>
  <c r="AM1138" i="1"/>
  <c r="AN1138" i="1"/>
  <c r="AL1139" i="1"/>
  <c r="AM1139" i="1"/>
  <c r="AN1139" i="1"/>
  <c r="AL1140" i="1"/>
  <c r="AM1140" i="1"/>
  <c r="AN1140" i="1"/>
  <c r="AL1141" i="1"/>
  <c r="AM1141" i="1"/>
  <c r="AN1141" i="1"/>
  <c r="AL1142" i="1"/>
  <c r="AM1142" i="1"/>
  <c r="AN1142" i="1"/>
  <c r="AL1143" i="1"/>
  <c r="AM1143" i="1"/>
  <c r="AN1143" i="1"/>
  <c r="AL1144" i="1"/>
  <c r="AM1144" i="1"/>
  <c r="AN1144" i="1"/>
  <c r="AL1145" i="1"/>
  <c r="AM1145" i="1"/>
  <c r="AN1145" i="1"/>
  <c r="AL1146" i="1"/>
  <c r="AM1146" i="1"/>
  <c r="AN1146" i="1"/>
  <c r="AL1147" i="1"/>
  <c r="AM1147" i="1"/>
  <c r="AN1147" i="1"/>
  <c r="AL1148" i="1"/>
  <c r="AM1148" i="1"/>
  <c r="AN1148" i="1"/>
  <c r="AL1149" i="1"/>
  <c r="AM1149" i="1"/>
  <c r="AN1149" i="1"/>
  <c r="AL1150" i="1"/>
  <c r="AM1150" i="1"/>
  <c r="AN1150" i="1"/>
  <c r="AL1151" i="1"/>
  <c r="AM1151" i="1"/>
  <c r="AN1151" i="1"/>
  <c r="AL1152" i="1"/>
  <c r="AM1152" i="1"/>
  <c r="AN1152" i="1"/>
  <c r="AL1153" i="1"/>
  <c r="AM1153" i="1"/>
  <c r="AN1153" i="1"/>
  <c r="AL1154" i="1"/>
  <c r="AM1154" i="1"/>
  <c r="AN1154" i="1"/>
  <c r="AL1155" i="1"/>
  <c r="AM1155" i="1"/>
  <c r="AN1155" i="1"/>
  <c r="AL1156" i="1"/>
  <c r="AM1156" i="1"/>
  <c r="AN1156" i="1"/>
  <c r="AL1157" i="1"/>
  <c r="AM1157" i="1"/>
  <c r="AN1157" i="1"/>
  <c r="AL973" i="1"/>
  <c r="AM973" i="1"/>
  <c r="AN973" i="1"/>
  <c r="AL974" i="1"/>
  <c r="AM974" i="1"/>
  <c r="AN974" i="1"/>
  <c r="AL975" i="1"/>
  <c r="AM975" i="1"/>
  <c r="AN975" i="1"/>
  <c r="AL976" i="1"/>
  <c r="AM976" i="1"/>
  <c r="AN976" i="1"/>
  <c r="AL977" i="1"/>
  <c r="AM977" i="1"/>
  <c r="AN977" i="1"/>
  <c r="AL978" i="1"/>
  <c r="AM978" i="1"/>
  <c r="AN978" i="1"/>
  <c r="AL979" i="1"/>
  <c r="AM979" i="1"/>
  <c r="AN979" i="1"/>
  <c r="AL980" i="1"/>
  <c r="AM980" i="1"/>
  <c r="AN980" i="1"/>
  <c r="AL981" i="1"/>
  <c r="AM981" i="1"/>
  <c r="AN981" i="1"/>
  <c r="AL982" i="1"/>
  <c r="AM982" i="1"/>
  <c r="AN982" i="1"/>
  <c r="AL983" i="1"/>
  <c r="AM983" i="1"/>
  <c r="AN983" i="1"/>
  <c r="AL984" i="1"/>
  <c r="AM984" i="1"/>
  <c r="AN984" i="1"/>
  <c r="AL985" i="1"/>
  <c r="AM985" i="1"/>
  <c r="AN985" i="1"/>
  <c r="AL986" i="1"/>
  <c r="AM986" i="1"/>
  <c r="AN986" i="1"/>
  <c r="AL987" i="1"/>
  <c r="AM987" i="1"/>
  <c r="AN987" i="1"/>
  <c r="AL988" i="1"/>
  <c r="AM988" i="1"/>
  <c r="AN988" i="1"/>
  <c r="AL989" i="1"/>
  <c r="AM989" i="1"/>
  <c r="AN989" i="1"/>
  <c r="AL990" i="1"/>
  <c r="AM990" i="1"/>
  <c r="AN990" i="1"/>
  <c r="AL991" i="1"/>
  <c r="AM991" i="1"/>
  <c r="AN991" i="1"/>
  <c r="AL992" i="1"/>
  <c r="AM992" i="1"/>
  <c r="AN992" i="1"/>
  <c r="AL993" i="1"/>
  <c r="AM993" i="1"/>
  <c r="AN993" i="1"/>
  <c r="AL994" i="1"/>
  <c r="AM994" i="1"/>
  <c r="AN994" i="1"/>
  <c r="AL995" i="1"/>
  <c r="AM995" i="1"/>
  <c r="AN995" i="1"/>
  <c r="AL996" i="1"/>
  <c r="AM996" i="1"/>
  <c r="AN996" i="1"/>
  <c r="AL997" i="1"/>
  <c r="AM997" i="1"/>
  <c r="AN997" i="1"/>
  <c r="AL998" i="1"/>
  <c r="AM998" i="1"/>
  <c r="AN998" i="1"/>
  <c r="AL999" i="1"/>
  <c r="AM999" i="1"/>
  <c r="AN999" i="1"/>
  <c r="AL1000" i="1"/>
  <c r="AM1000" i="1"/>
  <c r="AN1000" i="1"/>
  <c r="AL1001" i="1"/>
  <c r="AM1001" i="1"/>
  <c r="AN1001" i="1"/>
  <c r="AL1002" i="1"/>
  <c r="AM1002" i="1"/>
  <c r="AN1002" i="1"/>
  <c r="AL1003" i="1"/>
  <c r="AM1003" i="1"/>
  <c r="AN1003" i="1"/>
  <c r="AL1004" i="1"/>
  <c r="AM1004" i="1"/>
  <c r="AN1004" i="1"/>
  <c r="AL1005" i="1"/>
  <c r="AM1005" i="1"/>
  <c r="AN1005" i="1"/>
  <c r="AL1006" i="1"/>
  <c r="AM1006" i="1"/>
  <c r="AN1006" i="1"/>
  <c r="AL1007" i="1"/>
  <c r="AM1007" i="1"/>
  <c r="AN1007" i="1"/>
  <c r="AL1008" i="1"/>
  <c r="AM1008" i="1"/>
  <c r="AN1008" i="1"/>
  <c r="AL1009" i="1"/>
  <c r="AM1009" i="1"/>
  <c r="AN1009" i="1"/>
  <c r="AL1010" i="1"/>
  <c r="AM1010" i="1"/>
  <c r="AN1010" i="1"/>
  <c r="AL1011" i="1"/>
  <c r="AM1011" i="1"/>
  <c r="AN1011" i="1"/>
  <c r="AL1012" i="1"/>
  <c r="AM1012" i="1"/>
  <c r="AN1012" i="1"/>
  <c r="AL1013" i="1"/>
  <c r="AM1013" i="1"/>
  <c r="AN1013" i="1"/>
  <c r="AL1014" i="1"/>
  <c r="AM1014" i="1"/>
  <c r="AN1014" i="1"/>
  <c r="AL1015" i="1"/>
  <c r="AM1015" i="1"/>
  <c r="AN1015" i="1"/>
  <c r="AL1016" i="1"/>
  <c r="AM1016" i="1"/>
  <c r="AN1016" i="1"/>
  <c r="AL1017" i="1"/>
  <c r="AM1017" i="1"/>
  <c r="AN1017" i="1"/>
  <c r="AL1018" i="1"/>
  <c r="AM1018" i="1"/>
  <c r="AN1018" i="1"/>
  <c r="AL1019" i="1"/>
  <c r="AM1019" i="1"/>
  <c r="AN1019" i="1"/>
  <c r="AL1020" i="1"/>
  <c r="AM1020" i="1"/>
  <c r="AN1020" i="1"/>
  <c r="AL1021" i="1"/>
  <c r="AM1021" i="1"/>
  <c r="AN1021" i="1"/>
  <c r="AL1022" i="1"/>
  <c r="AM1022" i="1"/>
  <c r="AN1022" i="1"/>
  <c r="AL1023" i="1"/>
  <c r="AM1023" i="1"/>
  <c r="AN1023" i="1"/>
  <c r="AL1024" i="1"/>
  <c r="AM1024" i="1"/>
  <c r="AN1024" i="1"/>
  <c r="AL1025" i="1"/>
  <c r="AM1025" i="1"/>
  <c r="AN1025" i="1"/>
  <c r="AL1026" i="1"/>
  <c r="AM1026" i="1"/>
  <c r="AN1026" i="1"/>
  <c r="AL1027" i="1"/>
  <c r="AM1027" i="1"/>
  <c r="AN1027" i="1"/>
  <c r="AL1028" i="1"/>
  <c r="AM1028" i="1"/>
  <c r="AN1028" i="1"/>
  <c r="AL1029" i="1"/>
  <c r="AM1029" i="1"/>
  <c r="AN1029" i="1"/>
  <c r="AL1030" i="1"/>
  <c r="AM1030" i="1"/>
  <c r="AN1030" i="1"/>
  <c r="AL1031" i="1"/>
  <c r="AM1031" i="1"/>
  <c r="AN1031" i="1"/>
  <c r="AL1032" i="1"/>
  <c r="AM1032" i="1"/>
  <c r="AN1032" i="1"/>
  <c r="AL1033" i="1"/>
  <c r="AM1033" i="1"/>
  <c r="AN1033" i="1"/>
  <c r="AL1034" i="1"/>
  <c r="AM1034" i="1"/>
  <c r="AN1034" i="1"/>
  <c r="AL1035" i="1"/>
  <c r="AM1035" i="1"/>
  <c r="AN1035" i="1"/>
  <c r="AL1036" i="1"/>
  <c r="AM1036" i="1"/>
  <c r="AN1036" i="1"/>
  <c r="AL1037" i="1"/>
  <c r="AM1037" i="1"/>
  <c r="AN1037" i="1"/>
  <c r="AL1038" i="1"/>
  <c r="AM1038" i="1"/>
  <c r="AN1038" i="1"/>
  <c r="AL1039" i="1"/>
  <c r="AM1039" i="1"/>
  <c r="AN1039" i="1"/>
  <c r="AL1040" i="1"/>
  <c r="AM1040" i="1"/>
  <c r="AN1040" i="1"/>
  <c r="AL1041" i="1"/>
  <c r="AM1041" i="1"/>
  <c r="AN1041" i="1"/>
  <c r="AL1042" i="1"/>
  <c r="AM1042" i="1"/>
  <c r="AN1042" i="1"/>
  <c r="AL1043" i="1"/>
  <c r="AM1043" i="1"/>
  <c r="AN1043" i="1"/>
  <c r="AL1044" i="1"/>
  <c r="AM1044" i="1"/>
  <c r="AN1044" i="1"/>
  <c r="AL1045" i="1"/>
  <c r="AM1045" i="1"/>
  <c r="AN1045" i="1"/>
  <c r="AL1046" i="1"/>
  <c r="AM1046" i="1"/>
  <c r="AN1046" i="1"/>
  <c r="AL1047" i="1"/>
  <c r="AM1047" i="1"/>
  <c r="AN1047" i="1"/>
  <c r="AL1048" i="1"/>
  <c r="AM1048" i="1"/>
  <c r="AN1048" i="1"/>
  <c r="AL1049" i="1"/>
  <c r="AM1049" i="1"/>
  <c r="AN1049" i="1"/>
  <c r="AL1050" i="1"/>
  <c r="AM1050" i="1"/>
  <c r="AN1050" i="1"/>
  <c r="AL1051" i="1"/>
  <c r="AM1051" i="1"/>
  <c r="AN1051" i="1"/>
  <c r="AL1052" i="1"/>
  <c r="AM1052" i="1"/>
  <c r="AN1052" i="1"/>
  <c r="AL1053" i="1"/>
  <c r="AM1053" i="1"/>
  <c r="AN1053" i="1"/>
  <c r="AL1054" i="1"/>
  <c r="AM1054" i="1"/>
  <c r="AN1054" i="1"/>
  <c r="AL1055" i="1"/>
  <c r="AM1055" i="1"/>
  <c r="AN1055" i="1"/>
  <c r="AL1056" i="1"/>
  <c r="AM1056" i="1"/>
  <c r="AN1056" i="1"/>
  <c r="AL1057" i="1"/>
  <c r="AM1057" i="1"/>
  <c r="AN1057" i="1"/>
  <c r="AL1058" i="1"/>
  <c r="AM1058" i="1"/>
  <c r="AN1058" i="1"/>
  <c r="AL1059" i="1"/>
  <c r="AM1059" i="1"/>
  <c r="AN1059" i="1"/>
  <c r="AL1060" i="1"/>
  <c r="AM1060" i="1"/>
  <c r="AN1060" i="1"/>
  <c r="AL1061" i="1"/>
  <c r="AM1061" i="1"/>
  <c r="AN1061" i="1"/>
  <c r="AL1062" i="1"/>
  <c r="AM1062" i="1"/>
  <c r="AN1062" i="1"/>
  <c r="AL1063" i="1"/>
  <c r="AM1063" i="1"/>
  <c r="AN1063" i="1"/>
  <c r="AL1064" i="1"/>
  <c r="AM1064" i="1"/>
  <c r="AN1064" i="1"/>
  <c r="AL1065" i="1"/>
  <c r="AM1065" i="1"/>
  <c r="AN1065" i="1"/>
  <c r="AL1066" i="1"/>
  <c r="AM1066" i="1"/>
  <c r="AN1066" i="1"/>
  <c r="AL1067" i="1"/>
  <c r="AM1067" i="1"/>
  <c r="AN1067" i="1"/>
  <c r="AL1068" i="1"/>
  <c r="AM1068" i="1"/>
  <c r="AN1068" i="1"/>
  <c r="AL1069" i="1"/>
  <c r="AM1069" i="1"/>
  <c r="AN1069" i="1"/>
  <c r="AL1070" i="1"/>
  <c r="AM1070" i="1"/>
  <c r="AN1070" i="1"/>
  <c r="AL1071" i="1"/>
  <c r="AM1071" i="1"/>
  <c r="AN1071" i="1"/>
  <c r="AL1072" i="1"/>
  <c r="AM1072" i="1"/>
  <c r="AN1072" i="1"/>
  <c r="AL1073" i="1"/>
  <c r="AM1073" i="1"/>
  <c r="AN1073" i="1"/>
  <c r="AL1074" i="1"/>
  <c r="AM1074" i="1"/>
  <c r="AN1074" i="1"/>
  <c r="AL1075" i="1"/>
  <c r="AM1075" i="1"/>
  <c r="AN1075" i="1"/>
  <c r="AL1076" i="1"/>
  <c r="AM1076" i="1"/>
  <c r="AN1076" i="1"/>
  <c r="AL783" i="1"/>
  <c r="AM783" i="1"/>
  <c r="AN783" i="1"/>
  <c r="AL784" i="1"/>
  <c r="AM784" i="1"/>
  <c r="AN784" i="1"/>
  <c r="AL785" i="1"/>
  <c r="AM785" i="1"/>
  <c r="AN785" i="1"/>
  <c r="AL786" i="1"/>
  <c r="AM786" i="1"/>
  <c r="AN786" i="1"/>
  <c r="AL787" i="1"/>
  <c r="AM787" i="1"/>
  <c r="AN787" i="1"/>
  <c r="AL788" i="1"/>
  <c r="AM788" i="1"/>
  <c r="AN788" i="1"/>
  <c r="AL789" i="1"/>
  <c r="AM789" i="1"/>
  <c r="AN789" i="1"/>
  <c r="AL790" i="1"/>
  <c r="AM790" i="1"/>
  <c r="AN790" i="1"/>
  <c r="AL791" i="1"/>
  <c r="AM791" i="1"/>
  <c r="AN791" i="1"/>
  <c r="AL792" i="1"/>
  <c r="AM792" i="1"/>
  <c r="AN792" i="1"/>
  <c r="AL793" i="1"/>
  <c r="AM793" i="1"/>
  <c r="AN793" i="1"/>
  <c r="AL794" i="1"/>
  <c r="AM794" i="1"/>
  <c r="AN794" i="1"/>
  <c r="AL795" i="1"/>
  <c r="AM795" i="1"/>
  <c r="AN795" i="1"/>
  <c r="AL796" i="1"/>
  <c r="AM796" i="1"/>
  <c r="AN796" i="1"/>
  <c r="AL797" i="1"/>
  <c r="AM797" i="1"/>
  <c r="AN797" i="1"/>
  <c r="AL798" i="1"/>
  <c r="AM798" i="1"/>
  <c r="AN798" i="1"/>
  <c r="AL799" i="1"/>
  <c r="AM799" i="1"/>
  <c r="AN799" i="1"/>
  <c r="AL800" i="1"/>
  <c r="AM800" i="1"/>
  <c r="AN800" i="1"/>
  <c r="AL801" i="1"/>
  <c r="AM801" i="1"/>
  <c r="AN801" i="1"/>
  <c r="AL802" i="1"/>
  <c r="AM802" i="1"/>
  <c r="AN802" i="1"/>
  <c r="AL803" i="1"/>
  <c r="AM803" i="1"/>
  <c r="AN803" i="1"/>
  <c r="AL804" i="1"/>
  <c r="AM804" i="1"/>
  <c r="AN804" i="1"/>
  <c r="AL805" i="1"/>
  <c r="AM805" i="1"/>
  <c r="AN805" i="1"/>
  <c r="AL806" i="1"/>
  <c r="AM806" i="1"/>
  <c r="AN806" i="1"/>
  <c r="AL807" i="1"/>
  <c r="AM807" i="1"/>
  <c r="AN807" i="1"/>
  <c r="AL808" i="1"/>
  <c r="AM808" i="1"/>
  <c r="AN808" i="1"/>
  <c r="AL809" i="1"/>
  <c r="AM809" i="1"/>
  <c r="AN809" i="1"/>
  <c r="AL810" i="1"/>
  <c r="AM810" i="1"/>
  <c r="AN810" i="1"/>
  <c r="AL811" i="1"/>
  <c r="AM811" i="1"/>
  <c r="AN811" i="1"/>
  <c r="AL812" i="1"/>
  <c r="AM812" i="1"/>
  <c r="AN812" i="1"/>
  <c r="AL813" i="1"/>
  <c r="AM813" i="1"/>
  <c r="AN813" i="1"/>
  <c r="AL814" i="1"/>
  <c r="AM814" i="1"/>
  <c r="AN814" i="1"/>
  <c r="AL815" i="1"/>
  <c r="AM815" i="1"/>
  <c r="AN815" i="1"/>
  <c r="AL816" i="1"/>
  <c r="AM816" i="1"/>
  <c r="AN816" i="1"/>
  <c r="AL817" i="1"/>
  <c r="AM817" i="1"/>
  <c r="AN817" i="1"/>
  <c r="AL818" i="1"/>
  <c r="AM818" i="1"/>
  <c r="AN818" i="1"/>
  <c r="AL819" i="1"/>
  <c r="AM819" i="1"/>
  <c r="AN819" i="1"/>
  <c r="AL820" i="1"/>
  <c r="AM820" i="1"/>
  <c r="AN820" i="1"/>
  <c r="AL821" i="1"/>
  <c r="AM821" i="1"/>
  <c r="AN821" i="1"/>
  <c r="AL822" i="1"/>
  <c r="AM822" i="1"/>
  <c r="AN822" i="1"/>
  <c r="AL823" i="1"/>
  <c r="AM823" i="1"/>
  <c r="AN823" i="1"/>
  <c r="AL824" i="1"/>
  <c r="AM824" i="1"/>
  <c r="AN824" i="1"/>
  <c r="AL825" i="1"/>
  <c r="AM825" i="1"/>
  <c r="AN825" i="1"/>
  <c r="AL826" i="1"/>
  <c r="AM826" i="1"/>
  <c r="AN826" i="1"/>
  <c r="AL827" i="1"/>
  <c r="AM827" i="1"/>
  <c r="AN827" i="1"/>
  <c r="AL828" i="1"/>
  <c r="AM828" i="1"/>
  <c r="AN828" i="1"/>
  <c r="AL829" i="1"/>
  <c r="AM829" i="1"/>
  <c r="AN829" i="1"/>
  <c r="AL830" i="1"/>
  <c r="AM830" i="1"/>
  <c r="AN830" i="1"/>
  <c r="AL831" i="1"/>
  <c r="AM831" i="1"/>
  <c r="AN831" i="1"/>
  <c r="AL832" i="1"/>
  <c r="AM832" i="1"/>
  <c r="AN832" i="1"/>
  <c r="AL833" i="1"/>
  <c r="AM833" i="1"/>
  <c r="AN833" i="1"/>
  <c r="AL834" i="1"/>
  <c r="AM834" i="1"/>
  <c r="AN834" i="1"/>
  <c r="AL835" i="1"/>
  <c r="AM835" i="1"/>
  <c r="AN835" i="1"/>
  <c r="AL836" i="1"/>
  <c r="AM836" i="1"/>
  <c r="AN836" i="1"/>
  <c r="AL837" i="1"/>
  <c r="AM837" i="1"/>
  <c r="AN837" i="1"/>
  <c r="AL838" i="1"/>
  <c r="AM838" i="1"/>
  <c r="AN838" i="1"/>
  <c r="AL839" i="1"/>
  <c r="AM839" i="1"/>
  <c r="AN839" i="1"/>
  <c r="AL840" i="1"/>
  <c r="AM840" i="1"/>
  <c r="AN840" i="1"/>
  <c r="AL841" i="1"/>
  <c r="AM841" i="1"/>
  <c r="AN841" i="1"/>
  <c r="AL842" i="1"/>
  <c r="AM842" i="1"/>
  <c r="AN842" i="1"/>
  <c r="AL843" i="1"/>
  <c r="AM843" i="1"/>
  <c r="AN843" i="1"/>
  <c r="AL844" i="1"/>
  <c r="AM844" i="1"/>
  <c r="AN844" i="1"/>
  <c r="AL845" i="1"/>
  <c r="AM845" i="1"/>
  <c r="AN845" i="1"/>
  <c r="AL846" i="1"/>
  <c r="AM846" i="1"/>
  <c r="AN846" i="1"/>
  <c r="AL847" i="1"/>
  <c r="AM847" i="1"/>
  <c r="AN847" i="1"/>
  <c r="AL848" i="1"/>
  <c r="AM848" i="1"/>
  <c r="AN848" i="1"/>
  <c r="AL849" i="1"/>
  <c r="AM849" i="1"/>
  <c r="AN849" i="1"/>
  <c r="AL850" i="1"/>
  <c r="AM850" i="1"/>
  <c r="AN850" i="1"/>
  <c r="AL851" i="1"/>
  <c r="AM851" i="1"/>
  <c r="AN851" i="1"/>
  <c r="AL852" i="1"/>
  <c r="AM852" i="1"/>
  <c r="AN852" i="1"/>
  <c r="AL853" i="1"/>
  <c r="AM853" i="1"/>
  <c r="AN853" i="1"/>
  <c r="AL854" i="1"/>
  <c r="AM854" i="1"/>
  <c r="AN854" i="1"/>
  <c r="AL855" i="1"/>
  <c r="AM855" i="1"/>
  <c r="AN855" i="1"/>
  <c r="AL856" i="1"/>
  <c r="AM856" i="1"/>
  <c r="AN856" i="1"/>
  <c r="AL857" i="1"/>
  <c r="AM857" i="1"/>
  <c r="AN857" i="1"/>
  <c r="AL858" i="1"/>
  <c r="AM858" i="1"/>
  <c r="AN858" i="1"/>
  <c r="AL859" i="1"/>
  <c r="AM859" i="1"/>
  <c r="AN859" i="1"/>
  <c r="AL860" i="1"/>
  <c r="AM860" i="1"/>
  <c r="AN860" i="1"/>
  <c r="AL861" i="1"/>
  <c r="AM861" i="1"/>
  <c r="AN861" i="1"/>
  <c r="AL862" i="1"/>
  <c r="AM862" i="1"/>
  <c r="AN862" i="1"/>
  <c r="AL863" i="1"/>
  <c r="AM863" i="1"/>
  <c r="AN863" i="1"/>
  <c r="AL864" i="1"/>
  <c r="AM864" i="1"/>
  <c r="AN864" i="1"/>
  <c r="AL865" i="1"/>
  <c r="AM865" i="1"/>
  <c r="AN865" i="1"/>
  <c r="AL866" i="1"/>
  <c r="AM866" i="1"/>
  <c r="AN866" i="1"/>
  <c r="AL867" i="1"/>
  <c r="AM867" i="1"/>
  <c r="AN867" i="1"/>
  <c r="AL868" i="1"/>
  <c r="AM868" i="1"/>
  <c r="AN868" i="1"/>
  <c r="AL869" i="1"/>
  <c r="AM869" i="1"/>
  <c r="AN869" i="1"/>
  <c r="AL870" i="1"/>
  <c r="AM870" i="1"/>
  <c r="AN870" i="1"/>
  <c r="AL871" i="1"/>
  <c r="AM871" i="1"/>
  <c r="AN871" i="1"/>
  <c r="AL872" i="1"/>
  <c r="AM872" i="1"/>
  <c r="AN872" i="1"/>
  <c r="AL873" i="1"/>
  <c r="AM873" i="1"/>
  <c r="AN873" i="1"/>
  <c r="AL874" i="1"/>
  <c r="AM874" i="1"/>
  <c r="AN874" i="1"/>
  <c r="AL875" i="1"/>
  <c r="AM875" i="1"/>
  <c r="AN875" i="1"/>
  <c r="AL876" i="1"/>
  <c r="AM876" i="1"/>
  <c r="AN876" i="1"/>
  <c r="AL877" i="1"/>
  <c r="AM877" i="1"/>
  <c r="AN877" i="1"/>
  <c r="AL878" i="1"/>
  <c r="AM878" i="1"/>
  <c r="AN878" i="1"/>
  <c r="AL879" i="1"/>
  <c r="AM879" i="1"/>
  <c r="AN879" i="1"/>
  <c r="AL880" i="1"/>
  <c r="AM880" i="1"/>
  <c r="AN880" i="1"/>
  <c r="AL881" i="1"/>
  <c r="AM881" i="1"/>
  <c r="AN881" i="1"/>
  <c r="AL882" i="1"/>
  <c r="AM882" i="1"/>
  <c r="AN882" i="1"/>
  <c r="AL883" i="1"/>
  <c r="AM883" i="1"/>
  <c r="AN883" i="1"/>
  <c r="AL884" i="1"/>
  <c r="AM884" i="1"/>
  <c r="AN884" i="1"/>
  <c r="AL885" i="1"/>
  <c r="AM885" i="1"/>
  <c r="AN885" i="1"/>
  <c r="AL886" i="1"/>
  <c r="AM886" i="1"/>
  <c r="AN886" i="1"/>
  <c r="AL887" i="1"/>
  <c r="AM887" i="1"/>
  <c r="AN887" i="1"/>
  <c r="AL888" i="1"/>
  <c r="AM888" i="1"/>
  <c r="AN888" i="1"/>
  <c r="AL889" i="1"/>
  <c r="AM889" i="1"/>
  <c r="AN889" i="1"/>
  <c r="AL890" i="1"/>
  <c r="AM890" i="1"/>
  <c r="AN890" i="1"/>
  <c r="AL891" i="1"/>
  <c r="AM891" i="1"/>
  <c r="AN891" i="1"/>
  <c r="AL892" i="1"/>
  <c r="AM892" i="1"/>
  <c r="AN892" i="1"/>
  <c r="AL893" i="1"/>
  <c r="AM893" i="1"/>
  <c r="AN893" i="1"/>
  <c r="AL894" i="1"/>
  <c r="AM894" i="1"/>
  <c r="AN894" i="1"/>
  <c r="AL895" i="1"/>
  <c r="AM895" i="1"/>
  <c r="AN895" i="1"/>
  <c r="AL896" i="1"/>
  <c r="AM896" i="1"/>
  <c r="AN896" i="1"/>
  <c r="AL897" i="1"/>
  <c r="AM897" i="1"/>
  <c r="AN897" i="1"/>
  <c r="AL898" i="1"/>
  <c r="AM898" i="1"/>
  <c r="AN898" i="1"/>
  <c r="AL899" i="1"/>
  <c r="AM899" i="1"/>
  <c r="AN899" i="1"/>
  <c r="AL900" i="1"/>
  <c r="AM900" i="1"/>
  <c r="AN900" i="1"/>
  <c r="AL901" i="1"/>
  <c r="AM901" i="1"/>
  <c r="AN901" i="1"/>
  <c r="AL902" i="1"/>
  <c r="AM902" i="1"/>
  <c r="AN902" i="1"/>
  <c r="AL903" i="1"/>
  <c r="AM903" i="1"/>
  <c r="AN903" i="1"/>
  <c r="AL904" i="1"/>
  <c r="AM904" i="1"/>
  <c r="AN904" i="1"/>
  <c r="AL905" i="1"/>
  <c r="AM905" i="1"/>
  <c r="AN905" i="1"/>
  <c r="AL906" i="1"/>
  <c r="AM906" i="1"/>
  <c r="AN906" i="1"/>
  <c r="AL907" i="1"/>
  <c r="AM907" i="1"/>
  <c r="AN907" i="1"/>
  <c r="AL908" i="1"/>
  <c r="AM908" i="1"/>
  <c r="AN908" i="1"/>
  <c r="AL909" i="1"/>
  <c r="AM909" i="1"/>
  <c r="AN909" i="1"/>
  <c r="AL910" i="1"/>
  <c r="AM910" i="1"/>
  <c r="AN910" i="1"/>
  <c r="AL911" i="1"/>
  <c r="AM911" i="1"/>
  <c r="AN911" i="1"/>
  <c r="AL912" i="1"/>
  <c r="AM912" i="1"/>
  <c r="AN912" i="1"/>
  <c r="AL913" i="1"/>
  <c r="AM913" i="1"/>
  <c r="AN913" i="1"/>
  <c r="AL914" i="1"/>
  <c r="AM914" i="1"/>
  <c r="AN914" i="1"/>
  <c r="AL915" i="1"/>
  <c r="AM915" i="1"/>
  <c r="AN915" i="1"/>
  <c r="AL916" i="1"/>
  <c r="AM916" i="1"/>
  <c r="AN916" i="1"/>
  <c r="AL917" i="1"/>
  <c r="AM917" i="1"/>
  <c r="AN917" i="1"/>
  <c r="AL918" i="1"/>
  <c r="AM918" i="1"/>
  <c r="AN918" i="1"/>
  <c r="AL919" i="1"/>
  <c r="AM919" i="1"/>
  <c r="AN919" i="1"/>
  <c r="AL920" i="1"/>
  <c r="AM920" i="1"/>
  <c r="AN920" i="1"/>
  <c r="AL921" i="1"/>
  <c r="AM921" i="1"/>
  <c r="AN921" i="1"/>
  <c r="AL922" i="1"/>
  <c r="AM922" i="1"/>
  <c r="AN922" i="1"/>
  <c r="AL923" i="1"/>
  <c r="AM923" i="1"/>
  <c r="AN923" i="1"/>
  <c r="AL924" i="1"/>
  <c r="AM924" i="1"/>
  <c r="AN924" i="1"/>
  <c r="AL925" i="1"/>
  <c r="AM925" i="1"/>
  <c r="AN925" i="1"/>
  <c r="AL926" i="1"/>
  <c r="AM926" i="1"/>
  <c r="AN926" i="1"/>
  <c r="AL927" i="1"/>
  <c r="AM927" i="1"/>
  <c r="AN927" i="1"/>
  <c r="AL928" i="1"/>
  <c r="AM928" i="1"/>
  <c r="AN928" i="1"/>
  <c r="AL929" i="1"/>
  <c r="AM929" i="1"/>
  <c r="AN929" i="1"/>
  <c r="AL930" i="1"/>
  <c r="AM930" i="1"/>
  <c r="AN930" i="1"/>
  <c r="AL931" i="1"/>
  <c r="AM931" i="1"/>
  <c r="AN931" i="1"/>
  <c r="AL932" i="1"/>
  <c r="AM932" i="1"/>
  <c r="AN932" i="1"/>
  <c r="AL933" i="1"/>
  <c r="AM933" i="1"/>
  <c r="AN933" i="1"/>
  <c r="AL934" i="1"/>
  <c r="AM934" i="1"/>
  <c r="AN934" i="1"/>
  <c r="AL935" i="1"/>
  <c r="AM935" i="1"/>
  <c r="AN935" i="1"/>
  <c r="AL936" i="1"/>
  <c r="AM936" i="1"/>
  <c r="AN936" i="1"/>
  <c r="AL937" i="1"/>
  <c r="AM937" i="1"/>
  <c r="AN937" i="1"/>
  <c r="AL938" i="1"/>
  <c r="AM938" i="1"/>
  <c r="AN938" i="1"/>
  <c r="AL939" i="1"/>
  <c r="AM939" i="1"/>
  <c r="AN939" i="1"/>
  <c r="AL940" i="1"/>
  <c r="AM940" i="1"/>
  <c r="AN940" i="1"/>
  <c r="AL941" i="1"/>
  <c r="AM941" i="1"/>
  <c r="AN941" i="1"/>
  <c r="AL942" i="1"/>
  <c r="AM942" i="1"/>
  <c r="AN942" i="1"/>
  <c r="AL943" i="1"/>
  <c r="AM943" i="1"/>
  <c r="AN943" i="1"/>
  <c r="AL944" i="1"/>
  <c r="AM944" i="1"/>
  <c r="AN944" i="1"/>
  <c r="AL945" i="1"/>
  <c r="AM945" i="1"/>
  <c r="AN945" i="1"/>
  <c r="AL946" i="1"/>
  <c r="AM946" i="1"/>
  <c r="AN946" i="1"/>
  <c r="AL947" i="1"/>
  <c r="AM947" i="1"/>
  <c r="AN947" i="1"/>
  <c r="AL948" i="1"/>
  <c r="AM948" i="1"/>
  <c r="AN948" i="1"/>
  <c r="AL949" i="1"/>
  <c r="AM949" i="1"/>
  <c r="AN949" i="1"/>
  <c r="AL950" i="1"/>
  <c r="AM950" i="1"/>
  <c r="AN950" i="1"/>
  <c r="AL951" i="1"/>
  <c r="AM951" i="1"/>
  <c r="AN951" i="1"/>
  <c r="AL952" i="1"/>
  <c r="AM952" i="1"/>
  <c r="AN952" i="1"/>
  <c r="AL953" i="1"/>
  <c r="AM953" i="1"/>
  <c r="AN953" i="1"/>
  <c r="AL954" i="1"/>
  <c r="AM954" i="1"/>
  <c r="AN954" i="1"/>
  <c r="AL955" i="1"/>
  <c r="AM955" i="1"/>
  <c r="AN955" i="1"/>
  <c r="AL956" i="1"/>
  <c r="AM956" i="1"/>
  <c r="AN956" i="1"/>
  <c r="AL957" i="1"/>
  <c r="AM957" i="1"/>
  <c r="AN957" i="1"/>
  <c r="AL958" i="1"/>
  <c r="AM958" i="1"/>
  <c r="AN958" i="1"/>
  <c r="AL959" i="1"/>
  <c r="AM959" i="1"/>
  <c r="AN959" i="1"/>
  <c r="AL960" i="1"/>
  <c r="AM960" i="1"/>
  <c r="AN960" i="1"/>
  <c r="AL961" i="1"/>
  <c r="AM961" i="1"/>
  <c r="AN961" i="1"/>
  <c r="AL962" i="1"/>
  <c r="AM962" i="1"/>
  <c r="AN962" i="1"/>
  <c r="AL963" i="1"/>
  <c r="AM963" i="1"/>
  <c r="AN963" i="1"/>
  <c r="AL964" i="1"/>
  <c r="AM964" i="1"/>
  <c r="AN964" i="1"/>
  <c r="AL965" i="1"/>
  <c r="AM965" i="1"/>
  <c r="AN965" i="1"/>
  <c r="AL966" i="1"/>
  <c r="AM966" i="1"/>
  <c r="AN966" i="1"/>
  <c r="AL967" i="1"/>
  <c r="AM967" i="1"/>
  <c r="AN967" i="1"/>
  <c r="AL968" i="1"/>
  <c r="AM968" i="1"/>
  <c r="AN968" i="1"/>
  <c r="AL969" i="1"/>
  <c r="AM969" i="1"/>
  <c r="AN969" i="1"/>
  <c r="AL970" i="1"/>
  <c r="AM970" i="1"/>
  <c r="AN970" i="1"/>
  <c r="AL971" i="1"/>
  <c r="AM971" i="1"/>
  <c r="AN971" i="1"/>
  <c r="AL972" i="1"/>
  <c r="AM972" i="1"/>
  <c r="AN972" i="1"/>
  <c r="AL396" i="1"/>
  <c r="AM396" i="1"/>
  <c r="AN396" i="1"/>
  <c r="AL397" i="1"/>
  <c r="AM397" i="1"/>
  <c r="AN397" i="1"/>
  <c r="AL398" i="1"/>
  <c r="AM398" i="1"/>
  <c r="AN398" i="1"/>
  <c r="AL399" i="1"/>
  <c r="AM399" i="1"/>
  <c r="AN399" i="1"/>
  <c r="AL400" i="1"/>
  <c r="AM400" i="1"/>
  <c r="AN400" i="1"/>
  <c r="AL401" i="1"/>
  <c r="AM401" i="1"/>
  <c r="AN401" i="1"/>
  <c r="AL402" i="1"/>
  <c r="AM402" i="1"/>
  <c r="AN402" i="1"/>
  <c r="AL403" i="1"/>
  <c r="AM403" i="1"/>
  <c r="AN403" i="1"/>
  <c r="AL404" i="1"/>
  <c r="AM404" i="1"/>
  <c r="AN404" i="1"/>
  <c r="AL405" i="1"/>
  <c r="AM405" i="1"/>
  <c r="AN405" i="1"/>
  <c r="AL406" i="1"/>
  <c r="AM406" i="1"/>
  <c r="AN406" i="1"/>
  <c r="AL407" i="1"/>
  <c r="AM407" i="1"/>
  <c r="AN407" i="1"/>
  <c r="AL408" i="1"/>
  <c r="AM408" i="1"/>
  <c r="AN408" i="1"/>
  <c r="AL409" i="1"/>
  <c r="AM409" i="1"/>
  <c r="AN409" i="1"/>
  <c r="AL410" i="1"/>
  <c r="AM410" i="1"/>
  <c r="AN410" i="1"/>
  <c r="AL411" i="1"/>
  <c r="AM411" i="1"/>
  <c r="AN411" i="1"/>
  <c r="AL412" i="1"/>
  <c r="AM412" i="1"/>
  <c r="AN412" i="1"/>
  <c r="AL413" i="1"/>
  <c r="AM413" i="1"/>
  <c r="AN413" i="1"/>
  <c r="AL414" i="1"/>
  <c r="AM414" i="1"/>
  <c r="AN414" i="1"/>
  <c r="AL415" i="1"/>
  <c r="AM415" i="1"/>
  <c r="AN415" i="1"/>
  <c r="AL416" i="1"/>
  <c r="AM416" i="1"/>
  <c r="AN416" i="1"/>
  <c r="AL417" i="1"/>
  <c r="AM417" i="1"/>
  <c r="AN417" i="1"/>
  <c r="AL418" i="1"/>
  <c r="AM418" i="1"/>
  <c r="AN418" i="1"/>
  <c r="AL419" i="1"/>
  <c r="AM419" i="1"/>
  <c r="AN419" i="1"/>
  <c r="AL420" i="1"/>
  <c r="AM420" i="1"/>
  <c r="AN420" i="1"/>
  <c r="AL421" i="1"/>
  <c r="AM421" i="1"/>
  <c r="AN421" i="1"/>
  <c r="AL422" i="1"/>
  <c r="AM422" i="1"/>
  <c r="AN422" i="1"/>
  <c r="AL423" i="1"/>
  <c r="AM423" i="1"/>
  <c r="AN423" i="1"/>
  <c r="AL424" i="1"/>
  <c r="AM424" i="1"/>
  <c r="AN424" i="1"/>
  <c r="AL425" i="1"/>
  <c r="AM425" i="1"/>
  <c r="AN425" i="1"/>
  <c r="AL426" i="1"/>
  <c r="AM426" i="1"/>
  <c r="AN426" i="1"/>
  <c r="AL427" i="1"/>
  <c r="AM427" i="1"/>
  <c r="AN427" i="1"/>
  <c r="AL428" i="1"/>
  <c r="AM428" i="1"/>
  <c r="AN428" i="1"/>
  <c r="AL429" i="1"/>
  <c r="AM429" i="1"/>
  <c r="AN429" i="1"/>
  <c r="AL430" i="1"/>
  <c r="AM430" i="1"/>
  <c r="AN430" i="1"/>
  <c r="AL431" i="1"/>
  <c r="AM431" i="1"/>
  <c r="AN431" i="1"/>
  <c r="AL432" i="1"/>
  <c r="AM432" i="1"/>
  <c r="AN432" i="1"/>
  <c r="AL433" i="1"/>
  <c r="AM433" i="1"/>
  <c r="AN433" i="1"/>
  <c r="AL434" i="1"/>
  <c r="AM434" i="1"/>
  <c r="AN434" i="1"/>
  <c r="AL435" i="1"/>
  <c r="AM435" i="1"/>
  <c r="AN435" i="1"/>
  <c r="AL436" i="1"/>
  <c r="AM436" i="1"/>
  <c r="AN436" i="1"/>
  <c r="AL437" i="1"/>
  <c r="AM437" i="1"/>
  <c r="AN437" i="1"/>
  <c r="AL438" i="1"/>
  <c r="AM438" i="1"/>
  <c r="AN438" i="1"/>
  <c r="AL439" i="1"/>
  <c r="AM439" i="1"/>
  <c r="AN439" i="1"/>
  <c r="AL440" i="1"/>
  <c r="AM440" i="1"/>
  <c r="AN440" i="1"/>
  <c r="AL441" i="1"/>
  <c r="AM441" i="1"/>
  <c r="AN441" i="1"/>
  <c r="AL442" i="1"/>
  <c r="AM442" i="1"/>
  <c r="AN442" i="1"/>
  <c r="AL443" i="1"/>
  <c r="AM443" i="1"/>
  <c r="AN443" i="1"/>
  <c r="AL444" i="1"/>
  <c r="AM444" i="1"/>
  <c r="AN444" i="1"/>
  <c r="AL445" i="1"/>
  <c r="AM445" i="1"/>
  <c r="AN445" i="1"/>
  <c r="AL446" i="1"/>
  <c r="AM446" i="1"/>
  <c r="AN446" i="1"/>
  <c r="AL447" i="1"/>
  <c r="AM447" i="1"/>
  <c r="AN447" i="1"/>
  <c r="AL448" i="1"/>
  <c r="AM448" i="1"/>
  <c r="AN448" i="1"/>
  <c r="AL449" i="1"/>
  <c r="AM449" i="1"/>
  <c r="AN449" i="1"/>
  <c r="AL450" i="1"/>
  <c r="AM450" i="1"/>
  <c r="AN450" i="1"/>
  <c r="AL451" i="1"/>
  <c r="AM451" i="1"/>
  <c r="AN451" i="1"/>
  <c r="AL452" i="1"/>
  <c r="AM452" i="1"/>
  <c r="AN452" i="1"/>
  <c r="AL453" i="1"/>
  <c r="AM453" i="1"/>
  <c r="AN453" i="1"/>
  <c r="AL454" i="1"/>
  <c r="AM454" i="1"/>
  <c r="AN454" i="1"/>
  <c r="AL455" i="1"/>
  <c r="AM455" i="1"/>
  <c r="AN455" i="1"/>
  <c r="AL456" i="1"/>
  <c r="AM456" i="1"/>
  <c r="AN456" i="1"/>
  <c r="AL457" i="1"/>
  <c r="AM457" i="1"/>
  <c r="AN457" i="1"/>
  <c r="AL458" i="1"/>
  <c r="AM458" i="1"/>
  <c r="AN458" i="1"/>
  <c r="AL459" i="1"/>
  <c r="AM459" i="1"/>
  <c r="AN459" i="1"/>
  <c r="AL460" i="1"/>
  <c r="AM460" i="1"/>
  <c r="AN460" i="1"/>
  <c r="AL461" i="1"/>
  <c r="AM461" i="1"/>
  <c r="AN461" i="1"/>
  <c r="AL462" i="1"/>
  <c r="AM462" i="1"/>
  <c r="AN462" i="1"/>
  <c r="AL463" i="1"/>
  <c r="AM463" i="1"/>
  <c r="AN463" i="1"/>
  <c r="AL464" i="1"/>
  <c r="AM464" i="1"/>
  <c r="AN464" i="1"/>
  <c r="AL465" i="1"/>
  <c r="AM465" i="1"/>
  <c r="AN465" i="1"/>
  <c r="AL466" i="1"/>
  <c r="AM466" i="1"/>
  <c r="AN466" i="1"/>
  <c r="AL467" i="1"/>
  <c r="AM467" i="1"/>
  <c r="AN467" i="1"/>
  <c r="AL468" i="1"/>
  <c r="AM468" i="1"/>
  <c r="AN468" i="1"/>
  <c r="AL469" i="1"/>
  <c r="AM469" i="1"/>
  <c r="AN469" i="1"/>
  <c r="AL470" i="1"/>
  <c r="AM470" i="1"/>
  <c r="AN470" i="1"/>
  <c r="AL471" i="1"/>
  <c r="AM471" i="1"/>
  <c r="AN471" i="1"/>
  <c r="AL472" i="1"/>
  <c r="AM472" i="1"/>
  <c r="AN472" i="1"/>
  <c r="AL473" i="1"/>
  <c r="AM473" i="1"/>
  <c r="AN473" i="1"/>
  <c r="AL474" i="1"/>
  <c r="AM474" i="1"/>
  <c r="AN474" i="1"/>
  <c r="AL475" i="1"/>
  <c r="AM475" i="1"/>
  <c r="AN475" i="1"/>
  <c r="AL476" i="1"/>
  <c r="AM476" i="1"/>
  <c r="AN476" i="1"/>
  <c r="AL477" i="1"/>
  <c r="AM477" i="1"/>
  <c r="AN477" i="1"/>
  <c r="AL478" i="1"/>
  <c r="AM478" i="1"/>
  <c r="AN478" i="1"/>
  <c r="AL479" i="1"/>
  <c r="AM479" i="1"/>
  <c r="AN479" i="1"/>
  <c r="AL480" i="1"/>
  <c r="AM480" i="1"/>
  <c r="AN480" i="1"/>
  <c r="AL481" i="1"/>
  <c r="AM481" i="1"/>
  <c r="AN481" i="1"/>
  <c r="AL482" i="1"/>
  <c r="AM482" i="1"/>
  <c r="AN482" i="1"/>
  <c r="AL483" i="1"/>
  <c r="AM483" i="1"/>
  <c r="AN483" i="1"/>
  <c r="AL484" i="1"/>
  <c r="AM484" i="1"/>
  <c r="AN484" i="1"/>
  <c r="AL485" i="1"/>
  <c r="AM485" i="1"/>
  <c r="AN485" i="1"/>
  <c r="AL486" i="1"/>
  <c r="AM486" i="1"/>
  <c r="AN486" i="1"/>
  <c r="AL487" i="1"/>
  <c r="AM487" i="1"/>
  <c r="AN487" i="1"/>
  <c r="AL488" i="1"/>
  <c r="AM488" i="1"/>
  <c r="AN488" i="1"/>
  <c r="AL489" i="1"/>
  <c r="AM489" i="1"/>
  <c r="AN489" i="1"/>
  <c r="AL490" i="1"/>
  <c r="AM490" i="1"/>
  <c r="AN490" i="1"/>
  <c r="AL491" i="1"/>
  <c r="AM491" i="1"/>
  <c r="AN491" i="1"/>
  <c r="AL492" i="1"/>
  <c r="AM492" i="1"/>
  <c r="AN492" i="1"/>
  <c r="AL493" i="1"/>
  <c r="AM493" i="1"/>
  <c r="AN493" i="1"/>
  <c r="AL494" i="1"/>
  <c r="AM494" i="1"/>
  <c r="AN494" i="1"/>
  <c r="AL495" i="1"/>
  <c r="AM495" i="1"/>
  <c r="AN495" i="1"/>
  <c r="AL496" i="1"/>
  <c r="AM496" i="1"/>
  <c r="AN496" i="1"/>
  <c r="AL497" i="1"/>
  <c r="AM497" i="1"/>
  <c r="AN497" i="1"/>
  <c r="AL498" i="1"/>
  <c r="AM498" i="1"/>
  <c r="AN498" i="1"/>
  <c r="AL499" i="1"/>
  <c r="AM499" i="1"/>
  <c r="AN499" i="1"/>
  <c r="AL500" i="1"/>
  <c r="AM500" i="1"/>
  <c r="AN500" i="1"/>
  <c r="AL501" i="1"/>
  <c r="AM501" i="1"/>
  <c r="AN501" i="1"/>
  <c r="AL502" i="1"/>
  <c r="AM502" i="1"/>
  <c r="AN502" i="1"/>
  <c r="AL503" i="1"/>
  <c r="AM503" i="1"/>
  <c r="AN503" i="1"/>
  <c r="AL504" i="1"/>
  <c r="AM504" i="1"/>
  <c r="AN504" i="1"/>
  <c r="AL505" i="1"/>
  <c r="AM505" i="1"/>
  <c r="AN505" i="1"/>
  <c r="AL506" i="1"/>
  <c r="AM506" i="1"/>
  <c r="AN506" i="1"/>
  <c r="AL507" i="1"/>
  <c r="AM507" i="1"/>
  <c r="AN507" i="1"/>
  <c r="AL508" i="1"/>
  <c r="AM508" i="1"/>
  <c r="AN508" i="1"/>
  <c r="AL509" i="1"/>
  <c r="AM509" i="1"/>
  <c r="AN509" i="1"/>
  <c r="AL510" i="1"/>
  <c r="AM510" i="1"/>
  <c r="AN510" i="1"/>
  <c r="AL511" i="1"/>
  <c r="AM511" i="1"/>
  <c r="AN511" i="1"/>
  <c r="AL512" i="1"/>
  <c r="AM512" i="1"/>
  <c r="AN512" i="1"/>
  <c r="AL513" i="1"/>
  <c r="AM513" i="1"/>
  <c r="AN513" i="1"/>
  <c r="AL514" i="1"/>
  <c r="AM514" i="1"/>
  <c r="AN514" i="1"/>
  <c r="AL515" i="1"/>
  <c r="AM515" i="1"/>
  <c r="AN515" i="1"/>
  <c r="AL516" i="1"/>
  <c r="AM516" i="1"/>
  <c r="AN516" i="1"/>
  <c r="AL517" i="1"/>
  <c r="AM517" i="1"/>
  <c r="AN517" i="1"/>
  <c r="AL518" i="1"/>
  <c r="AM518" i="1"/>
  <c r="AN518" i="1"/>
  <c r="AL519" i="1"/>
  <c r="AM519" i="1"/>
  <c r="AN519" i="1"/>
  <c r="AL520" i="1"/>
  <c r="AM520" i="1"/>
  <c r="AN520" i="1"/>
  <c r="AL521" i="1"/>
  <c r="AM521" i="1"/>
  <c r="AN521" i="1"/>
  <c r="AL522" i="1"/>
  <c r="AM522" i="1"/>
  <c r="AN522" i="1"/>
  <c r="AL523" i="1"/>
  <c r="AM523" i="1"/>
  <c r="AN523" i="1"/>
  <c r="AL524" i="1"/>
  <c r="AM524" i="1"/>
  <c r="AN524" i="1"/>
  <c r="AL525" i="1"/>
  <c r="AM525" i="1"/>
  <c r="AN525" i="1"/>
  <c r="AL526" i="1"/>
  <c r="AM526" i="1"/>
  <c r="AN526" i="1"/>
  <c r="AL527" i="1"/>
  <c r="AM527" i="1"/>
  <c r="AN527" i="1"/>
  <c r="AL528" i="1"/>
  <c r="AM528" i="1"/>
  <c r="AN528" i="1"/>
  <c r="AL529" i="1"/>
  <c r="AM529" i="1"/>
  <c r="AN529" i="1"/>
  <c r="AL530" i="1"/>
  <c r="AM530" i="1"/>
  <c r="AN530" i="1"/>
  <c r="AL531" i="1"/>
  <c r="AM531" i="1"/>
  <c r="AN531" i="1"/>
  <c r="AL532" i="1"/>
  <c r="AM532" i="1"/>
  <c r="AN532" i="1"/>
  <c r="AL533" i="1"/>
  <c r="AM533" i="1"/>
  <c r="AN533" i="1"/>
  <c r="AL534" i="1"/>
  <c r="AM534" i="1"/>
  <c r="AN534" i="1"/>
  <c r="AL535" i="1"/>
  <c r="AM535" i="1"/>
  <c r="AN535" i="1"/>
  <c r="AL536" i="1"/>
  <c r="AM536" i="1"/>
  <c r="AN536" i="1"/>
  <c r="AL537" i="1"/>
  <c r="AM537" i="1"/>
  <c r="AN537" i="1"/>
  <c r="AL538" i="1"/>
  <c r="AM538" i="1"/>
  <c r="AN538" i="1"/>
  <c r="AL539" i="1"/>
  <c r="AM539" i="1"/>
  <c r="AN539" i="1"/>
  <c r="AL540" i="1"/>
  <c r="AM540" i="1"/>
  <c r="AN540" i="1"/>
  <c r="AL541" i="1"/>
  <c r="AM541" i="1"/>
  <c r="AN541" i="1"/>
  <c r="AL542" i="1"/>
  <c r="AM542" i="1"/>
  <c r="AN542" i="1"/>
  <c r="AL543" i="1"/>
  <c r="AM543" i="1"/>
  <c r="AN543" i="1"/>
  <c r="AL544" i="1"/>
  <c r="AM544" i="1"/>
  <c r="AN544" i="1"/>
  <c r="AL545" i="1"/>
  <c r="AM545" i="1"/>
  <c r="AN545" i="1"/>
  <c r="AL546" i="1"/>
  <c r="AM546" i="1"/>
  <c r="AN546" i="1"/>
  <c r="AL547" i="1"/>
  <c r="AM547" i="1"/>
  <c r="AN547" i="1"/>
  <c r="AL548" i="1"/>
  <c r="AM548" i="1"/>
  <c r="AN548" i="1"/>
  <c r="AL549" i="1"/>
  <c r="AM549" i="1"/>
  <c r="AN549" i="1"/>
  <c r="AL550" i="1"/>
  <c r="AM550" i="1"/>
  <c r="AN550" i="1"/>
  <c r="AL551" i="1"/>
  <c r="AM551" i="1"/>
  <c r="AN551" i="1"/>
  <c r="AL552" i="1"/>
  <c r="AM552" i="1"/>
  <c r="AN552" i="1"/>
  <c r="AL553" i="1"/>
  <c r="AM553" i="1"/>
  <c r="AN553" i="1"/>
  <c r="AL554" i="1"/>
  <c r="AM554" i="1"/>
  <c r="AN554" i="1"/>
  <c r="AL555" i="1"/>
  <c r="AM555" i="1"/>
  <c r="AN555" i="1"/>
  <c r="AL556" i="1"/>
  <c r="AM556" i="1"/>
  <c r="AN556" i="1"/>
  <c r="AL557" i="1"/>
  <c r="AM557" i="1"/>
  <c r="AN557" i="1"/>
  <c r="AL558" i="1"/>
  <c r="AM558" i="1"/>
  <c r="AN558" i="1"/>
  <c r="AL559" i="1"/>
  <c r="AM559" i="1"/>
  <c r="AN559" i="1"/>
  <c r="AL560" i="1"/>
  <c r="AM560" i="1"/>
  <c r="AN560" i="1"/>
  <c r="AL561" i="1"/>
  <c r="AM561" i="1"/>
  <c r="AN561" i="1"/>
  <c r="AL562" i="1"/>
  <c r="AM562" i="1"/>
  <c r="AN562" i="1"/>
  <c r="AL563" i="1"/>
  <c r="AM563" i="1"/>
  <c r="AN563" i="1"/>
  <c r="AL564" i="1"/>
  <c r="AM564" i="1"/>
  <c r="AN564" i="1"/>
  <c r="AL565" i="1"/>
  <c r="AM565" i="1"/>
  <c r="AN565" i="1"/>
  <c r="AL566" i="1"/>
  <c r="AM566" i="1"/>
  <c r="AN566" i="1"/>
  <c r="AL567" i="1"/>
  <c r="AM567" i="1"/>
  <c r="AN567" i="1"/>
  <c r="AL568" i="1"/>
  <c r="AM568" i="1"/>
  <c r="AN568" i="1"/>
  <c r="AL569" i="1"/>
  <c r="AM569" i="1"/>
  <c r="AN569" i="1"/>
  <c r="AL570" i="1"/>
  <c r="AM570" i="1"/>
  <c r="AN570" i="1"/>
  <c r="AL571" i="1"/>
  <c r="AM571" i="1"/>
  <c r="AN571" i="1"/>
  <c r="AL572" i="1"/>
  <c r="AM572" i="1"/>
  <c r="AN572" i="1"/>
  <c r="AL573" i="1"/>
  <c r="AM573" i="1"/>
  <c r="AN573" i="1"/>
  <c r="AL574" i="1"/>
  <c r="AM574" i="1"/>
  <c r="AN574" i="1"/>
  <c r="AL575" i="1"/>
  <c r="AM575" i="1"/>
  <c r="AN575" i="1"/>
  <c r="AL576" i="1"/>
  <c r="AM576" i="1"/>
  <c r="AN576" i="1"/>
  <c r="AL577" i="1"/>
  <c r="AM577" i="1"/>
  <c r="AN577" i="1"/>
  <c r="AL578" i="1"/>
  <c r="AM578" i="1"/>
  <c r="AN578" i="1"/>
  <c r="AL579" i="1"/>
  <c r="AM579" i="1"/>
  <c r="AN579" i="1"/>
  <c r="AL580" i="1"/>
  <c r="AM580" i="1"/>
  <c r="AN580" i="1"/>
  <c r="AL581" i="1"/>
  <c r="AM581" i="1"/>
  <c r="AN581" i="1"/>
  <c r="AL582" i="1"/>
  <c r="AM582" i="1"/>
  <c r="AN582" i="1"/>
  <c r="AL583" i="1"/>
  <c r="AM583" i="1"/>
  <c r="AN583" i="1"/>
  <c r="AL584" i="1"/>
  <c r="AM584" i="1"/>
  <c r="AN584" i="1"/>
  <c r="AL585" i="1"/>
  <c r="AM585" i="1"/>
  <c r="AN585" i="1"/>
  <c r="AL586" i="1"/>
  <c r="AM586" i="1"/>
  <c r="AN586" i="1"/>
  <c r="AL587" i="1"/>
  <c r="AM587" i="1"/>
  <c r="AN587" i="1"/>
  <c r="AL588" i="1"/>
  <c r="AM588" i="1"/>
  <c r="AN588" i="1"/>
  <c r="AL589" i="1"/>
  <c r="AM589" i="1"/>
  <c r="AN589" i="1"/>
  <c r="AL590" i="1"/>
  <c r="AM590" i="1"/>
  <c r="AN590" i="1"/>
  <c r="AL591" i="1"/>
  <c r="AM591" i="1"/>
  <c r="AN591" i="1"/>
  <c r="AL592" i="1"/>
  <c r="AM592" i="1"/>
  <c r="AN592" i="1"/>
  <c r="AL593" i="1"/>
  <c r="AM593" i="1"/>
  <c r="AN593" i="1"/>
  <c r="AL594" i="1"/>
  <c r="AM594" i="1"/>
  <c r="AN594" i="1"/>
  <c r="AL595" i="1"/>
  <c r="AM595" i="1"/>
  <c r="AN595" i="1"/>
  <c r="AL596" i="1"/>
  <c r="AM596" i="1"/>
  <c r="AN596" i="1"/>
  <c r="AL597" i="1"/>
  <c r="AM597" i="1"/>
  <c r="AN597" i="1"/>
  <c r="AL598" i="1"/>
  <c r="AM598" i="1"/>
  <c r="AN598" i="1"/>
  <c r="AL599" i="1"/>
  <c r="AM599" i="1"/>
  <c r="AN599" i="1"/>
  <c r="AL600" i="1"/>
  <c r="AM600" i="1"/>
  <c r="AN600" i="1"/>
  <c r="AL601" i="1"/>
  <c r="AM601" i="1"/>
  <c r="AN601" i="1"/>
  <c r="AL602" i="1"/>
  <c r="AM602" i="1"/>
  <c r="AN602" i="1"/>
  <c r="AL603" i="1"/>
  <c r="AM603" i="1"/>
  <c r="AN603" i="1"/>
  <c r="AL604" i="1"/>
  <c r="AM604" i="1"/>
  <c r="AN604" i="1"/>
  <c r="AL605" i="1"/>
  <c r="AM605" i="1"/>
  <c r="AN605" i="1"/>
  <c r="AL606" i="1"/>
  <c r="AM606" i="1"/>
  <c r="AN606" i="1"/>
  <c r="AL607" i="1"/>
  <c r="AM607" i="1"/>
  <c r="AN607" i="1"/>
  <c r="AL608" i="1"/>
  <c r="AM608" i="1"/>
  <c r="AN608" i="1"/>
  <c r="AL609" i="1"/>
  <c r="AM609" i="1"/>
  <c r="AN609" i="1"/>
  <c r="AL610" i="1"/>
  <c r="AM610" i="1"/>
  <c r="AN610" i="1"/>
  <c r="AL611" i="1"/>
  <c r="AM611" i="1"/>
  <c r="AN611" i="1"/>
  <c r="AL612" i="1"/>
  <c r="AM612" i="1"/>
  <c r="AN612" i="1"/>
  <c r="AL613" i="1"/>
  <c r="AM613" i="1"/>
  <c r="AN613" i="1"/>
  <c r="AL614" i="1"/>
  <c r="AM614" i="1"/>
  <c r="AN614" i="1"/>
  <c r="AL615" i="1"/>
  <c r="AM615" i="1"/>
  <c r="AN615" i="1"/>
  <c r="AL616" i="1"/>
  <c r="AM616" i="1"/>
  <c r="AN616" i="1"/>
  <c r="AL617" i="1"/>
  <c r="AM617" i="1"/>
  <c r="AN617" i="1"/>
  <c r="AL618" i="1"/>
  <c r="AM618" i="1"/>
  <c r="AN618" i="1"/>
  <c r="AL619" i="1"/>
  <c r="AM619" i="1"/>
  <c r="AN619" i="1"/>
  <c r="AL620" i="1"/>
  <c r="AM620" i="1"/>
  <c r="AN620" i="1"/>
  <c r="AL621" i="1"/>
  <c r="AM621" i="1"/>
  <c r="AN621" i="1"/>
  <c r="AL622" i="1"/>
  <c r="AM622" i="1"/>
  <c r="AN622" i="1"/>
  <c r="AL623" i="1"/>
  <c r="AM623" i="1"/>
  <c r="AN623" i="1"/>
  <c r="AL624" i="1"/>
  <c r="AM624" i="1"/>
  <c r="AN624" i="1"/>
  <c r="AL625" i="1"/>
  <c r="AM625" i="1"/>
  <c r="AN625" i="1"/>
  <c r="AL626" i="1"/>
  <c r="AM626" i="1"/>
  <c r="AN626" i="1"/>
  <c r="AL627" i="1"/>
  <c r="AM627" i="1"/>
  <c r="AN627" i="1"/>
  <c r="AL628" i="1"/>
  <c r="AM628" i="1"/>
  <c r="AN628" i="1"/>
  <c r="AL629" i="1"/>
  <c r="AM629" i="1"/>
  <c r="AN629" i="1"/>
  <c r="AL630" i="1"/>
  <c r="AM630" i="1"/>
  <c r="AN630" i="1"/>
  <c r="AL631" i="1"/>
  <c r="AM631" i="1"/>
  <c r="AN631" i="1"/>
  <c r="AL632" i="1"/>
  <c r="AM632" i="1"/>
  <c r="AN632" i="1"/>
  <c r="AL633" i="1"/>
  <c r="AM633" i="1"/>
  <c r="AN633" i="1"/>
  <c r="AL634" i="1"/>
  <c r="AM634" i="1"/>
  <c r="AN634" i="1"/>
  <c r="AL635" i="1"/>
  <c r="AM635" i="1"/>
  <c r="AN635" i="1"/>
  <c r="AL636" i="1"/>
  <c r="AM636" i="1"/>
  <c r="AN636" i="1"/>
  <c r="AL637" i="1"/>
  <c r="AM637" i="1"/>
  <c r="AN637" i="1"/>
  <c r="AL638" i="1"/>
  <c r="AM638" i="1"/>
  <c r="AN638" i="1"/>
  <c r="AL639" i="1"/>
  <c r="AM639" i="1"/>
  <c r="AN639" i="1"/>
  <c r="AL640" i="1"/>
  <c r="AM640" i="1"/>
  <c r="AN640" i="1"/>
  <c r="AL641" i="1"/>
  <c r="AM641" i="1"/>
  <c r="AN641" i="1"/>
  <c r="AL642" i="1"/>
  <c r="AM642" i="1"/>
  <c r="AN642" i="1"/>
  <c r="AL643" i="1"/>
  <c r="AM643" i="1"/>
  <c r="AN643" i="1"/>
  <c r="AL644" i="1"/>
  <c r="AM644" i="1"/>
  <c r="AN644" i="1"/>
  <c r="AL645" i="1"/>
  <c r="AM645" i="1"/>
  <c r="AN645" i="1"/>
  <c r="AL646" i="1"/>
  <c r="AM646" i="1"/>
  <c r="AN646" i="1"/>
  <c r="AL647" i="1"/>
  <c r="AM647" i="1"/>
  <c r="AN647" i="1"/>
  <c r="AL648" i="1"/>
  <c r="AM648" i="1"/>
  <c r="AN648" i="1"/>
  <c r="AL649" i="1"/>
  <c r="AM649" i="1"/>
  <c r="AN649" i="1"/>
  <c r="AL650" i="1"/>
  <c r="AM650" i="1"/>
  <c r="AN650" i="1"/>
  <c r="AL651" i="1"/>
  <c r="AM651" i="1"/>
  <c r="AN651" i="1"/>
  <c r="AL652" i="1"/>
  <c r="AM652" i="1"/>
  <c r="AN652" i="1"/>
  <c r="AL653" i="1"/>
  <c r="AM653" i="1"/>
  <c r="AN653" i="1"/>
  <c r="AL654" i="1"/>
  <c r="AM654" i="1"/>
  <c r="AN654" i="1"/>
  <c r="AL655" i="1"/>
  <c r="AM655" i="1"/>
  <c r="AN655" i="1"/>
  <c r="AL656" i="1"/>
  <c r="AM656" i="1"/>
  <c r="AN656" i="1"/>
  <c r="AL657" i="1"/>
  <c r="AM657" i="1"/>
  <c r="AN657" i="1"/>
  <c r="AL658" i="1"/>
  <c r="AM658" i="1"/>
  <c r="AN658" i="1"/>
  <c r="AL659" i="1"/>
  <c r="AM659" i="1"/>
  <c r="AN659" i="1"/>
  <c r="AL660" i="1"/>
  <c r="AM660" i="1"/>
  <c r="AN660" i="1"/>
  <c r="AL661" i="1"/>
  <c r="AM661" i="1"/>
  <c r="AN661" i="1"/>
  <c r="AL662" i="1"/>
  <c r="AM662" i="1"/>
  <c r="AN662" i="1"/>
  <c r="AL663" i="1"/>
  <c r="AM663" i="1"/>
  <c r="AN663" i="1"/>
  <c r="AL664" i="1"/>
  <c r="AM664" i="1"/>
  <c r="AN664" i="1"/>
  <c r="AL665" i="1"/>
  <c r="AM665" i="1"/>
  <c r="AN665" i="1"/>
  <c r="AL666" i="1"/>
  <c r="AM666" i="1"/>
  <c r="AN666" i="1"/>
  <c r="AL667" i="1"/>
  <c r="AM667" i="1"/>
  <c r="AN667" i="1"/>
  <c r="AL668" i="1"/>
  <c r="AM668" i="1"/>
  <c r="AN668" i="1"/>
  <c r="AL669" i="1"/>
  <c r="AM669" i="1"/>
  <c r="AN669" i="1"/>
  <c r="AL670" i="1"/>
  <c r="AM670" i="1"/>
  <c r="AN670" i="1"/>
  <c r="AL671" i="1"/>
  <c r="AM671" i="1"/>
  <c r="AN671" i="1"/>
  <c r="AL672" i="1"/>
  <c r="AM672" i="1"/>
  <c r="AN672" i="1"/>
  <c r="AL673" i="1"/>
  <c r="AM673" i="1"/>
  <c r="AN673" i="1"/>
  <c r="AL674" i="1"/>
  <c r="AM674" i="1"/>
  <c r="AN674" i="1"/>
  <c r="AL675" i="1"/>
  <c r="AM675" i="1"/>
  <c r="AN675" i="1"/>
  <c r="AL676" i="1"/>
  <c r="AM676" i="1"/>
  <c r="AN676" i="1"/>
  <c r="AL677" i="1"/>
  <c r="AM677" i="1"/>
  <c r="AN677" i="1"/>
  <c r="AL678" i="1"/>
  <c r="AM678" i="1"/>
  <c r="AN678" i="1"/>
  <c r="AL679" i="1"/>
  <c r="AM679" i="1"/>
  <c r="AN679" i="1"/>
  <c r="AL680" i="1"/>
  <c r="AM680" i="1"/>
  <c r="AN680" i="1"/>
  <c r="AL681" i="1"/>
  <c r="AM681" i="1"/>
  <c r="AN681" i="1"/>
  <c r="AL682" i="1"/>
  <c r="AM682" i="1"/>
  <c r="AN682" i="1"/>
  <c r="AL683" i="1"/>
  <c r="AM683" i="1"/>
  <c r="AN683" i="1"/>
  <c r="AL684" i="1"/>
  <c r="AM684" i="1"/>
  <c r="AN684" i="1"/>
  <c r="AL685" i="1"/>
  <c r="AM685" i="1"/>
  <c r="AN685" i="1"/>
  <c r="AL686" i="1"/>
  <c r="AM686" i="1"/>
  <c r="AN686" i="1"/>
  <c r="AL687" i="1"/>
  <c r="AM687" i="1"/>
  <c r="AN687" i="1"/>
  <c r="AL688" i="1"/>
  <c r="AM688" i="1"/>
  <c r="AN688" i="1"/>
  <c r="AL689" i="1"/>
  <c r="AM689" i="1"/>
  <c r="AN689" i="1"/>
  <c r="AL690" i="1"/>
  <c r="AM690" i="1"/>
  <c r="AN690" i="1"/>
  <c r="AL691" i="1"/>
  <c r="AM691" i="1"/>
  <c r="AN691" i="1"/>
  <c r="AL692" i="1"/>
  <c r="AM692" i="1"/>
  <c r="AN692" i="1"/>
  <c r="AL693" i="1"/>
  <c r="AM693" i="1"/>
  <c r="AN693" i="1"/>
  <c r="AL694" i="1"/>
  <c r="AM694" i="1"/>
  <c r="AN694" i="1"/>
  <c r="AL695" i="1"/>
  <c r="AM695" i="1"/>
  <c r="AN695" i="1"/>
  <c r="AL696" i="1"/>
  <c r="AM696" i="1"/>
  <c r="AN696" i="1"/>
  <c r="AL697" i="1"/>
  <c r="AM697" i="1"/>
  <c r="AN697" i="1"/>
  <c r="AL698" i="1"/>
  <c r="AM698" i="1"/>
  <c r="AN698" i="1"/>
  <c r="AL699" i="1"/>
  <c r="AM699" i="1"/>
  <c r="AN699" i="1"/>
  <c r="AL700" i="1"/>
  <c r="AM700" i="1"/>
  <c r="AN700" i="1"/>
  <c r="AL701" i="1"/>
  <c r="AM701" i="1"/>
  <c r="AN701" i="1"/>
  <c r="AL702" i="1"/>
  <c r="AM702" i="1"/>
  <c r="AN702" i="1"/>
  <c r="AL703" i="1"/>
  <c r="AM703" i="1"/>
  <c r="AN703" i="1"/>
  <c r="AL704" i="1"/>
  <c r="AM704" i="1"/>
  <c r="AN704" i="1"/>
  <c r="AL705" i="1"/>
  <c r="AM705" i="1"/>
  <c r="AN705" i="1"/>
  <c r="AL706" i="1"/>
  <c r="AM706" i="1"/>
  <c r="AN706" i="1"/>
  <c r="AL707" i="1"/>
  <c r="AM707" i="1"/>
  <c r="AN707" i="1"/>
  <c r="AL708" i="1"/>
  <c r="AM708" i="1"/>
  <c r="AN708" i="1"/>
  <c r="AL709" i="1"/>
  <c r="AM709" i="1"/>
  <c r="AN709" i="1"/>
  <c r="AL710" i="1"/>
  <c r="AM710" i="1"/>
  <c r="AN710" i="1"/>
  <c r="AL711" i="1"/>
  <c r="AM711" i="1"/>
  <c r="AN711" i="1"/>
  <c r="AL712" i="1"/>
  <c r="AM712" i="1"/>
  <c r="AN712" i="1"/>
  <c r="AL713" i="1"/>
  <c r="AM713" i="1"/>
  <c r="AN713" i="1"/>
  <c r="AL714" i="1"/>
  <c r="AM714" i="1"/>
  <c r="AN714" i="1"/>
  <c r="AL715" i="1"/>
  <c r="AM715" i="1"/>
  <c r="AN715" i="1"/>
  <c r="AL716" i="1"/>
  <c r="AM716" i="1"/>
  <c r="AN716" i="1"/>
  <c r="AL717" i="1"/>
  <c r="AM717" i="1"/>
  <c r="AN717" i="1"/>
  <c r="AL718" i="1"/>
  <c r="AM718" i="1"/>
  <c r="AN718" i="1"/>
  <c r="AL719" i="1"/>
  <c r="AM719" i="1"/>
  <c r="AN719" i="1"/>
  <c r="AL720" i="1"/>
  <c r="AM720" i="1"/>
  <c r="AN720" i="1"/>
  <c r="AL721" i="1"/>
  <c r="AM721" i="1"/>
  <c r="AN721" i="1"/>
  <c r="AL722" i="1"/>
  <c r="AM722" i="1"/>
  <c r="AN722" i="1"/>
  <c r="AL723" i="1"/>
  <c r="AM723" i="1"/>
  <c r="AN723" i="1"/>
  <c r="AL724" i="1"/>
  <c r="AM724" i="1"/>
  <c r="AN724" i="1"/>
  <c r="AL725" i="1"/>
  <c r="AM725" i="1"/>
  <c r="AN725" i="1"/>
  <c r="AL726" i="1"/>
  <c r="AM726" i="1"/>
  <c r="AN726" i="1"/>
  <c r="AL727" i="1"/>
  <c r="AM727" i="1"/>
  <c r="AN727" i="1"/>
  <c r="AL728" i="1"/>
  <c r="AM728" i="1"/>
  <c r="AN728" i="1"/>
  <c r="AL729" i="1"/>
  <c r="AM729" i="1"/>
  <c r="AN729" i="1"/>
  <c r="AL730" i="1"/>
  <c r="AM730" i="1"/>
  <c r="AN730" i="1"/>
  <c r="AL731" i="1"/>
  <c r="AM731" i="1"/>
  <c r="AN731" i="1"/>
  <c r="AL732" i="1"/>
  <c r="AM732" i="1"/>
  <c r="AN732" i="1"/>
  <c r="AL733" i="1"/>
  <c r="AM733" i="1"/>
  <c r="AN733" i="1"/>
  <c r="AL734" i="1"/>
  <c r="AM734" i="1"/>
  <c r="AN734" i="1"/>
  <c r="AL735" i="1"/>
  <c r="AM735" i="1"/>
  <c r="AN735" i="1"/>
  <c r="AL736" i="1"/>
  <c r="AM736" i="1"/>
  <c r="AN736" i="1"/>
  <c r="AL737" i="1"/>
  <c r="AM737" i="1"/>
  <c r="AN737" i="1"/>
  <c r="AL738" i="1"/>
  <c r="AM738" i="1"/>
  <c r="AN738" i="1"/>
  <c r="AL739" i="1"/>
  <c r="AM739" i="1"/>
  <c r="AN739" i="1"/>
  <c r="AL740" i="1"/>
  <c r="AM740" i="1"/>
  <c r="AN740" i="1"/>
  <c r="AL741" i="1"/>
  <c r="AM741" i="1"/>
  <c r="AN741" i="1"/>
  <c r="AL742" i="1"/>
  <c r="AM742" i="1"/>
  <c r="AN742" i="1"/>
  <c r="AL743" i="1"/>
  <c r="AM743" i="1"/>
  <c r="AN743" i="1"/>
  <c r="AL744" i="1"/>
  <c r="AM744" i="1"/>
  <c r="AN744" i="1"/>
  <c r="AL745" i="1"/>
  <c r="AM745" i="1"/>
  <c r="AN745" i="1"/>
  <c r="AL746" i="1"/>
  <c r="AM746" i="1"/>
  <c r="AN746" i="1"/>
  <c r="AL747" i="1"/>
  <c r="AM747" i="1"/>
  <c r="AN747" i="1"/>
  <c r="AL748" i="1"/>
  <c r="AM748" i="1"/>
  <c r="AN748" i="1"/>
  <c r="AL749" i="1"/>
  <c r="AM749" i="1"/>
  <c r="AN749" i="1"/>
  <c r="AL750" i="1"/>
  <c r="AM750" i="1"/>
  <c r="AN750" i="1"/>
  <c r="AL751" i="1"/>
  <c r="AM751" i="1"/>
  <c r="AN751" i="1"/>
  <c r="AL752" i="1"/>
  <c r="AM752" i="1"/>
  <c r="AN752" i="1"/>
  <c r="AL753" i="1"/>
  <c r="AM753" i="1"/>
  <c r="AN753" i="1"/>
  <c r="AL754" i="1"/>
  <c r="AM754" i="1"/>
  <c r="AN754" i="1"/>
  <c r="AL755" i="1"/>
  <c r="AM755" i="1"/>
  <c r="AN755" i="1"/>
  <c r="AL756" i="1"/>
  <c r="AM756" i="1"/>
  <c r="AN756" i="1"/>
  <c r="AL757" i="1"/>
  <c r="AM757" i="1"/>
  <c r="AN757" i="1"/>
  <c r="AL758" i="1"/>
  <c r="AM758" i="1"/>
  <c r="AN758" i="1"/>
  <c r="AL759" i="1"/>
  <c r="AM759" i="1"/>
  <c r="AN759" i="1"/>
  <c r="AL760" i="1"/>
  <c r="AM760" i="1"/>
  <c r="AN760" i="1"/>
  <c r="AL761" i="1"/>
  <c r="AM761" i="1"/>
  <c r="AN761" i="1"/>
  <c r="AL762" i="1"/>
  <c r="AM762" i="1"/>
  <c r="AN762" i="1"/>
  <c r="AL763" i="1"/>
  <c r="AM763" i="1"/>
  <c r="AN763" i="1"/>
  <c r="AL764" i="1"/>
  <c r="AM764" i="1"/>
  <c r="AN764" i="1"/>
  <c r="AL765" i="1"/>
  <c r="AM765" i="1"/>
  <c r="AN765" i="1"/>
  <c r="AL766" i="1"/>
  <c r="AM766" i="1"/>
  <c r="AN766" i="1"/>
  <c r="AL767" i="1"/>
  <c r="AM767" i="1"/>
  <c r="AN767" i="1"/>
  <c r="AL768" i="1"/>
  <c r="AM768" i="1"/>
  <c r="AN768" i="1"/>
  <c r="AL769" i="1"/>
  <c r="AM769" i="1"/>
  <c r="AN769" i="1"/>
  <c r="AL770" i="1"/>
  <c r="AM770" i="1"/>
  <c r="AN770" i="1"/>
  <c r="AL771" i="1"/>
  <c r="AM771" i="1"/>
  <c r="AN771" i="1"/>
  <c r="AL772" i="1"/>
  <c r="AM772" i="1"/>
  <c r="AN772" i="1"/>
  <c r="AL773" i="1"/>
  <c r="AM773" i="1"/>
  <c r="AN773" i="1"/>
  <c r="AL774" i="1"/>
  <c r="AM774" i="1"/>
  <c r="AN774" i="1"/>
  <c r="AL775" i="1"/>
  <c r="AM775" i="1"/>
  <c r="AN775" i="1"/>
  <c r="AL776" i="1"/>
  <c r="AM776" i="1"/>
  <c r="AN776" i="1"/>
  <c r="AL777" i="1"/>
  <c r="AM777" i="1"/>
  <c r="AN777" i="1"/>
  <c r="AL778" i="1"/>
  <c r="AM778" i="1"/>
  <c r="AN778" i="1"/>
  <c r="AL779" i="1"/>
  <c r="AM779" i="1"/>
  <c r="AN779" i="1"/>
  <c r="AL780" i="1"/>
  <c r="AM780" i="1"/>
  <c r="AN780" i="1"/>
  <c r="AL781" i="1"/>
  <c r="AM781" i="1"/>
  <c r="AN781" i="1"/>
  <c r="AL782" i="1"/>
  <c r="AM782" i="1"/>
  <c r="AN782" i="1"/>
  <c r="AL359" i="1"/>
  <c r="AM359" i="1"/>
  <c r="AN359" i="1"/>
  <c r="AL360" i="1"/>
  <c r="AM360" i="1"/>
  <c r="AN360" i="1"/>
  <c r="AL361" i="1"/>
  <c r="AM361" i="1"/>
  <c r="AN361" i="1"/>
  <c r="AL362" i="1"/>
  <c r="AM362" i="1"/>
  <c r="AN362" i="1"/>
  <c r="AL363" i="1"/>
  <c r="AM363" i="1"/>
  <c r="AN363" i="1"/>
  <c r="AL364" i="1"/>
  <c r="AM364" i="1"/>
  <c r="AN364" i="1"/>
  <c r="AL365" i="1"/>
  <c r="AM365" i="1"/>
  <c r="AN365" i="1"/>
  <c r="AL366" i="1"/>
  <c r="AM366" i="1"/>
  <c r="AN366" i="1"/>
  <c r="AL367" i="1"/>
  <c r="AM367" i="1"/>
  <c r="AN367" i="1"/>
  <c r="AL368" i="1"/>
  <c r="AM368" i="1"/>
  <c r="AN368" i="1"/>
  <c r="AL369" i="1"/>
  <c r="AM369" i="1"/>
  <c r="AN369" i="1"/>
  <c r="AL370" i="1"/>
  <c r="AM370" i="1"/>
  <c r="AN370" i="1"/>
  <c r="AL371" i="1"/>
  <c r="AM371" i="1"/>
  <c r="AN371" i="1"/>
  <c r="AL372" i="1"/>
  <c r="AM372" i="1"/>
  <c r="AN372" i="1"/>
  <c r="AL373" i="1"/>
  <c r="AM373" i="1"/>
  <c r="AN373" i="1"/>
  <c r="AL374" i="1"/>
  <c r="AM374" i="1"/>
  <c r="AN374" i="1"/>
  <c r="AL375" i="1"/>
  <c r="AM375" i="1"/>
  <c r="AN375" i="1"/>
  <c r="AL376" i="1"/>
  <c r="AM376" i="1"/>
  <c r="AN376" i="1"/>
  <c r="AL377" i="1"/>
  <c r="AM377" i="1"/>
  <c r="AN377" i="1"/>
  <c r="AL378" i="1"/>
  <c r="AM378" i="1"/>
  <c r="AN378" i="1"/>
  <c r="AL379" i="1"/>
  <c r="AM379" i="1"/>
  <c r="AN379" i="1"/>
  <c r="AL380" i="1"/>
  <c r="AM380" i="1"/>
  <c r="AN380" i="1"/>
  <c r="AL381" i="1"/>
  <c r="AM381" i="1"/>
  <c r="AN381" i="1"/>
  <c r="AL382" i="1"/>
  <c r="AM382" i="1"/>
  <c r="AN382" i="1"/>
  <c r="AL383" i="1"/>
  <c r="AM383" i="1"/>
  <c r="AN383" i="1"/>
  <c r="AL384" i="1"/>
  <c r="AM384" i="1"/>
  <c r="AN384" i="1"/>
  <c r="AL385" i="1"/>
  <c r="AM385" i="1"/>
  <c r="AN385" i="1"/>
  <c r="AL386" i="1"/>
  <c r="AM386" i="1"/>
  <c r="AN386" i="1"/>
  <c r="AL387" i="1"/>
  <c r="AM387" i="1"/>
  <c r="AN387" i="1"/>
  <c r="AL388" i="1"/>
  <c r="AM388" i="1"/>
  <c r="AN388" i="1"/>
  <c r="AL389" i="1"/>
  <c r="AM389" i="1"/>
  <c r="AN389" i="1"/>
  <c r="AL390" i="1"/>
  <c r="AM390" i="1"/>
  <c r="AN390" i="1"/>
  <c r="AL391" i="1"/>
  <c r="AM391" i="1"/>
  <c r="AN391" i="1"/>
  <c r="AL392" i="1"/>
  <c r="AM392" i="1"/>
  <c r="AN392" i="1"/>
  <c r="AL393" i="1"/>
  <c r="AM393" i="1"/>
  <c r="AN393" i="1"/>
  <c r="AL394" i="1"/>
  <c r="AM394" i="1"/>
  <c r="AN394" i="1"/>
  <c r="AL395" i="1"/>
  <c r="AM395" i="1"/>
  <c r="AN395" i="1"/>
  <c r="AL346" i="1"/>
  <c r="AM346" i="1"/>
  <c r="AN346" i="1"/>
  <c r="AL347" i="1"/>
  <c r="AM347" i="1"/>
  <c r="AN347" i="1"/>
  <c r="AL348" i="1"/>
  <c r="AM348" i="1"/>
  <c r="AN348" i="1"/>
  <c r="AL349" i="1"/>
  <c r="AM349" i="1"/>
  <c r="AN349" i="1"/>
  <c r="AL350" i="1"/>
  <c r="AM350" i="1"/>
  <c r="AN350" i="1"/>
  <c r="AL351" i="1"/>
  <c r="AM351" i="1"/>
  <c r="AN351" i="1"/>
  <c r="AL352" i="1"/>
  <c r="AM352" i="1"/>
  <c r="AN352" i="1"/>
  <c r="AL353" i="1"/>
  <c r="AM353" i="1"/>
  <c r="AN353" i="1"/>
  <c r="AL354" i="1"/>
  <c r="AM354" i="1"/>
  <c r="AN354" i="1"/>
  <c r="AL355" i="1"/>
  <c r="AM355" i="1"/>
  <c r="AN355" i="1"/>
  <c r="AL356" i="1"/>
  <c r="AM356" i="1"/>
  <c r="AN356" i="1"/>
  <c r="AL357" i="1"/>
  <c r="AM357" i="1"/>
  <c r="AN357" i="1"/>
  <c r="AL358" i="1"/>
  <c r="AM358" i="1"/>
  <c r="AN358" i="1"/>
  <c r="AL3" i="1"/>
  <c r="AM3" i="1"/>
  <c r="AN3" i="1"/>
  <c r="AL4" i="1"/>
  <c r="AM4" i="1"/>
  <c r="AN4" i="1"/>
  <c r="AL5" i="1"/>
  <c r="AM5" i="1"/>
  <c r="AN5" i="1"/>
  <c r="AL6" i="1"/>
  <c r="AM6" i="1"/>
  <c r="AN6" i="1"/>
  <c r="AL7" i="1"/>
  <c r="AM7" i="1"/>
  <c r="AN7" i="1"/>
  <c r="AL8" i="1"/>
  <c r="AM8" i="1"/>
  <c r="AN8" i="1"/>
  <c r="AL9" i="1"/>
  <c r="AM9" i="1"/>
  <c r="AN9" i="1"/>
  <c r="AL10" i="1"/>
  <c r="AM10" i="1"/>
  <c r="AN10" i="1"/>
  <c r="AL11" i="1"/>
  <c r="AM11" i="1"/>
  <c r="AN11" i="1"/>
  <c r="AL12" i="1"/>
  <c r="AM12" i="1"/>
  <c r="AN12" i="1"/>
  <c r="AL13" i="1"/>
  <c r="AM13" i="1"/>
  <c r="AN13" i="1"/>
  <c r="AL14" i="1"/>
  <c r="AM14" i="1"/>
  <c r="AN14" i="1"/>
  <c r="AL15" i="1"/>
  <c r="AM15" i="1"/>
  <c r="AN15" i="1"/>
  <c r="AL16" i="1"/>
  <c r="AM16" i="1"/>
  <c r="AN16" i="1"/>
  <c r="AL17" i="1"/>
  <c r="AM17" i="1"/>
  <c r="AN17" i="1"/>
  <c r="AL18" i="1"/>
  <c r="AM18" i="1"/>
  <c r="AN18" i="1"/>
  <c r="AL19" i="1"/>
  <c r="AM19" i="1"/>
  <c r="AN19" i="1"/>
  <c r="AL20" i="1"/>
  <c r="AM20" i="1"/>
  <c r="AN20" i="1"/>
  <c r="AL21" i="1"/>
  <c r="AM21" i="1"/>
  <c r="AN21" i="1"/>
  <c r="AL22" i="1"/>
  <c r="AM22" i="1"/>
  <c r="AN22" i="1"/>
  <c r="AL23" i="1"/>
  <c r="AM23" i="1"/>
  <c r="AN23" i="1"/>
  <c r="AL24" i="1"/>
  <c r="AM24" i="1"/>
  <c r="AN24" i="1"/>
  <c r="AL25" i="1"/>
  <c r="AM25" i="1"/>
  <c r="AN25" i="1"/>
  <c r="AL26" i="1"/>
  <c r="AM26" i="1"/>
  <c r="AN26" i="1"/>
  <c r="AL27" i="1"/>
  <c r="AM27" i="1"/>
  <c r="AN27" i="1"/>
  <c r="AL28" i="1"/>
  <c r="AM28" i="1"/>
  <c r="AN28" i="1"/>
  <c r="AL29" i="1"/>
  <c r="AM29" i="1"/>
  <c r="AN29" i="1"/>
  <c r="AL30" i="1"/>
  <c r="AM30" i="1"/>
  <c r="AN30" i="1"/>
  <c r="AL31" i="1"/>
  <c r="AM31" i="1"/>
  <c r="AN31" i="1"/>
  <c r="AL32" i="1"/>
  <c r="AM32" i="1"/>
  <c r="AN32" i="1"/>
  <c r="AL33" i="1"/>
  <c r="AM33" i="1"/>
  <c r="AN33" i="1"/>
  <c r="AL34" i="1"/>
  <c r="AM34" i="1"/>
  <c r="AN34" i="1"/>
  <c r="AL35" i="1"/>
  <c r="AM35" i="1"/>
  <c r="AN35" i="1"/>
  <c r="AL36" i="1"/>
  <c r="AM36" i="1"/>
  <c r="AN36" i="1"/>
  <c r="AL37" i="1"/>
  <c r="AM37" i="1"/>
  <c r="AN37" i="1"/>
  <c r="AL38" i="1"/>
  <c r="AM38" i="1"/>
  <c r="AN38" i="1"/>
  <c r="AL39" i="1"/>
  <c r="AM39" i="1"/>
  <c r="AN39" i="1"/>
  <c r="AL40" i="1"/>
  <c r="AM40" i="1"/>
  <c r="AN40" i="1"/>
  <c r="AL41" i="1"/>
  <c r="AM41" i="1"/>
  <c r="AN41" i="1"/>
  <c r="AL42" i="1"/>
  <c r="AM42" i="1"/>
  <c r="AN42" i="1"/>
  <c r="AL43" i="1"/>
  <c r="AM43" i="1"/>
  <c r="AN43" i="1"/>
  <c r="AL44" i="1"/>
  <c r="AM44" i="1"/>
  <c r="AN44" i="1"/>
  <c r="AL45" i="1"/>
  <c r="AM45" i="1"/>
  <c r="AN45" i="1"/>
  <c r="AL46" i="1"/>
  <c r="AM46" i="1"/>
  <c r="AN46" i="1"/>
  <c r="AL47" i="1"/>
  <c r="AM47" i="1"/>
  <c r="AN47" i="1"/>
  <c r="AL48" i="1"/>
  <c r="AM48" i="1"/>
  <c r="AN48" i="1"/>
  <c r="AL49" i="1"/>
  <c r="AM49" i="1"/>
  <c r="AN49" i="1"/>
  <c r="AL50" i="1"/>
  <c r="AM50" i="1"/>
  <c r="AN50" i="1"/>
  <c r="AL51" i="1"/>
  <c r="AM51" i="1"/>
  <c r="AN51" i="1"/>
  <c r="AL52" i="1"/>
  <c r="AM52" i="1"/>
  <c r="AN52" i="1"/>
  <c r="AL53" i="1"/>
  <c r="AM53" i="1"/>
  <c r="AN53" i="1"/>
  <c r="AL54" i="1"/>
  <c r="AM54" i="1"/>
  <c r="AN54" i="1"/>
  <c r="AL55" i="1"/>
  <c r="AM55" i="1"/>
  <c r="AN55" i="1"/>
  <c r="AL56" i="1"/>
  <c r="AM56" i="1"/>
  <c r="AN56" i="1"/>
  <c r="AL57" i="1"/>
  <c r="AM57" i="1"/>
  <c r="AN57" i="1"/>
  <c r="AL58" i="1"/>
  <c r="AM58" i="1"/>
  <c r="AN58" i="1"/>
  <c r="AL59" i="1"/>
  <c r="AM59" i="1"/>
  <c r="AN59" i="1"/>
  <c r="AL60" i="1"/>
  <c r="AM60" i="1"/>
  <c r="AN60" i="1"/>
  <c r="AL61" i="1"/>
  <c r="AM61" i="1"/>
  <c r="AN61" i="1"/>
  <c r="AL62" i="1"/>
  <c r="AM62" i="1"/>
  <c r="AN62" i="1"/>
  <c r="AL63" i="1"/>
  <c r="AM63" i="1"/>
  <c r="AN63" i="1"/>
  <c r="AL64" i="1"/>
  <c r="AM64" i="1"/>
  <c r="AN64" i="1"/>
  <c r="AL65" i="1"/>
  <c r="AM65" i="1"/>
  <c r="AN65" i="1"/>
  <c r="AL66" i="1"/>
  <c r="AM66" i="1"/>
  <c r="AN66" i="1"/>
  <c r="AL67" i="1"/>
  <c r="AM67" i="1"/>
  <c r="AN67" i="1"/>
  <c r="AL68" i="1"/>
  <c r="AM68" i="1"/>
  <c r="AN68" i="1"/>
  <c r="AL69" i="1"/>
  <c r="AM69" i="1"/>
  <c r="AN69" i="1"/>
  <c r="AL70" i="1"/>
  <c r="AM70" i="1"/>
  <c r="AN70" i="1"/>
  <c r="AL71" i="1"/>
  <c r="AM71" i="1"/>
  <c r="AN71" i="1"/>
  <c r="AL72" i="1"/>
  <c r="AM72" i="1"/>
  <c r="AN72" i="1"/>
  <c r="AL73" i="1"/>
  <c r="AM73" i="1"/>
  <c r="AN73" i="1"/>
  <c r="AL74" i="1"/>
  <c r="AM74" i="1"/>
  <c r="AN74" i="1"/>
  <c r="AL75" i="1"/>
  <c r="AM75" i="1"/>
  <c r="AN75" i="1"/>
  <c r="AL76" i="1"/>
  <c r="AM76" i="1"/>
  <c r="AN76" i="1"/>
  <c r="AL77" i="1"/>
  <c r="AM77" i="1"/>
  <c r="AN77" i="1"/>
  <c r="AL78" i="1"/>
  <c r="AM78" i="1"/>
  <c r="AN78" i="1"/>
  <c r="AL79" i="1"/>
  <c r="AM79" i="1"/>
  <c r="AN79" i="1"/>
  <c r="AL80" i="1"/>
  <c r="AM80" i="1"/>
  <c r="AN80" i="1"/>
  <c r="AL81" i="1"/>
  <c r="AM81" i="1"/>
  <c r="AN81" i="1"/>
  <c r="AL82" i="1"/>
  <c r="AM82" i="1"/>
  <c r="AN82" i="1"/>
  <c r="AL83" i="1"/>
  <c r="AM83" i="1"/>
  <c r="AN83" i="1"/>
  <c r="AL84" i="1"/>
  <c r="AM84" i="1"/>
  <c r="AN84" i="1"/>
  <c r="AL85" i="1"/>
  <c r="AM85" i="1"/>
  <c r="AN85" i="1"/>
  <c r="AL86" i="1"/>
  <c r="AM86" i="1"/>
  <c r="AN86" i="1"/>
  <c r="AL87" i="1"/>
  <c r="AM87" i="1"/>
  <c r="AN87" i="1"/>
  <c r="AL88" i="1"/>
  <c r="AM88" i="1"/>
  <c r="AN88" i="1"/>
  <c r="AL89" i="1"/>
  <c r="AM89" i="1"/>
  <c r="AN89" i="1"/>
  <c r="AL90" i="1"/>
  <c r="AM90" i="1"/>
  <c r="AN90" i="1"/>
  <c r="AL91" i="1"/>
  <c r="AM91" i="1"/>
  <c r="AN91" i="1"/>
  <c r="AL92" i="1"/>
  <c r="AM92" i="1"/>
  <c r="AN92" i="1"/>
  <c r="AL93" i="1"/>
  <c r="AM93" i="1"/>
  <c r="AN93" i="1"/>
  <c r="AL94" i="1"/>
  <c r="AM94" i="1"/>
  <c r="AN94" i="1"/>
  <c r="AL95" i="1"/>
  <c r="AM95" i="1"/>
  <c r="AN95" i="1"/>
  <c r="AL96" i="1"/>
  <c r="AM96" i="1"/>
  <c r="AN96" i="1"/>
  <c r="AL97" i="1"/>
  <c r="AM97" i="1"/>
  <c r="AN97" i="1"/>
  <c r="AL98" i="1"/>
  <c r="AM98" i="1"/>
  <c r="AN98" i="1"/>
  <c r="AL99" i="1"/>
  <c r="AM99" i="1"/>
  <c r="AN99" i="1"/>
  <c r="AL100" i="1"/>
  <c r="AM100" i="1"/>
  <c r="AN100" i="1"/>
  <c r="AL101" i="1"/>
  <c r="AM101" i="1"/>
  <c r="AN101" i="1"/>
  <c r="AL102" i="1"/>
  <c r="AM102" i="1"/>
  <c r="AN102" i="1"/>
  <c r="AL103" i="1"/>
  <c r="AM103" i="1"/>
  <c r="AN103" i="1"/>
  <c r="AL104" i="1"/>
  <c r="AM104" i="1"/>
  <c r="AN104" i="1"/>
  <c r="AL105" i="1"/>
  <c r="AM105" i="1"/>
  <c r="AN105" i="1"/>
  <c r="AL106" i="1"/>
  <c r="AM106" i="1"/>
  <c r="AN106" i="1"/>
  <c r="AL107" i="1"/>
  <c r="AM107" i="1"/>
  <c r="AN107" i="1"/>
  <c r="AL108" i="1"/>
  <c r="AM108" i="1"/>
  <c r="AN108" i="1"/>
  <c r="AL109" i="1"/>
  <c r="AM109" i="1"/>
  <c r="AN109" i="1"/>
  <c r="AL110" i="1"/>
  <c r="AM110" i="1"/>
  <c r="AN110" i="1"/>
  <c r="AL111" i="1"/>
  <c r="AM111" i="1"/>
  <c r="AN111" i="1"/>
  <c r="AL112" i="1"/>
  <c r="AM112" i="1"/>
  <c r="AN112" i="1"/>
  <c r="AL113" i="1"/>
  <c r="AM113" i="1"/>
  <c r="AN113" i="1"/>
  <c r="AL114" i="1"/>
  <c r="AM114" i="1"/>
  <c r="AN114" i="1"/>
  <c r="AL115" i="1"/>
  <c r="AM115" i="1"/>
  <c r="AN115" i="1"/>
  <c r="AL116" i="1"/>
  <c r="AM116" i="1"/>
  <c r="AN116" i="1"/>
  <c r="AL117" i="1"/>
  <c r="AM117" i="1"/>
  <c r="AN117" i="1"/>
  <c r="AL118" i="1"/>
  <c r="AM118" i="1"/>
  <c r="AN118" i="1"/>
  <c r="AL119" i="1"/>
  <c r="AM119" i="1"/>
  <c r="AN119" i="1"/>
  <c r="AL120" i="1"/>
  <c r="AM120" i="1"/>
  <c r="AN120" i="1"/>
  <c r="AL121" i="1"/>
  <c r="AM121" i="1"/>
  <c r="AN121" i="1"/>
  <c r="AL122" i="1"/>
  <c r="AM122" i="1"/>
  <c r="AN122" i="1"/>
  <c r="AL123" i="1"/>
  <c r="AM123" i="1"/>
  <c r="AN123" i="1"/>
  <c r="AL124" i="1"/>
  <c r="AM124" i="1"/>
  <c r="AN124" i="1"/>
  <c r="AL125" i="1"/>
  <c r="AM125" i="1"/>
  <c r="AN125" i="1"/>
  <c r="AL126" i="1"/>
  <c r="AM126" i="1"/>
  <c r="AN126" i="1"/>
  <c r="AL127" i="1"/>
  <c r="AM127" i="1"/>
  <c r="AN127" i="1"/>
  <c r="AL128" i="1"/>
  <c r="AM128" i="1"/>
  <c r="AN128" i="1"/>
  <c r="AL129" i="1"/>
  <c r="AM129" i="1"/>
  <c r="AN129" i="1"/>
  <c r="AL130" i="1"/>
  <c r="AM130" i="1"/>
  <c r="AN130" i="1"/>
  <c r="AL131" i="1"/>
  <c r="AM131" i="1"/>
  <c r="AN131" i="1"/>
  <c r="AL132" i="1"/>
  <c r="AM132" i="1"/>
  <c r="AN132" i="1"/>
  <c r="AL133" i="1"/>
  <c r="AM133" i="1"/>
  <c r="AN133" i="1"/>
  <c r="AL134" i="1"/>
  <c r="AM134" i="1"/>
  <c r="AN134" i="1"/>
  <c r="AL135" i="1"/>
  <c r="AM135" i="1"/>
  <c r="AN135" i="1"/>
  <c r="AL136" i="1"/>
  <c r="AM136" i="1"/>
  <c r="AN136" i="1"/>
  <c r="AL137" i="1"/>
  <c r="AM137" i="1"/>
  <c r="AN137" i="1"/>
  <c r="AL138" i="1"/>
  <c r="AM138" i="1"/>
  <c r="AN138" i="1"/>
  <c r="AL139" i="1"/>
  <c r="AM139" i="1"/>
  <c r="AN139" i="1"/>
  <c r="AL140" i="1"/>
  <c r="AM140" i="1"/>
  <c r="AN140" i="1"/>
  <c r="AL141" i="1"/>
  <c r="AM141" i="1"/>
  <c r="AN141" i="1"/>
  <c r="AL142" i="1"/>
  <c r="AM142" i="1"/>
  <c r="AN142" i="1"/>
  <c r="AL143" i="1"/>
  <c r="AM143" i="1"/>
  <c r="AN143" i="1"/>
  <c r="AL144" i="1"/>
  <c r="AM144" i="1"/>
  <c r="AN144" i="1"/>
  <c r="AL145" i="1"/>
  <c r="AM145" i="1"/>
  <c r="AN145" i="1"/>
  <c r="AL146" i="1"/>
  <c r="AM146" i="1"/>
  <c r="AN146" i="1"/>
  <c r="AL147" i="1"/>
  <c r="AM147" i="1"/>
  <c r="AN147" i="1"/>
  <c r="AL148" i="1"/>
  <c r="AM148" i="1"/>
  <c r="AN148" i="1"/>
  <c r="AL149" i="1"/>
  <c r="AM149" i="1"/>
  <c r="AN149" i="1"/>
  <c r="AL150" i="1"/>
  <c r="AM150" i="1"/>
  <c r="AN150" i="1"/>
  <c r="AL151" i="1"/>
  <c r="AM151" i="1"/>
  <c r="AN151" i="1"/>
  <c r="AL152" i="1"/>
  <c r="AM152" i="1"/>
  <c r="AN152" i="1"/>
  <c r="AL153" i="1"/>
  <c r="AM153" i="1"/>
  <c r="AN153" i="1"/>
  <c r="AL154" i="1"/>
  <c r="AM154" i="1"/>
  <c r="AN154" i="1"/>
  <c r="AL155" i="1"/>
  <c r="AM155" i="1"/>
  <c r="AN155" i="1"/>
  <c r="AL156" i="1"/>
  <c r="AM156" i="1"/>
  <c r="AN156" i="1"/>
  <c r="AL157" i="1"/>
  <c r="AM157" i="1"/>
  <c r="AN157" i="1"/>
  <c r="AL158" i="1"/>
  <c r="AM158" i="1"/>
  <c r="AN158" i="1"/>
  <c r="AL159" i="1"/>
  <c r="AM159" i="1"/>
  <c r="AN159" i="1"/>
  <c r="AL160" i="1"/>
  <c r="AM160" i="1"/>
  <c r="AN160" i="1"/>
  <c r="AL161" i="1"/>
  <c r="AM161" i="1"/>
  <c r="AN161" i="1"/>
  <c r="AL162" i="1"/>
  <c r="AM162" i="1"/>
  <c r="AN162" i="1"/>
  <c r="AL163" i="1"/>
  <c r="AM163" i="1"/>
  <c r="AN163" i="1"/>
  <c r="AL164" i="1"/>
  <c r="AM164" i="1"/>
  <c r="AN164" i="1"/>
  <c r="AL165" i="1"/>
  <c r="AM165" i="1"/>
  <c r="AN165" i="1"/>
  <c r="AL166" i="1"/>
  <c r="AM166" i="1"/>
  <c r="AN166" i="1"/>
  <c r="AL167" i="1"/>
  <c r="AM167" i="1"/>
  <c r="AN167" i="1"/>
  <c r="AL168" i="1"/>
  <c r="AM168" i="1"/>
  <c r="AN168" i="1"/>
  <c r="AL169" i="1"/>
  <c r="AM169" i="1"/>
  <c r="AN169" i="1"/>
  <c r="AL170" i="1"/>
  <c r="AM170" i="1"/>
  <c r="AN170" i="1"/>
  <c r="AL171" i="1"/>
  <c r="AM171" i="1"/>
  <c r="AN171" i="1"/>
  <c r="AL172" i="1"/>
  <c r="AM172" i="1"/>
  <c r="AN172" i="1"/>
  <c r="AL173" i="1"/>
  <c r="AM173" i="1"/>
  <c r="AN173" i="1"/>
  <c r="AL174" i="1"/>
  <c r="AM174" i="1"/>
  <c r="AN174" i="1"/>
  <c r="AL175" i="1"/>
  <c r="AM175" i="1"/>
  <c r="AN175" i="1"/>
  <c r="AL176" i="1"/>
  <c r="AM176" i="1"/>
  <c r="AN176" i="1"/>
  <c r="AL177" i="1"/>
  <c r="AM177" i="1"/>
  <c r="AN177" i="1"/>
  <c r="AL178" i="1"/>
  <c r="AM178" i="1"/>
  <c r="AN178" i="1"/>
  <c r="AL179" i="1"/>
  <c r="AM179" i="1"/>
  <c r="AN179" i="1"/>
  <c r="AL180" i="1"/>
  <c r="AM180" i="1"/>
  <c r="AN180" i="1"/>
  <c r="AL181" i="1"/>
  <c r="AM181" i="1"/>
  <c r="AN181" i="1"/>
  <c r="AL182" i="1"/>
  <c r="AM182" i="1"/>
  <c r="AN182" i="1"/>
  <c r="AL183" i="1"/>
  <c r="AM183" i="1"/>
  <c r="AN183" i="1"/>
  <c r="AL184" i="1"/>
  <c r="AM184" i="1"/>
  <c r="AN184" i="1"/>
  <c r="AL185" i="1"/>
  <c r="AM185" i="1"/>
  <c r="AN185" i="1"/>
  <c r="AL186" i="1"/>
  <c r="AM186" i="1"/>
  <c r="AN186" i="1"/>
  <c r="AL187" i="1"/>
  <c r="AM187" i="1"/>
  <c r="AN187" i="1"/>
  <c r="AL188" i="1"/>
  <c r="AM188" i="1"/>
  <c r="AN188" i="1"/>
  <c r="AL189" i="1"/>
  <c r="AM189" i="1"/>
  <c r="AN189" i="1"/>
  <c r="AL190" i="1"/>
  <c r="AM190" i="1"/>
  <c r="AN190" i="1"/>
  <c r="AL191" i="1"/>
  <c r="AM191" i="1"/>
  <c r="AN191" i="1"/>
  <c r="AL192" i="1"/>
  <c r="AM192" i="1"/>
  <c r="AN192" i="1"/>
  <c r="AL193" i="1"/>
  <c r="AM193" i="1"/>
  <c r="AN193" i="1"/>
  <c r="AL194" i="1"/>
  <c r="AM194" i="1"/>
  <c r="AN194" i="1"/>
  <c r="AL195" i="1"/>
  <c r="AM195" i="1"/>
  <c r="AN195" i="1"/>
  <c r="AL196" i="1"/>
  <c r="AM196" i="1"/>
  <c r="AN196" i="1"/>
  <c r="AL197" i="1"/>
  <c r="AM197" i="1"/>
  <c r="AN197" i="1"/>
  <c r="AL198" i="1"/>
  <c r="AM198" i="1"/>
  <c r="AN198" i="1"/>
  <c r="AL199" i="1"/>
  <c r="AM199" i="1"/>
  <c r="AN199" i="1"/>
  <c r="AL200" i="1"/>
  <c r="AM200" i="1"/>
  <c r="AN200" i="1"/>
  <c r="AL201" i="1"/>
  <c r="AM201" i="1"/>
  <c r="AN201" i="1"/>
  <c r="AL202" i="1"/>
  <c r="AM202" i="1"/>
  <c r="AN202" i="1"/>
  <c r="AL203" i="1"/>
  <c r="AM203" i="1"/>
  <c r="AN203" i="1"/>
  <c r="AL204" i="1"/>
  <c r="AM204" i="1"/>
  <c r="AN204" i="1"/>
  <c r="AL205" i="1"/>
  <c r="AM205" i="1"/>
  <c r="AN205" i="1"/>
  <c r="AL206" i="1"/>
  <c r="AM206" i="1"/>
  <c r="AN206" i="1"/>
  <c r="AL207" i="1"/>
  <c r="AM207" i="1"/>
  <c r="AN207" i="1"/>
  <c r="AL208" i="1"/>
  <c r="AM208" i="1"/>
  <c r="AN208" i="1"/>
  <c r="AL209" i="1"/>
  <c r="AM209" i="1"/>
  <c r="AN209" i="1"/>
  <c r="AL210" i="1"/>
  <c r="AM210" i="1"/>
  <c r="AN210" i="1"/>
  <c r="AL211" i="1"/>
  <c r="AM211" i="1"/>
  <c r="AN211" i="1"/>
  <c r="AL212" i="1"/>
  <c r="AM212" i="1"/>
  <c r="AN212" i="1"/>
  <c r="AL213" i="1"/>
  <c r="AM213" i="1"/>
  <c r="AN213" i="1"/>
  <c r="AL214" i="1"/>
  <c r="AM214" i="1"/>
  <c r="AN214" i="1"/>
  <c r="AL215" i="1"/>
  <c r="AM215" i="1"/>
  <c r="AN215" i="1"/>
  <c r="AL216" i="1"/>
  <c r="AM216" i="1"/>
  <c r="AN216" i="1"/>
  <c r="AL217" i="1"/>
  <c r="AM217" i="1"/>
  <c r="AN217" i="1"/>
  <c r="AL218" i="1"/>
  <c r="AM218" i="1"/>
  <c r="AN218" i="1"/>
  <c r="AL219" i="1"/>
  <c r="AM219" i="1"/>
  <c r="AN219" i="1"/>
  <c r="AL220" i="1"/>
  <c r="AM220" i="1"/>
  <c r="AN220" i="1"/>
  <c r="AL221" i="1"/>
  <c r="AM221" i="1"/>
  <c r="AN221" i="1"/>
  <c r="AL222" i="1"/>
  <c r="AM222" i="1"/>
  <c r="AN222" i="1"/>
  <c r="AL223" i="1"/>
  <c r="AM223" i="1"/>
  <c r="AN223" i="1"/>
  <c r="AL224" i="1"/>
  <c r="AM224" i="1"/>
  <c r="AN224" i="1"/>
  <c r="AL225" i="1"/>
  <c r="AM225" i="1"/>
  <c r="AN225" i="1"/>
  <c r="AL226" i="1"/>
  <c r="AM226" i="1"/>
  <c r="AN226" i="1"/>
  <c r="AL227" i="1"/>
  <c r="AM227" i="1"/>
  <c r="AN227" i="1"/>
  <c r="AL228" i="1"/>
  <c r="AM228" i="1"/>
  <c r="AN228" i="1"/>
  <c r="AL229" i="1"/>
  <c r="AM229" i="1"/>
  <c r="AN229" i="1"/>
  <c r="AL230" i="1"/>
  <c r="AM230" i="1"/>
  <c r="AN230" i="1"/>
  <c r="AL231" i="1"/>
  <c r="AM231" i="1"/>
  <c r="AN231" i="1"/>
  <c r="AL232" i="1"/>
  <c r="AM232" i="1"/>
  <c r="AN232" i="1"/>
  <c r="AL233" i="1"/>
  <c r="AM233" i="1"/>
  <c r="AN233" i="1"/>
  <c r="AL234" i="1"/>
  <c r="AM234" i="1"/>
  <c r="AN234" i="1"/>
  <c r="AL235" i="1"/>
  <c r="AM235" i="1"/>
  <c r="AN235" i="1"/>
  <c r="AL236" i="1"/>
  <c r="AM236" i="1"/>
  <c r="AN236" i="1"/>
  <c r="AL237" i="1"/>
  <c r="AM237" i="1"/>
  <c r="AN237" i="1"/>
  <c r="AL238" i="1"/>
  <c r="AM238" i="1"/>
  <c r="AN238" i="1"/>
  <c r="AL239" i="1"/>
  <c r="AM239" i="1"/>
  <c r="AN239" i="1"/>
  <c r="AL240" i="1"/>
  <c r="AM240" i="1"/>
  <c r="AN240" i="1"/>
  <c r="AL241" i="1"/>
  <c r="AM241" i="1"/>
  <c r="AN241" i="1"/>
  <c r="AL242" i="1"/>
  <c r="AM242" i="1"/>
  <c r="AN242" i="1"/>
  <c r="AL243" i="1"/>
  <c r="AM243" i="1"/>
  <c r="AN243" i="1"/>
  <c r="AL244" i="1"/>
  <c r="AM244" i="1"/>
  <c r="AN244" i="1"/>
  <c r="AL245" i="1"/>
  <c r="AM245" i="1"/>
  <c r="AN245" i="1"/>
  <c r="AL246" i="1"/>
  <c r="AM246" i="1"/>
  <c r="AN246" i="1"/>
  <c r="AL247" i="1"/>
  <c r="AM247" i="1"/>
  <c r="AN247" i="1"/>
  <c r="AL248" i="1"/>
  <c r="AM248" i="1"/>
  <c r="AN248" i="1"/>
  <c r="AL249" i="1"/>
  <c r="AM249" i="1"/>
  <c r="AN249" i="1"/>
  <c r="AL250" i="1"/>
  <c r="AM250" i="1"/>
  <c r="AN250" i="1"/>
  <c r="AL251" i="1"/>
  <c r="AM251" i="1"/>
  <c r="AN251" i="1"/>
  <c r="AL252" i="1"/>
  <c r="AM252" i="1"/>
  <c r="AN252" i="1"/>
  <c r="AL253" i="1"/>
  <c r="AM253" i="1"/>
  <c r="AN253" i="1"/>
  <c r="AL254" i="1"/>
  <c r="AM254" i="1"/>
  <c r="AN254" i="1"/>
  <c r="AL255" i="1"/>
  <c r="AM255" i="1"/>
  <c r="AN255" i="1"/>
  <c r="AL256" i="1"/>
  <c r="AM256" i="1"/>
  <c r="AN256" i="1"/>
  <c r="AL257" i="1"/>
  <c r="AM257" i="1"/>
  <c r="AN257" i="1"/>
  <c r="AL258" i="1"/>
  <c r="AM258" i="1"/>
  <c r="AN258" i="1"/>
  <c r="AL259" i="1"/>
  <c r="AM259" i="1"/>
  <c r="AN259" i="1"/>
  <c r="AL260" i="1"/>
  <c r="AM260" i="1"/>
  <c r="AN260" i="1"/>
  <c r="AL261" i="1"/>
  <c r="AM261" i="1"/>
  <c r="AN261" i="1"/>
  <c r="AL262" i="1"/>
  <c r="AM262" i="1"/>
  <c r="AN262" i="1"/>
  <c r="AL263" i="1"/>
  <c r="AM263" i="1"/>
  <c r="AN263" i="1"/>
  <c r="AL264" i="1"/>
  <c r="AM264" i="1"/>
  <c r="AN264" i="1"/>
  <c r="AL265" i="1"/>
  <c r="AM265" i="1"/>
  <c r="AN265" i="1"/>
  <c r="AL266" i="1"/>
  <c r="AM266" i="1"/>
  <c r="AN266" i="1"/>
  <c r="AL267" i="1"/>
  <c r="AM267" i="1"/>
  <c r="AN267" i="1"/>
  <c r="AL268" i="1"/>
  <c r="AM268" i="1"/>
  <c r="AN268" i="1"/>
  <c r="AL269" i="1"/>
  <c r="AM269" i="1"/>
  <c r="AN269" i="1"/>
  <c r="AL270" i="1"/>
  <c r="AM270" i="1"/>
  <c r="AN270" i="1"/>
  <c r="AL271" i="1"/>
  <c r="AM271" i="1"/>
  <c r="AN271" i="1"/>
  <c r="AL272" i="1"/>
  <c r="AM272" i="1"/>
  <c r="AN272" i="1"/>
  <c r="AL273" i="1"/>
  <c r="AM273" i="1"/>
  <c r="AN273" i="1"/>
  <c r="AL274" i="1"/>
  <c r="AM274" i="1"/>
  <c r="AN274" i="1"/>
  <c r="AL275" i="1"/>
  <c r="AM275" i="1"/>
  <c r="AN275" i="1"/>
  <c r="AL276" i="1"/>
  <c r="AM276" i="1"/>
  <c r="AN276" i="1"/>
  <c r="AL277" i="1"/>
  <c r="AM277" i="1"/>
  <c r="AN277" i="1"/>
  <c r="AL278" i="1"/>
  <c r="AM278" i="1"/>
  <c r="AN278" i="1"/>
  <c r="AL279" i="1"/>
  <c r="AM279" i="1"/>
  <c r="AN279" i="1"/>
  <c r="AL280" i="1"/>
  <c r="AM280" i="1"/>
  <c r="AN280" i="1"/>
  <c r="AL281" i="1"/>
  <c r="AM281" i="1"/>
  <c r="AN281" i="1"/>
  <c r="AL282" i="1"/>
  <c r="AM282" i="1"/>
  <c r="AN282" i="1"/>
  <c r="AL283" i="1"/>
  <c r="AM283" i="1"/>
  <c r="AN283" i="1"/>
  <c r="AL284" i="1"/>
  <c r="AM284" i="1"/>
  <c r="AN284" i="1"/>
  <c r="AL285" i="1"/>
  <c r="AM285" i="1"/>
  <c r="AN285" i="1"/>
  <c r="AL286" i="1"/>
  <c r="AM286" i="1"/>
  <c r="AN286" i="1"/>
  <c r="AL287" i="1"/>
  <c r="AM287" i="1"/>
  <c r="AN287" i="1"/>
  <c r="AL288" i="1"/>
  <c r="AM288" i="1"/>
  <c r="AN288" i="1"/>
  <c r="AL289" i="1"/>
  <c r="AM289" i="1"/>
  <c r="AN289" i="1"/>
  <c r="AL290" i="1"/>
  <c r="AM290" i="1"/>
  <c r="AN290" i="1"/>
  <c r="AL291" i="1"/>
  <c r="AM291" i="1"/>
  <c r="AN291" i="1"/>
  <c r="AL292" i="1"/>
  <c r="AM292" i="1"/>
  <c r="AN292" i="1"/>
  <c r="AL293" i="1"/>
  <c r="AM293" i="1"/>
  <c r="AN293" i="1"/>
  <c r="AL294" i="1"/>
  <c r="AM294" i="1"/>
  <c r="AN294" i="1"/>
  <c r="AL295" i="1"/>
  <c r="AM295" i="1"/>
  <c r="AN295" i="1"/>
  <c r="AL296" i="1"/>
  <c r="AM296" i="1"/>
  <c r="AN296" i="1"/>
  <c r="AL297" i="1"/>
  <c r="AM297" i="1"/>
  <c r="AN297" i="1"/>
  <c r="AL298" i="1"/>
  <c r="AM298" i="1"/>
  <c r="AN298" i="1"/>
  <c r="AL299" i="1"/>
  <c r="AM299" i="1"/>
  <c r="AN299" i="1"/>
  <c r="AL300" i="1"/>
  <c r="AM300" i="1"/>
  <c r="AN300" i="1"/>
  <c r="AL301" i="1"/>
  <c r="AM301" i="1"/>
  <c r="AN301" i="1"/>
  <c r="AL302" i="1"/>
  <c r="AM302" i="1"/>
  <c r="AN302" i="1"/>
  <c r="AL303" i="1"/>
  <c r="AM303" i="1"/>
  <c r="AN303" i="1"/>
  <c r="AL304" i="1"/>
  <c r="AM304" i="1"/>
  <c r="AN304" i="1"/>
  <c r="AL305" i="1"/>
  <c r="AM305" i="1"/>
  <c r="AN305" i="1"/>
  <c r="AL306" i="1"/>
  <c r="AM306" i="1"/>
  <c r="AN306" i="1"/>
  <c r="AL307" i="1"/>
  <c r="AM307" i="1"/>
  <c r="AN307" i="1"/>
  <c r="AL308" i="1"/>
  <c r="AM308" i="1"/>
  <c r="AN308" i="1"/>
  <c r="AL309" i="1"/>
  <c r="AM309" i="1"/>
  <c r="AN309" i="1"/>
  <c r="AL310" i="1"/>
  <c r="AM310" i="1"/>
  <c r="AN310" i="1"/>
  <c r="AL311" i="1"/>
  <c r="AM311" i="1"/>
  <c r="AN311" i="1"/>
  <c r="AL312" i="1"/>
  <c r="AM312" i="1"/>
  <c r="AN312" i="1"/>
  <c r="AL313" i="1"/>
  <c r="AM313" i="1"/>
  <c r="AN313" i="1"/>
  <c r="AL314" i="1"/>
  <c r="AM314" i="1"/>
  <c r="AN314" i="1"/>
  <c r="AL315" i="1"/>
  <c r="AM315" i="1"/>
  <c r="AN315" i="1"/>
  <c r="AL316" i="1"/>
  <c r="AM316" i="1"/>
  <c r="AN316" i="1"/>
  <c r="AL317" i="1"/>
  <c r="AM317" i="1"/>
  <c r="AN317" i="1"/>
  <c r="AL318" i="1"/>
  <c r="AM318" i="1"/>
  <c r="AN318" i="1"/>
  <c r="AL319" i="1"/>
  <c r="AM319" i="1"/>
  <c r="AN319" i="1"/>
  <c r="AL320" i="1"/>
  <c r="AM320" i="1"/>
  <c r="AN320" i="1"/>
  <c r="AL321" i="1"/>
  <c r="AM321" i="1"/>
  <c r="AN321" i="1"/>
  <c r="AL322" i="1"/>
  <c r="AM322" i="1"/>
  <c r="AN322" i="1"/>
  <c r="AL323" i="1"/>
  <c r="AM323" i="1"/>
  <c r="AN323" i="1"/>
  <c r="AL324" i="1"/>
  <c r="AM324" i="1"/>
  <c r="AN324" i="1"/>
  <c r="AL325" i="1"/>
  <c r="AM325" i="1"/>
  <c r="AN325" i="1"/>
  <c r="AL326" i="1"/>
  <c r="AM326" i="1"/>
  <c r="AN326" i="1"/>
  <c r="AL327" i="1"/>
  <c r="AM327" i="1"/>
  <c r="AN327" i="1"/>
  <c r="AL328" i="1"/>
  <c r="AM328" i="1"/>
  <c r="AN328" i="1"/>
  <c r="AL329" i="1"/>
  <c r="AM329" i="1"/>
  <c r="AN329" i="1"/>
  <c r="AL330" i="1"/>
  <c r="AM330" i="1"/>
  <c r="AN330" i="1"/>
  <c r="AL331" i="1"/>
  <c r="AM331" i="1"/>
  <c r="AN331" i="1"/>
  <c r="AL332" i="1"/>
  <c r="AM332" i="1"/>
  <c r="AN332" i="1"/>
  <c r="AL333" i="1"/>
  <c r="AM333" i="1"/>
  <c r="AN333" i="1"/>
  <c r="AL334" i="1"/>
  <c r="AM334" i="1"/>
  <c r="AN334" i="1"/>
  <c r="AL335" i="1"/>
  <c r="AM335" i="1"/>
  <c r="AN335" i="1"/>
  <c r="AL336" i="1"/>
  <c r="AM336" i="1"/>
  <c r="AN336" i="1"/>
  <c r="AL337" i="1"/>
  <c r="AM337" i="1"/>
  <c r="AN337" i="1"/>
  <c r="AL338" i="1"/>
  <c r="AM338" i="1"/>
  <c r="AN338" i="1"/>
  <c r="AL339" i="1"/>
  <c r="AM339" i="1"/>
  <c r="AN339" i="1"/>
  <c r="AL340" i="1"/>
  <c r="AM340" i="1"/>
  <c r="AN340" i="1"/>
  <c r="AL341" i="1"/>
  <c r="AM341" i="1"/>
  <c r="AN341" i="1"/>
  <c r="AL342" i="1"/>
  <c r="AM342" i="1"/>
  <c r="AN342" i="1"/>
  <c r="AL343" i="1"/>
  <c r="AM343" i="1"/>
  <c r="AN343" i="1"/>
  <c r="AL344" i="1"/>
  <c r="AM344" i="1"/>
  <c r="AN344" i="1"/>
  <c r="AL345" i="1"/>
  <c r="AM345" i="1"/>
  <c r="AN345" i="1"/>
  <c r="AN2" i="1"/>
  <c r="AM2" i="1"/>
  <c r="AL2" i="1"/>
  <c r="O1045" i="1" l="1"/>
  <c r="O1043" i="1"/>
  <c r="O1041" i="1"/>
  <c r="O1040" i="1"/>
  <c r="O1039" i="1"/>
  <c r="O1038" i="1"/>
  <c r="O1037" i="1"/>
  <c r="O1036" i="1"/>
  <c r="O1035" i="1"/>
  <c r="O1034" i="1"/>
  <c r="O1032" i="1"/>
  <c r="O1030" i="1"/>
  <c r="O1029" i="1"/>
  <c r="O1028" i="1"/>
  <c r="O1027" i="1"/>
  <c r="O1026" i="1"/>
  <c r="O1025" i="1"/>
  <c r="O1024" i="1"/>
  <c r="O1023" i="1"/>
  <c r="O1022" i="1"/>
  <c r="O1021" i="1"/>
  <c r="O1020" i="1"/>
  <c r="O1018" i="1"/>
  <c r="O1017" i="1"/>
  <c r="V993" i="1" l="1"/>
  <c r="V983" i="1"/>
  <c r="V973" i="1"/>
  <c r="V974" i="1"/>
  <c r="V975" i="1"/>
  <c r="V976" i="1"/>
  <c r="V972" i="1"/>
  <c r="V971" i="1"/>
  <c r="V964" i="1"/>
  <c r="V965" i="1"/>
  <c r="V970" i="1"/>
  <c r="V977" i="1"/>
  <c r="V978" i="1"/>
  <c r="V979" i="1"/>
  <c r="V980" i="1"/>
  <c r="V981" i="1"/>
  <c r="V982" i="1"/>
  <c r="V984" i="1"/>
  <c r="V985" i="1"/>
  <c r="V986" i="1"/>
  <c r="V987" i="1"/>
  <c r="V988" i="1"/>
  <c r="V989" i="1"/>
  <c r="V990" i="1"/>
  <c r="V991" i="1"/>
  <c r="V995" i="1"/>
  <c r="V996" i="1"/>
  <c r="V998" i="1"/>
  <c r="V1000" i="1"/>
  <c r="V961" i="1"/>
  <c r="V960" i="1"/>
  <c r="V959" i="1"/>
  <c r="V958" i="1"/>
  <c r="V955" i="1"/>
  <c r="V956" i="1"/>
  <c r="V957" i="1"/>
  <c r="V954" i="1"/>
  <c r="V953" i="1"/>
  <c r="V952" i="1"/>
  <c r="O1016" i="1" l="1"/>
  <c r="O1013" i="1"/>
  <c r="O1010" i="1"/>
  <c r="O1009" i="1"/>
  <c r="O1007" i="1"/>
  <c r="O1002" i="1"/>
  <c r="O997" i="1"/>
  <c r="O995" i="1"/>
  <c r="O994" i="1"/>
  <c r="O993" i="1"/>
  <c r="O992" i="1"/>
  <c r="O991" i="1"/>
  <c r="O990" i="1"/>
  <c r="O989" i="1"/>
  <c r="O984" i="1"/>
  <c r="O983" i="1"/>
  <c r="O980" i="1"/>
  <c r="O978" i="1"/>
  <c r="O977" i="1"/>
  <c r="O974" i="1"/>
  <c r="O973" i="1"/>
  <c r="O972" i="1"/>
  <c r="O971" i="1"/>
  <c r="O970" i="1"/>
  <c r="O969" i="1"/>
  <c r="O968" i="1"/>
  <c r="O967" i="1"/>
  <c r="O966" i="1"/>
  <c r="O965" i="1"/>
  <c r="V943" i="1" l="1"/>
  <c r="V944" i="1"/>
  <c r="V945" i="1"/>
  <c r="V946" i="1"/>
  <c r="V947" i="1"/>
  <c r="V948" i="1"/>
  <c r="V949" i="1"/>
  <c r="V950" i="1"/>
  <c r="V951" i="1"/>
  <c r="V942" i="1"/>
  <c r="V933" i="1"/>
  <c r="V934" i="1"/>
  <c r="V935" i="1"/>
  <c r="V936" i="1"/>
  <c r="V937" i="1"/>
  <c r="V938" i="1"/>
  <c r="V939" i="1"/>
  <c r="V940" i="1"/>
  <c r="V941" i="1"/>
  <c r="V932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V931" i="1"/>
  <c r="V930" i="1" l="1"/>
  <c r="V921" i="1"/>
  <c r="V922" i="1"/>
  <c r="V923" i="1"/>
  <c r="V924" i="1"/>
  <c r="V925" i="1"/>
  <c r="V926" i="1"/>
  <c r="V927" i="1"/>
  <c r="V928" i="1"/>
  <c r="V929" i="1"/>
  <c r="O930" i="1"/>
  <c r="O929" i="1"/>
  <c r="O928" i="1"/>
  <c r="O927" i="1"/>
  <c r="O926" i="1"/>
  <c r="O925" i="1"/>
  <c r="O923" i="1"/>
  <c r="O922" i="1"/>
  <c r="O921" i="1"/>
  <c r="V920" i="1" l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405" i="1"/>
  <c r="V406" i="1"/>
  <c r="V407" i="1"/>
  <c r="V408" i="1"/>
  <c r="V409" i="1"/>
  <c r="V410" i="1"/>
  <c r="V411" i="1"/>
  <c r="V412" i="1"/>
  <c r="V413" i="1"/>
  <c r="V414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298" i="1"/>
  <c r="V287" i="1"/>
  <c r="V288" i="1"/>
  <c r="V289" i="1"/>
  <c r="V290" i="1"/>
  <c r="V291" i="1"/>
  <c r="V292" i="1"/>
  <c r="V293" i="1"/>
  <c r="V294" i="1"/>
  <c r="V295" i="1"/>
  <c r="V296" i="1"/>
  <c r="V297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O919" i="1"/>
  <c r="O917" i="1"/>
  <c r="O916" i="1"/>
  <c r="O915" i="1"/>
  <c r="O914" i="1"/>
  <c r="O913" i="1"/>
  <c r="O909" i="1"/>
  <c r="O908" i="1"/>
  <c r="O905" i="1"/>
  <c r="O902" i="1"/>
  <c r="O901" i="1"/>
  <c r="O900" i="1"/>
  <c r="O899" i="1"/>
  <c r="O898" i="1"/>
  <c r="O896" i="1"/>
  <c r="O894" i="1"/>
  <c r="O893" i="1"/>
  <c r="O892" i="1"/>
  <c r="O891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3" i="1"/>
  <c r="O861" i="1"/>
  <c r="O860" i="1"/>
  <c r="O856" i="1"/>
  <c r="O853" i="1"/>
  <c r="O852" i="1"/>
  <c r="O851" i="1"/>
  <c r="O850" i="1"/>
  <c r="O849" i="1" l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V274" i="1" l="1"/>
  <c r="O746" i="1" l="1"/>
  <c r="O744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6" i="1"/>
  <c r="O711" i="1" l="1"/>
  <c r="O710" i="1"/>
  <c r="O708" i="1"/>
  <c r="O705" i="1"/>
  <c r="O696" i="1"/>
  <c r="O691" i="1"/>
  <c r="O686" i="1"/>
  <c r="O685" i="1"/>
  <c r="O683" i="1"/>
  <c r="O682" i="1"/>
  <c r="O676" i="1"/>
  <c r="O675" i="1"/>
  <c r="O672" i="1"/>
  <c r="O670" i="1"/>
  <c r="O668" i="1"/>
  <c r="O666" i="1"/>
  <c r="O661" i="1"/>
  <c r="O659" i="1"/>
  <c r="O656" i="1"/>
  <c r="O653" i="1"/>
  <c r="O652" i="1"/>
  <c r="O650" i="1"/>
  <c r="O648" i="1"/>
  <c r="O646" i="1"/>
  <c r="O645" i="1"/>
  <c r="O644" i="1"/>
  <c r="O642" i="1"/>
  <c r="O641" i="1"/>
  <c r="O637" i="1"/>
  <c r="O636" i="1"/>
  <c r="O635" i="1"/>
  <c r="O632" i="1"/>
  <c r="O629" i="1"/>
  <c r="O625" i="1"/>
  <c r="O622" i="1"/>
  <c r="O621" i="1"/>
  <c r="O618" i="1"/>
  <c r="O599" i="1"/>
  <c r="O595" i="1"/>
  <c r="O587" i="1"/>
  <c r="O586" i="1"/>
  <c r="O585" i="1"/>
  <c r="O584" i="1"/>
  <c r="O583" i="1"/>
  <c r="O582" i="1"/>
  <c r="O581" i="1"/>
  <c r="O580" i="1"/>
  <c r="O579" i="1"/>
  <c r="O578" i="1"/>
  <c r="O576" i="1"/>
  <c r="O575" i="1"/>
  <c r="O574" i="1"/>
  <c r="O561" i="1"/>
  <c r="O557" i="1"/>
  <c r="O552" i="1"/>
  <c r="O551" i="1"/>
  <c r="O550" i="1"/>
  <c r="O549" i="1"/>
  <c r="O548" i="1"/>
  <c r="O547" i="1"/>
  <c r="O546" i="1"/>
  <c r="O542" i="1"/>
  <c r="O539" i="1"/>
  <c r="O537" i="1"/>
  <c r="O535" i="1"/>
  <c r="O534" i="1"/>
  <c r="O532" i="1"/>
  <c r="O531" i="1"/>
  <c r="O530" i="1"/>
  <c r="O529" i="1"/>
  <c r="O527" i="1"/>
  <c r="O523" i="1"/>
  <c r="O520" i="1"/>
  <c r="O519" i="1"/>
  <c r="O515" i="1"/>
  <c r="O510" i="1"/>
  <c r="O508" i="1"/>
  <c r="O507" i="1"/>
  <c r="O506" i="1"/>
  <c r="O505" i="1"/>
  <c r="O504" i="1"/>
  <c r="O502" i="1"/>
  <c r="O501" i="1"/>
  <c r="O500" i="1"/>
  <c r="O498" i="1"/>
  <c r="O495" i="1"/>
  <c r="O493" i="1"/>
  <c r="O479" i="1"/>
  <c r="O474" i="1"/>
  <c r="O473" i="1"/>
  <c r="O472" i="1"/>
  <c r="O469" i="1"/>
  <c r="O468" i="1"/>
  <c r="O457" i="1"/>
  <c r="O451" i="1"/>
  <c r="O444" i="1"/>
  <c r="O442" i="1"/>
  <c r="O441" i="1"/>
  <c r="O440" i="1"/>
  <c r="O439" i="1"/>
  <c r="O438" i="1"/>
  <c r="O437" i="1"/>
  <c r="O435" i="1"/>
  <c r="O434" i="1"/>
  <c r="O433" i="1"/>
  <c r="O432" i="1"/>
  <c r="O431" i="1"/>
  <c r="O430" i="1"/>
  <c r="O427" i="1"/>
  <c r="O426" i="1"/>
  <c r="O425" i="1"/>
  <c r="O424" i="1"/>
  <c r="O423" i="1"/>
  <c r="O422" i="1"/>
  <c r="O421" i="1"/>
  <c r="O420" i="1"/>
  <c r="O419" i="1"/>
  <c r="O418" i="1"/>
  <c r="O415" i="1"/>
  <c r="O414" i="1"/>
  <c r="O413" i="1"/>
  <c r="O412" i="1"/>
  <c r="O411" i="1"/>
  <c r="O409" i="1"/>
  <c r="O408" i="1"/>
  <c r="O407" i="1"/>
  <c r="O406" i="1"/>
  <c r="O403" i="1"/>
  <c r="O399" i="1"/>
  <c r="O397" i="1"/>
  <c r="O386" i="1"/>
  <c r="O385" i="1"/>
  <c r="O381" i="1"/>
  <c r="O379" i="1"/>
  <c r="O378" i="1"/>
  <c r="O376" i="1"/>
  <c r="O374" i="1"/>
  <c r="O373" i="1"/>
  <c r="O372" i="1"/>
  <c r="O371" i="1"/>
  <c r="O370" i="1"/>
  <c r="O369" i="1"/>
  <c r="O368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3" i="1"/>
  <c r="O342" i="1"/>
  <c r="O341" i="1"/>
  <c r="O340" i="1"/>
  <c r="O339" i="1"/>
  <c r="O344" i="1"/>
  <c r="O338" i="1"/>
  <c r="O337" i="1" l="1"/>
  <c r="O335" i="1"/>
  <c r="O334" i="1"/>
  <c r="O333" i="1"/>
  <c r="O332" i="1"/>
  <c r="O331" i="1"/>
  <c r="O330" i="1"/>
  <c r="O329" i="1"/>
  <c r="O328" i="1"/>
  <c r="O326" i="1"/>
  <c r="O321" i="1"/>
  <c r="O320" i="1"/>
  <c r="O319" i="1"/>
  <c r="O318" i="1"/>
  <c r="O317" i="1"/>
  <c r="O316" i="1"/>
  <c r="O313" i="1"/>
  <c r="O314" i="1"/>
  <c r="O308" i="1"/>
  <c r="O306" i="1"/>
  <c r="O303" i="1"/>
  <c r="O301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2" i="1"/>
  <c r="O281" i="1"/>
  <c r="O280" i="1"/>
  <c r="O279" i="1"/>
  <c r="O278" i="1"/>
  <c r="O277" i="1"/>
  <c r="O276" i="1"/>
  <c r="O275" i="1"/>
  <c r="O274" i="1"/>
  <c r="V242" i="1" l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 l="1"/>
  <c r="O253" i="1"/>
  <c r="O252" i="1"/>
  <c r="O251" i="1"/>
  <c r="O250" i="1"/>
  <c r="O249" i="1"/>
  <c r="O248" i="1"/>
  <c r="O247" i="1"/>
  <c r="O246" i="1"/>
  <c r="O245" i="1"/>
  <c r="O244" i="1"/>
  <c r="O243" i="1"/>
  <c r="O242" i="1"/>
  <c r="V241" i="1" l="1"/>
  <c r="V240" i="1"/>
  <c r="V239" i="1"/>
  <c r="V238" i="1"/>
  <c r="V237" i="1"/>
  <c r="O241" i="1"/>
  <c r="O240" i="1"/>
  <c r="O239" i="1"/>
  <c r="O238" i="1"/>
  <c r="O237" i="1"/>
  <c r="V108" i="1" l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107" i="1"/>
  <c r="V96" i="1"/>
  <c r="V97" i="1"/>
  <c r="V98" i="1"/>
  <c r="V99" i="1"/>
  <c r="V100" i="1"/>
  <c r="V101" i="1"/>
  <c r="V102" i="1"/>
  <c r="V103" i="1"/>
  <c r="V104" i="1"/>
  <c r="V105" i="1"/>
  <c r="V106" i="1"/>
  <c r="V95" i="1"/>
  <c r="O230" i="1"/>
  <c r="O229" i="1"/>
  <c r="O236" i="1"/>
  <c r="O235" i="1"/>
  <c r="O234" i="1"/>
  <c r="O233" i="1"/>
  <c r="O232" i="1"/>
  <c r="O231" i="1"/>
  <c r="O228" i="1"/>
  <c r="O227" i="1"/>
  <c r="O226" i="1"/>
  <c r="O225" i="1" l="1"/>
  <c r="O224" i="1"/>
  <c r="O222" i="1"/>
  <c r="O218" i="1"/>
  <c r="O217" i="1"/>
  <c r="O215" i="1"/>
  <c r="O210" i="1"/>
  <c r="O208" i="1"/>
  <c r="O204" i="1"/>
  <c r="O198" i="1"/>
  <c r="O197" i="1"/>
  <c r="O196" i="1"/>
  <c r="O195" i="1"/>
</calcChain>
</file>

<file path=xl/sharedStrings.xml><?xml version="1.0" encoding="utf-8"?>
<sst xmlns="http://schemas.openxmlformats.org/spreadsheetml/2006/main" count="17527" uniqueCount="3350">
  <si>
    <t>SurveyNumber</t>
  </si>
  <si>
    <t>FieldNumber</t>
  </si>
  <si>
    <t>dayCaptured</t>
  </si>
  <si>
    <t>monthCaptured</t>
  </si>
  <si>
    <t>yearCaptured</t>
  </si>
  <si>
    <t>Taxon</t>
  </si>
  <si>
    <t>Site</t>
  </si>
  <si>
    <t>SVL_mm</t>
  </si>
  <si>
    <t>Mass_g</t>
  </si>
  <si>
    <t>TissueTaken</t>
  </si>
  <si>
    <t>Sex</t>
  </si>
  <si>
    <t>Lifestage</t>
  </si>
  <si>
    <t>Latitude</t>
  </si>
  <si>
    <t>Longitude</t>
  </si>
  <si>
    <t>Elevation_feet</t>
  </si>
  <si>
    <t>Elevation_m</t>
  </si>
  <si>
    <t>Locality</t>
  </si>
  <si>
    <t>Capture_time</t>
  </si>
  <si>
    <t>Comments</t>
  </si>
  <si>
    <t>picture</t>
  </si>
  <si>
    <t>successful culture?</t>
  </si>
  <si>
    <t>max_temp_daily</t>
  </si>
  <si>
    <t>min_temp_daily</t>
  </si>
  <si>
    <t>mean_temp_at_hour</t>
  </si>
  <si>
    <t>mean_rel_humidity_at_hour</t>
  </si>
  <si>
    <t>max_relative_humidity</t>
  </si>
  <si>
    <t>min_relative_humidity</t>
  </si>
  <si>
    <t>May</t>
  </si>
  <si>
    <t>Pseudacris_cadaverina</t>
  </si>
  <si>
    <t>Stunt Ranch</t>
  </si>
  <si>
    <t>swab, toeclip, culture</t>
  </si>
  <si>
    <t>creek</t>
  </si>
  <si>
    <t>Pseudacris_regilla</t>
  </si>
  <si>
    <t>Anaxyrus_boreas</t>
  </si>
  <si>
    <t>Pseudacris_sp</t>
  </si>
  <si>
    <t>released - mating pair</t>
  </si>
  <si>
    <t>Agua Blanca Creek</t>
  </si>
  <si>
    <t>swab, toeclip</t>
  </si>
  <si>
    <t>male</t>
  </si>
  <si>
    <t>adult</t>
  </si>
  <si>
    <t>Anaxyrus_californicus</t>
  </si>
  <si>
    <t>swab</t>
  </si>
  <si>
    <t>female</t>
  </si>
  <si>
    <t>&gt;100</t>
  </si>
  <si>
    <t>IDR14</t>
  </si>
  <si>
    <t>June</t>
  </si>
  <si>
    <t>Sedgwick</t>
  </si>
  <si>
    <t>20_35</t>
  </si>
  <si>
    <t>9_iphone</t>
  </si>
  <si>
    <t>IDR15</t>
  </si>
  <si>
    <t>yellow</t>
  </si>
  <si>
    <t>8_iphone</t>
  </si>
  <si>
    <t>IDR16</t>
  </si>
  <si>
    <t>5_iphone</t>
  </si>
  <si>
    <t>IDR17</t>
  </si>
  <si>
    <t>too_small</t>
  </si>
  <si>
    <t>20_50</t>
  </si>
  <si>
    <t>IDR18</t>
  </si>
  <si>
    <t>4_iphone</t>
  </si>
  <si>
    <t>IDR19</t>
  </si>
  <si>
    <t>ponds behind white house</t>
  </si>
  <si>
    <t>21_24</t>
  </si>
  <si>
    <t>IDR20</t>
  </si>
  <si>
    <t>21_26</t>
  </si>
  <si>
    <t>IDR21</t>
  </si>
  <si>
    <t>21_27</t>
  </si>
  <si>
    <t>IDR22</t>
  </si>
  <si>
    <t>21_34</t>
  </si>
  <si>
    <t>1_iphone</t>
  </si>
  <si>
    <t>IDR23</t>
  </si>
  <si>
    <t>21_36</t>
  </si>
  <si>
    <t>2_iphone</t>
  </si>
  <si>
    <t>IDR24</t>
  </si>
  <si>
    <t>21_40</t>
  </si>
  <si>
    <t>6_iphone</t>
  </si>
  <si>
    <t>IDR25</t>
  </si>
  <si>
    <t>21_41</t>
  </si>
  <si>
    <t>10_iphone</t>
  </si>
  <si>
    <t>IDR26</t>
  </si>
  <si>
    <t>21_48</t>
  </si>
  <si>
    <t>7_iphone</t>
  </si>
  <si>
    <t>IDR27</t>
  </si>
  <si>
    <t>IDR28</t>
  </si>
  <si>
    <t>female?</t>
  </si>
  <si>
    <t>21_51</t>
  </si>
  <si>
    <t>3_iphone</t>
  </si>
  <si>
    <t>IDR29</t>
  </si>
  <si>
    <t>21_53</t>
  </si>
  <si>
    <t>IDR30</t>
  </si>
  <si>
    <t>juvenile</t>
  </si>
  <si>
    <t>20_39</t>
  </si>
  <si>
    <t>DCM876, DCM877</t>
  </si>
  <si>
    <t>IDR31</t>
  </si>
  <si>
    <t>20_43</t>
  </si>
  <si>
    <t>DCM874, DCM875</t>
  </si>
  <si>
    <t>IDR32</t>
  </si>
  <si>
    <t>20_45</t>
  </si>
  <si>
    <t>DCM878, DCM879, DCM880</t>
  </si>
  <si>
    <t>IDR33</t>
  </si>
  <si>
    <t>DCM907, DCM908, DCM909, DCM910, DCM911, DCM912</t>
  </si>
  <si>
    <t>IDR34</t>
  </si>
  <si>
    <t>21_42</t>
  </si>
  <si>
    <t>DCM881-887</t>
  </si>
  <si>
    <t>IDR35</t>
  </si>
  <si>
    <t>21_49</t>
  </si>
  <si>
    <t>DCM899-901, DCM906</t>
  </si>
  <si>
    <t>IDR36</t>
  </si>
  <si>
    <t>23_06</t>
  </si>
  <si>
    <t>DCM913-917</t>
  </si>
  <si>
    <t>IDR37</t>
  </si>
  <si>
    <t>23_50</t>
  </si>
  <si>
    <t>DCM922-924</t>
  </si>
  <si>
    <t>IDR38</t>
  </si>
  <si>
    <t>24_01</t>
  </si>
  <si>
    <t>DCM25</t>
  </si>
  <si>
    <t>IDR39</t>
  </si>
  <si>
    <t>DCM920-921</t>
  </si>
  <si>
    <t>IDR40</t>
  </si>
  <si>
    <t>21_43</t>
  </si>
  <si>
    <t>DCM936-DCM939</t>
  </si>
  <si>
    <t>IDR41</t>
  </si>
  <si>
    <t>21_47</t>
  </si>
  <si>
    <t>missing right leg</t>
  </si>
  <si>
    <t>DCM930-DCM935</t>
  </si>
  <si>
    <t>IDR42</t>
  </si>
  <si>
    <t>22_42</t>
  </si>
  <si>
    <t>DCM964</t>
  </si>
  <si>
    <t>IDR43</t>
  </si>
  <si>
    <t>22_51</t>
  </si>
  <si>
    <t>calling</t>
  </si>
  <si>
    <t>DCM959-DCM963</t>
  </si>
  <si>
    <t>IDR44</t>
  </si>
  <si>
    <t>Merced Vernal Pools</t>
  </si>
  <si>
    <t>20_14</t>
  </si>
  <si>
    <t>too windy for mass</t>
  </si>
  <si>
    <t>DCM1080-1081</t>
  </si>
  <si>
    <t>IDR45</t>
  </si>
  <si>
    <t>Pseudacris_sierra</t>
  </si>
  <si>
    <t>DCM1100</t>
  </si>
  <si>
    <t>IDR46</t>
  </si>
  <si>
    <t>20_16</t>
  </si>
  <si>
    <t>DCM1073-1074</t>
  </si>
  <si>
    <t>IDR47</t>
  </si>
  <si>
    <t>20_19</t>
  </si>
  <si>
    <t>DCM1098-1099</t>
  </si>
  <si>
    <t>IDR48</t>
  </si>
  <si>
    <t>20_22</t>
  </si>
  <si>
    <t>DCM1092</t>
  </si>
  <si>
    <t>IDR49</t>
  </si>
  <si>
    <t>20_23</t>
  </si>
  <si>
    <t>DCM1094-1095</t>
  </si>
  <si>
    <t>IDR50</t>
  </si>
  <si>
    <t>20_24</t>
  </si>
  <si>
    <t>DCM1085-1086</t>
  </si>
  <si>
    <t>IDR51</t>
  </si>
  <si>
    <t>DCM1088-1089</t>
  </si>
  <si>
    <t>IDR52</t>
  </si>
  <si>
    <t>DCM1071-1072</t>
  </si>
  <si>
    <t>IDR53</t>
  </si>
  <si>
    <t>20_27</t>
  </si>
  <si>
    <t>gray on face, too windy for mass</t>
  </si>
  <si>
    <t>DCM1082-1084</t>
  </si>
  <si>
    <t>IDR54</t>
  </si>
  <si>
    <t>DCM1069-1070</t>
  </si>
  <si>
    <t>IDR55</t>
  </si>
  <si>
    <t>20_30</t>
  </si>
  <si>
    <t>DCM1101-1103</t>
  </si>
  <si>
    <t>IDR56</t>
  </si>
  <si>
    <t>20_31</t>
  </si>
  <si>
    <t>DCM1093</t>
  </si>
  <si>
    <t>IDR57</t>
  </si>
  <si>
    <t>20_32</t>
  </si>
  <si>
    <t>DCM1090-1091</t>
  </si>
  <si>
    <t>IDR58</t>
  </si>
  <si>
    <t>20_36</t>
  </si>
  <si>
    <t>DCM1065-1079</t>
  </si>
  <si>
    <t>IDR59</t>
  </si>
  <si>
    <t>23_12</t>
  </si>
  <si>
    <t>DCM1122-1144</t>
  </si>
  <si>
    <t>IDR60</t>
  </si>
  <si>
    <t>DCM1130-1133</t>
  </si>
  <si>
    <t>IDR61</t>
  </si>
  <si>
    <t>23_21</t>
  </si>
  <si>
    <t>DCM1115-1121</t>
  </si>
  <si>
    <t>IDR62</t>
  </si>
  <si>
    <t>DCM1125-1127</t>
  </si>
  <si>
    <t>IDR63</t>
  </si>
  <si>
    <t>23_27</t>
  </si>
  <si>
    <t>DCM1122-1124</t>
  </si>
  <si>
    <t>IDR64</t>
  </si>
  <si>
    <t>23_28</t>
  </si>
  <si>
    <t>DCM1128-1129</t>
  </si>
  <si>
    <t>IDR65</t>
  </si>
  <si>
    <t>23_30</t>
  </si>
  <si>
    <t>DCM1109-1111</t>
  </si>
  <si>
    <t>IDR66</t>
  </si>
  <si>
    <t>DSC1247-1247</t>
  </si>
  <si>
    <t>IDR67</t>
  </si>
  <si>
    <t>20_20</t>
  </si>
  <si>
    <t>DSC1232-1233</t>
  </si>
  <si>
    <t>IDR68</t>
  </si>
  <si>
    <t>20_21</t>
  </si>
  <si>
    <t>DSC1216-1217</t>
  </si>
  <si>
    <t>IDR69</t>
  </si>
  <si>
    <t>DSC1189-1198</t>
  </si>
  <si>
    <t>IDR70</t>
  </si>
  <si>
    <t>DSC1121-1214</t>
  </si>
  <si>
    <t>IDR71</t>
  </si>
  <si>
    <t>DSC1141</t>
  </si>
  <si>
    <t>IDR72</t>
  </si>
  <si>
    <t>DSC1239-1240</t>
  </si>
  <si>
    <t>IDR73</t>
  </si>
  <si>
    <t>DSC1134-1135</t>
  </si>
  <si>
    <t>IDR74</t>
  </si>
  <si>
    <t>DSC1161-1166</t>
  </si>
  <si>
    <t>IDR75</t>
  </si>
  <si>
    <t>DSC1199-1200, DSC1204-1205</t>
  </si>
  <si>
    <t>IDR76</t>
  </si>
  <si>
    <t>20_33</t>
  </si>
  <si>
    <t>DSC1136-1137</t>
  </si>
  <si>
    <t>IDR77</t>
  </si>
  <si>
    <t>20_34</t>
  </si>
  <si>
    <t>DSC1151-1159</t>
  </si>
  <si>
    <t>IDR78</t>
  </si>
  <si>
    <t>DSC1174-1175</t>
  </si>
  <si>
    <t>IDR79</t>
  </si>
  <si>
    <t>20_38</t>
  </si>
  <si>
    <t>DSC1142-1143</t>
  </si>
  <si>
    <t>IDR80</t>
  </si>
  <si>
    <t>DSC0001-0002</t>
  </si>
  <si>
    <t>IDR81</t>
  </si>
  <si>
    <t>DSC0003-0005</t>
  </si>
  <si>
    <t>IDR82</t>
  </si>
  <si>
    <t>23_05</t>
  </si>
  <si>
    <t>DSC1249-1252</t>
  </si>
  <si>
    <t>IDR83</t>
  </si>
  <si>
    <t>20_37</t>
  </si>
  <si>
    <t>DSC0023-DSC0024</t>
  </si>
  <si>
    <t>IDR84</t>
  </si>
  <si>
    <t>DSC0092-DSC0093</t>
  </si>
  <si>
    <t>IDR85</t>
  </si>
  <si>
    <t>DSC0068-DSC0071</t>
  </si>
  <si>
    <t>IDR86</t>
  </si>
  <si>
    <t>20_40</t>
  </si>
  <si>
    <t>DSC0019-DSC0021</t>
  </si>
  <si>
    <t>IDR87</t>
  </si>
  <si>
    <t>20_42</t>
  </si>
  <si>
    <t>DSC0111-DSC0113</t>
  </si>
  <si>
    <t>IDR88</t>
  </si>
  <si>
    <t>20_44</t>
  </si>
  <si>
    <t>DSC0044-DSC0047</t>
  </si>
  <si>
    <t>IDR89</t>
  </si>
  <si>
    <t>DSC0103-DSC0105</t>
  </si>
  <si>
    <t>IDR90</t>
  </si>
  <si>
    <t>20_56</t>
  </si>
  <si>
    <t>DSC0079-DSC0082</t>
  </si>
  <si>
    <t>IDR91</t>
  </si>
  <si>
    <t>20_57</t>
  </si>
  <si>
    <t>very translucent legs</t>
  </si>
  <si>
    <t>DSC0033-DSC0036</t>
  </si>
  <si>
    <t>IDR92</t>
  </si>
  <si>
    <t>DSC0017-DSC0018</t>
  </si>
  <si>
    <t>IDR93</t>
  </si>
  <si>
    <t>21_00</t>
  </si>
  <si>
    <t>grey butt, translucent arms and legs (tail possibly still being absorbed), too windy for mass</t>
  </si>
  <si>
    <t>DSC0026-DSC0027</t>
  </si>
  <si>
    <t>IDR94</t>
  </si>
  <si>
    <t>21_02</t>
  </si>
  <si>
    <t>DSC0013-DSC0014</t>
  </si>
  <si>
    <t>IDR95</t>
  </si>
  <si>
    <t>22_43</t>
  </si>
  <si>
    <t>translucent stomach, can see intestines (?), too windy for mass</t>
  </si>
  <si>
    <t>DSC0083-DSC0084</t>
  </si>
  <si>
    <t>IDR96</t>
  </si>
  <si>
    <t>23_40</t>
  </si>
  <si>
    <t>DSC0121-DSC0122</t>
  </si>
  <si>
    <t>IDR97</t>
  </si>
  <si>
    <t>23_43</t>
  </si>
  <si>
    <t>DSC0119-DSC0120</t>
  </si>
  <si>
    <t>IDR98</t>
  </si>
  <si>
    <t>23_45</t>
  </si>
  <si>
    <t>DSC0123</t>
  </si>
  <si>
    <t>IDR99</t>
  </si>
  <si>
    <t>23_48</t>
  </si>
  <si>
    <t>DSC0128-DSC0129</t>
  </si>
  <si>
    <t>IDR100</t>
  </si>
  <si>
    <t>DSC0146</t>
  </si>
  <si>
    <t>IDR101</t>
  </si>
  <si>
    <t>23_49</t>
  </si>
  <si>
    <t>DSC0139-DSC0140</t>
  </si>
  <si>
    <t>IDR102</t>
  </si>
  <si>
    <t>23_53</t>
  </si>
  <si>
    <t>DSC0130-DSC0131</t>
  </si>
  <si>
    <t>IDR103</t>
  </si>
  <si>
    <t>23_55</t>
  </si>
  <si>
    <t>DSC0144-DSC0145</t>
  </si>
  <si>
    <t>IDR104</t>
  </si>
  <si>
    <t>DSC0124</t>
  </si>
  <si>
    <t>IDR105</t>
  </si>
  <si>
    <t>24_02</t>
  </si>
  <si>
    <t>DSC0117-DSC0118</t>
  </si>
  <si>
    <t>IDR106</t>
  </si>
  <si>
    <t>Anaxyrus_punctatus</t>
  </si>
  <si>
    <t>Boyd Deep Canyon</t>
  </si>
  <si>
    <t>21_20</t>
  </si>
  <si>
    <t>DSC0153-0155</t>
  </si>
  <si>
    <t>IDR107</t>
  </si>
  <si>
    <t>21_23</t>
  </si>
  <si>
    <t>may have been calling</t>
  </si>
  <si>
    <t>DSC0149-0152</t>
  </si>
  <si>
    <t>IDR108</t>
  </si>
  <si>
    <t>21_59</t>
  </si>
  <si>
    <t>DS0153-0156</t>
  </si>
  <si>
    <t>IDR109</t>
  </si>
  <si>
    <t>22_02</t>
  </si>
  <si>
    <t>DSC0158-0162</t>
  </si>
  <si>
    <t>IDR110</t>
  </si>
  <si>
    <t>DSC0163-0164</t>
  </si>
  <si>
    <t>IDR111</t>
  </si>
  <si>
    <t>July</t>
  </si>
  <si>
    <t>Anaxyrus_woodhousii</t>
  </si>
  <si>
    <t xml:space="preserve">The Reserve </t>
  </si>
  <si>
    <t>DSC0180</t>
  </si>
  <si>
    <t>IDR112</t>
  </si>
  <si>
    <t>DSC0175</t>
  </si>
  <si>
    <t>IDR113</t>
  </si>
  <si>
    <t>DSC0173</t>
  </si>
  <si>
    <t>IDR114</t>
  </si>
  <si>
    <t>20_25</t>
  </si>
  <si>
    <t>DSC0174</t>
  </si>
  <si>
    <t>IDR115</t>
  </si>
  <si>
    <t>DSC0179</t>
  </si>
  <si>
    <t>IDR116</t>
  </si>
  <si>
    <t>DSC0178</t>
  </si>
  <si>
    <t>IDR117</t>
  </si>
  <si>
    <t>20_28</t>
  </si>
  <si>
    <t>DSC0176-0177</t>
  </si>
  <si>
    <t>IDR118</t>
  </si>
  <si>
    <t>DSC0169-0170</t>
  </si>
  <si>
    <t>IDR119</t>
  </si>
  <si>
    <t>DSC0172</t>
  </si>
  <si>
    <t>IDR120</t>
  </si>
  <si>
    <t>DSC0171</t>
  </si>
  <si>
    <t>IDR121</t>
  </si>
  <si>
    <t>DSC0168</t>
  </si>
  <si>
    <t>IDR122</t>
  </si>
  <si>
    <t>20_53</t>
  </si>
  <si>
    <t>DSC0184-0185</t>
  </si>
  <si>
    <t>IDR123</t>
  </si>
  <si>
    <t>missing a toe</t>
  </si>
  <si>
    <t>DSC0189-0190</t>
  </si>
  <si>
    <t>IDR124</t>
  </si>
  <si>
    <t>IDR125</t>
  </si>
  <si>
    <t>21_01</t>
  </si>
  <si>
    <t>dropped toeclip and lost, calling</t>
  </si>
  <si>
    <t>DSC0181-DSC0183</t>
  </si>
  <si>
    <t>IDR126</t>
  </si>
  <si>
    <t>21_03</t>
  </si>
  <si>
    <t>DSC0191</t>
  </si>
  <si>
    <t>IDR127</t>
  </si>
  <si>
    <t>21_11</t>
  </si>
  <si>
    <t>DSC0186-0187</t>
  </si>
  <si>
    <t>IDR128</t>
  </si>
  <si>
    <t>21_13</t>
  </si>
  <si>
    <t>released, too cold</t>
  </si>
  <si>
    <t>IDR129</t>
  </si>
  <si>
    <t>road</t>
  </si>
  <si>
    <t>IDR130</t>
  </si>
  <si>
    <t>06_09</t>
  </si>
  <si>
    <t>slight dorsal stripe?</t>
  </si>
  <si>
    <t>IDR131</t>
  </si>
  <si>
    <t>06_11</t>
  </si>
  <si>
    <t>IDR132</t>
  </si>
  <si>
    <t>IDR133</t>
  </si>
  <si>
    <t>06_12</t>
  </si>
  <si>
    <t>IDR134</t>
  </si>
  <si>
    <t>06_13</t>
  </si>
  <si>
    <t>IDR135</t>
  </si>
  <si>
    <t>06_15</t>
  </si>
  <si>
    <t>IDR136</t>
  </si>
  <si>
    <t>06_16</t>
  </si>
  <si>
    <t>IDR137</t>
  </si>
  <si>
    <t>06_17</t>
  </si>
  <si>
    <t>IDR138</t>
  </si>
  <si>
    <t>06_18</t>
  </si>
  <si>
    <t>IDR139</t>
  </si>
  <si>
    <t>06_19</t>
  </si>
  <si>
    <t>IDR140</t>
  </si>
  <si>
    <t>06_20</t>
  </si>
  <si>
    <t>IDR141</t>
  </si>
  <si>
    <t>06_21</t>
  </si>
  <si>
    <t>IDR142</t>
  </si>
  <si>
    <t>06_22</t>
  </si>
  <si>
    <t>IDR143</t>
  </si>
  <si>
    <t>06_24</t>
  </si>
  <si>
    <t>IDR144</t>
  </si>
  <si>
    <t>06_26</t>
  </si>
  <si>
    <t>IDR145</t>
  </si>
  <si>
    <t>10_03</t>
  </si>
  <si>
    <t>spots on belly</t>
  </si>
  <si>
    <t>IDR146</t>
  </si>
  <si>
    <t>10_05</t>
  </si>
  <si>
    <t>IDR147</t>
  </si>
  <si>
    <t>10_04</t>
  </si>
  <si>
    <t>released, too hot</t>
  </si>
  <si>
    <t>IDR148</t>
  </si>
  <si>
    <t>IDR149</t>
  </si>
  <si>
    <t>10_06</t>
  </si>
  <si>
    <t>IDR150</t>
  </si>
  <si>
    <t>10_07</t>
  </si>
  <si>
    <t>IDR151</t>
  </si>
  <si>
    <t>IDR152</t>
  </si>
  <si>
    <t>10_08</t>
  </si>
  <si>
    <t>IDR153</t>
  </si>
  <si>
    <t>10_09</t>
  </si>
  <si>
    <t>IDR154</t>
  </si>
  <si>
    <t>10_10</t>
  </si>
  <si>
    <t>IDR155</t>
  </si>
  <si>
    <t>10_11</t>
  </si>
  <si>
    <t>IDR156</t>
  </si>
  <si>
    <t>10_13</t>
  </si>
  <si>
    <t>IDR157</t>
  </si>
  <si>
    <t>10_16</t>
  </si>
  <si>
    <t>IDR158</t>
  </si>
  <si>
    <t>IDR159</t>
  </si>
  <si>
    <t>10_22</t>
  </si>
  <si>
    <t>blue-ish tinge</t>
  </si>
  <si>
    <t>IDR160</t>
  </si>
  <si>
    <t>10_24</t>
  </si>
  <si>
    <t>IDR161</t>
  </si>
  <si>
    <t>10_27</t>
  </si>
  <si>
    <t>IDR162</t>
  </si>
  <si>
    <t>IDR163</t>
  </si>
  <si>
    <t>IDR164</t>
  </si>
  <si>
    <t>IDR165</t>
  </si>
  <si>
    <t>20_26</t>
  </si>
  <si>
    <t>IDR166</t>
  </si>
  <si>
    <t>IDR167</t>
  </si>
  <si>
    <t>too windy for mass, deformed hand</t>
  </si>
  <si>
    <t>IDR168</t>
  </si>
  <si>
    <t>20_29</t>
  </si>
  <si>
    <t>IDR169</t>
  </si>
  <si>
    <t>IDR170</t>
  </si>
  <si>
    <t>IDR171</t>
  </si>
  <si>
    <t>IDR172</t>
  </si>
  <si>
    <t>IDR173</t>
  </si>
  <si>
    <t>IDR174</t>
  </si>
  <si>
    <t>20_41</t>
  </si>
  <si>
    <t>too windy for mass, reddish bump on lip and toe</t>
  </si>
  <si>
    <t>IDR175</t>
  </si>
  <si>
    <t>IDR176</t>
  </si>
  <si>
    <t>IDR177</t>
  </si>
  <si>
    <t>too windy for mass, calling</t>
  </si>
  <si>
    <t>IDR178</t>
  </si>
  <si>
    <t>20_54</t>
  </si>
  <si>
    <t>IDR179</t>
  </si>
  <si>
    <t>20_55</t>
  </si>
  <si>
    <t>IDR180</t>
  </si>
  <si>
    <t>IDR181</t>
  </si>
  <si>
    <t>21_04</t>
  </si>
  <si>
    <t>IDR182</t>
  </si>
  <si>
    <t>21_05</t>
  </si>
  <si>
    <t>IDR183</t>
  </si>
  <si>
    <t>21_52</t>
  </si>
  <si>
    <t>DSC0255-0257</t>
  </si>
  <si>
    <t>DSC0238-0240</t>
  </si>
  <si>
    <t>DSC0343-0345</t>
  </si>
  <si>
    <t>DSC0192-0193</t>
  </si>
  <si>
    <t>DSC0202</t>
  </si>
  <si>
    <t>DSC0310-0312</t>
  </si>
  <si>
    <t>DSC0332-0334</t>
  </si>
  <si>
    <t>DSC0271-0273</t>
  </si>
  <si>
    <t>DSC0278-0280</t>
  </si>
  <si>
    <t>DSC0293-0294</t>
  </si>
  <si>
    <t>DSC0207-0208</t>
  </si>
  <si>
    <t>DSC0322-0323</t>
  </si>
  <si>
    <t>DSC0221-0222</t>
  </si>
  <si>
    <t>DSC0200-0201</t>
  </si>
  <si>
    <t>DSC0197-0198</t>
  </si>
  <si>
    <t>DSC0379-0381</t>
  </si>
  <si>
    <t>DSC0374-0377</t>
  </si>
  <si>
    <t>DSC0370-0371</t>
  </si>
  <si>
    <t>DSC0378</t>
  </si>
  <si>
    <t>DSC0368-0369</t>
  </si>
  <si>
    <t>DSC0385-0386</t>
  </si>
  <si>
    <t>DSC0372-0373</t>
  </si>
  <si>
    <t>DSC0382-0384</t>
  </si>
  <si>
    <t>DSC0396-0397</t>
  </si>
  <si>
    <t>iphone1</t>
  </si>
  <si>
    <t>DSC0398-0399</t>
  </si>
  <si>
    <t>DSC0400-0401</t>
  </si>
  <si>
    <t>DSC0394</t>
  </si>
  <si>
    <t>iphone7</t>
  </si>
  <si>
    <t>iphone8</t>
  </si>
  <si>
    <t>iphone11</t>
  </si>
  <si>
    <t>iphone14</t>
  </si>
  <si>
    <t>iphone6</t>
  </si>
  <si>
    <t>iphone3 &amp; 4</t>
  </si>
  <si>
    <t>iphone2</t>
  </si>
  <si>
    <t>DSC0395</t>
  </si>
  <si>
    <t>iphone5</t>
  </si>
  <si>
    <t>iphone9</t>
  </si>
  <si>
    <t>iphone10</t>
  </si>
  <si>
    <t>SURVEY_ID</t>
  </si>
  <si>
    <t>NOTEBOOK</t>
  </si>
  <si>
    <t>DATE</t>
  </si>
  <si>
    <t>SURVEY_TYPE</t>
  </si>
  <si>
    <t>START_TIME</t>
  </si>
  <si>
    <t>END_TIME</t>
  </si>
  <si>
    <t>NUM_OBSERVERS</t>
  </si>
  <si>
    <t>OBSERVERS</t>
  </si>
  <si>
    <t>LOCATION</t>
  </si>
  <si>
    <t>MACROHABITAT</t>
  </si>
  <si>
    <t>CLOUDS</t>
  </si>
  <si>
    <t>RAIN</t>
  </si>
  <si>
    <t>WIND</t>
  </si>
  <si>
    <t>NOTES</t>
  </si>
  <si>
    <t>KS</t>
  </si>
  <si>
    <t>opportunistic</t>
  </si>
  <si>
    <t>I Russell, K Suzuki, V Sablan, R Fong</t>
  </si>
  <si>
    <t>Riparian</t>
  </si>
  <si>
    <t>18_00</t>
  </si>
  <si>
    <t>02_00</t>
  </si>
  <si>
    <t>I Russell, S Sweet, K Gilliland, R Ware</t>
  </si>
  <si>
    <t>overcast</t>
  </si>
  <si>
    <t>rain off and on</t>
  </si>
  <si>
    <t>calm</t>
  </si>
  <si>
    <t>I Russell, K Suzuki, C Lalisan</t>
  </si>
  <si>
    <t>Troughs and manmade ponds within chaparral</t>
  </si>
  <si>
    <t>clear</t>
  </si>
  <si>
    <t>none</t>
  </si>
  <si>
    <t>light breeze</t>
  </si>
  <si>
    <t>20_13</t>
  </si>
  <si>
    <t>large pond behind field station</t>
  </si>
  <si>
    <t>slight breeze</t>
  </si>
  <si>
    <t>22_45</t>
  </si>
  <si>
    <t>chaparral, roads on reserve</t>
  </si>
  <si>
    <t>misting rain</t>
  </si>
  <si>
    <t xml:space="preserve">parking lot </t>
  </si>
  <si>
    <t>clear skies</t>
  </si>
  <si>
    <t>light wind</t>
  </si>
  <si>
    <t>22_35</t>
  </si>
  <si>
    <t>22_59</t>
  </si>
  <si>
    <t>grasslands, pond within seasonal creek</t>
  </si>
  <si>
    <t>few clouds</t>
  </si>
  <si>
    <t>high wind</t>
  </si>
  <si>
    <t>Rascal Creek pond next to bluff</t>
  </si>
  <si>
    <t>23_11</t>
  </si>
  <si>
    <t>20_12</t>
  </si>
  <si>
    <t>grasslands, pond</t>
  </si>
  <si>
    <t>some clouds</t>
  </si>
  <si>
    <t>South edge of Windmill pond</t>
  </si>
  <si>
    <t>berm pond behind Windmill pond</t>
  </si>
  <si>
    <t>18_54</t>
  </si>
  <si>
    <t>desert canyon</t>
  </si>
  <si>
    <t>walked to find pond in mountains, no luck</t>
  </si>
  <si>
    <t>21_57</t>
  </si>
  <si>
    <t>manmade pond</t>
  </si>
  <si>
    <t>pupfish pond by labs</t>
  </si>
  <si>
    <t>no clouds</t>
  </si>
  <si>
    <t>pupfish pond by labs; was told we couldn't touch the water so passed up few frogs in water</t>
  </si>
  <si>
    <t>20_52</t>
  </si>
  <si>
    <t>asphalt road</t>
  </si>
  <si>
    <t>walked along reserve road and ended back at the pond</t>
  </si>
  <si>
    <t>I Russell, K Suzuki, C Lalisan, C Tracy, Trent (security)</t>
  </si>
  <si>
    <t>The Reserve</t>
  </si>
  <si>
    <t>golf course</t>
  </si>
  <si>
    <t>slight wind</t>
  </si>
  <si>
    <t>Casey and Chris moved to the ponds and surveyed there while Imani, Kana, and Trent stayed in golfcourse to process</t>
  </si>
  <si>
    <t>05_00</t>
  </si>
  <si>
    <t>seasonal pool (dry with thick mat of dried algae)</t>
  </si>
  <si>
    <t>small waterfall with multiple pools and large deep pool at top</t>
  </si>
  <si>
    <t>I Russell, K Suzuki, C Lalisan, C Tracy</t>
  </si>
  <si>
    <t>manmade lake</t>
  </si>
  <si>
    <t>breezy</t>
  </si>
  <si>
    <t>main lake, rock wall and shoreline</t>
  </si>
  <si>
    <t>21_30</t>
  </si>
  <si>
    <t>22_04</t>
  </si>
  <si>
    <t>Hastings</t>
  </si>
  <si>
    <t>20_15</t>
  </si>
  <si>
    <t>22_08</t>
  </si>
  <si>
    <t>23_00</t>
  </si>
  <si>
    <t>23_38</t>
  </si>
  <si>
    <t>dirt road</t>
  </si>
  <si>
    <t>road from bunk house cabin to gate and back to intersection</t>
  </si>
  <si>
    <t>road back to bunk house cabin</t>
  </si>
  <si>
    <t>Jen's house and property</t>
  </si>
  <si>
    <t>21_50</t>
  </si>
  <si>
    <t>22_18</t>
  </si>
  <si>
    <t>22_20</t>
  </si>
  <si>
    <t>went to creek at marker 19</t>
  </si>
  <si>
    <t>20_00</t>
  </si>
  <si>
    <t>21_14</t>
  </si>
  <si>
    <t>I Russell, K Suzuki, R Fong</t>
  </si>
  <si>
    <t>Sagehen</t>
  </si>
  <si>
    <t>Carpenter ridge, top of watershed, snowmelt</t>
  </si>
  <si>
    <t>23_02</t>
  </si>
  <si>
    <t>21_35</t>
  </si>
  <si>
    <t>road from Carpenter ridge to field station</t>
  </si>
  <si>
    <t>Tahoe National Forest 11</t>
  </si>
  <si>
    <t>10_32</t>
  </si>
  <si>
    <t>11_45</t>
  </si>
  <si>
    <t>fen</t>
  </si>
  <si>
    <t>fens by field station</t>
  </si>
  <si>
    <t>23_25</t>
  </si>
  <si>
    <t>21_19</t>
  </si>
  <si>
    <t>IDR184</t>
  </si>
  <si>
    <t>IDR185</t>
  </si>
  <si>
    <t>IDR186</t>
  </si>
  <si>
    <t>IDR187</t>
  </si>
  <si>
    <t>IDR188</t>
  </si>
  <si>
    <t>IDR189</t>
  </si>
  <si>
    <t>IDR190</t>
  </si>
  <si>
    <t>IDR191</t>
  </si>
  <si>
    <t>IDR192</t>
  </si>
  <si>
    <t>IDR193</t>
  </si>
  <si>
    <t>IDR194</t>
  </si>
  <si>
    <t>IDR195</t>
  </si>
  <si>
    <t>IDR196</t>
  </si>
  <si>
    <t>IDR197</t>
  </si>
  <si>
    <t>IDR198</t>
  </si>
  <si>
    <t>IDR199</t>
  </si>
  <si>
    <t>IDR200</t>
  </si>
  <si>
    <t>IDR201</t>
  </si>
  <si>
    <t>IDR202</t>
  </si>
  <si>
    <t>IDR203</t>
  </si>
  <si>
    <t>IDR204</t>
  </si>
  <si>
    <t>IDR205</t>
  </si>
  <si>
    <t>IDR206</t>
  </si>
  <si>
    <t>IDR207</t>
  </si>
  <si>
    <t>IDR208</t>
  </si>
  <si>
    <t>IDR209</t>
  </si>
  <si>
    <t>IDR210</t>
  </si>
  <si>
    <t>IDR211</t>
  </si>
  <si>
    <t>IDR212</t>
  </si>
  <si>
    <t>IDR213</t>
  </si>
  <si>
    <t>IDR214</t>
  </si>
  <si>
    <t>IDR215</t>
  </si>
  <si>
    <t>IDR216</t>
  </si>
  <si>
    <t>IDR217</t>
  </si>
  <si>
    <t>IDR218</t>
  </si>
  <si>
    <t>IDR219</t>
  </si>
  <si>
    <t>IDR220</t>
  </si>
  <si>
    <t>IDR221</t>
  </si>
  <si>
    <t>IDR222</t>
  </si>
  <si>
    <t>IDR223</t>
  </si>
  <si>
    <t>IDR224</t>
  </si>
  <si>
    <t>IDR225</t>
  </si>
  <si>
    <t>IDR226</t>
  </si>
  <si>
    <t>IDR227</t>
  </si>
  <si>
    <t>IDR228</t>
  </si>
  <si>
    <t>IDR229</t>
  </si>
  <si>
    <t>IDR230</t>
  </si>
  <si>
    <t>IDR231</t>
  </si>
  <si>
    <t>IDR232</t>
  </si>
  <si>
    <t>IDR233</t>
  </si>
  <si>
    <t>IDR234</t>
  </si>
  <si>
    <t>IDR235</t>
  </si>
  <si>
    <t>IDR236</t>
  </si>
  <si>
    <t>IDR237</t>
  </si>
  <si>
    <t>IDR238</t>
  </si>
  <si>
    <t>IDR239</t>
  </si>
  <si>
    <t>IDR240</t>
  </si>
  <si>
    <t>IDR241</t>
  </si>
  <si>
    <t>IDR242</t>
  </si>
  <si>
    <t>IDR243</t>
  </si>
  <si>
    <t>IDR244</t>
  </si>
  <si>
    <t>IDR245</t>
  </si>
  <si>
    <t>IDR246</t>
  </si>
  <si>
    <t>IDR247</t>
  </si>
  <si>
    <t>IDR248</t>
  </si>
  <si>
    <t>IDR249</t>
  </si>
  <si>
    <t>IDR250</t>
  </si>
  <si>
    <t>IDR251</t>
  </si>
  <si>
    <t>IDR252</t>
  </si>
  <si>
    <t>IDR253</t>
  </si>
  <si>
    <t>IDR254</t>
  </si>
  <si>
    <t>IDR255</t>
  </si>
  <si>
    <t>IDR256</t>
  </si>
  <si>
    <t>IDR257</t>
  </si>
  <si>
    <t>IDR258</t>
  </si>
  <si>
    <t>IDR259</t>
  </si>
  <si>
    <t>IDR260</t>
  </si>
  <si>
    <t>IDR261</t>
  </si>
  <si>
    <t>IDR262</t>
  </si>
  <si>
    <t>19_54</t>
  </si>
  <si>
    <t>22_27</t>
  </si>
  <si>
    <t>camp</t>
  </si>
  <si>
    <t>road towards Sagehen camp</t>
  </si>
  <si>
    <t>road from Sagehen camp to lower camp at reserve</t>
  </si>
  <si>
    <t>lower camp at reserve</t>
  </si>
  <si>
    <t>Lithobates_catesbeianus</t>
  </si>
  <si>
    <t>21_38</t>
  </si>
  <si>
    <t>21_54</t>
  </si>
  <si>
    <t>21_56</t>
  </si>
  <si>
    <t>21_58</t>
  </si>
  <si>
    <t>22_00</t>
  </si>
  <si>
    <t>22_01</t>
  </si>
  <si>
    <t>iridescent pink shine</t>
  </si>
  <si>
    <t>growth on left side, cataract in right eye, slow and lethargic</t>
  </si>
  <si>
    <t>little bit of tail still there</t>
  </si>
  <si>
    <t>long tail, released</t>
  </si>
  <si>
    <t>pinkish iridescent shine</t>
  </si>
  <si>
    <t>DSC0480</t>
  </si>
  <si>
    <t>DSC0470-0472</t>
  </si>
  <si>
    <t>DSC0481</t>
  </si>
  <si>
    <t>DSC0473-0474</t>
  </si>
  <si>
    <t>DSC0482-0484</t>
  </si>
  <si>
    <t>DSC0477</t>
  </si>
  <si>
    <t>DSC0475-0476</t>
  </si>
  <si>
    <t>DSC0503-0504</t>
  </si>
  <si>
    <t>DSC0490</t>
  </si>
  <si>
    <t>DSC0488-0489</t>
  </si>
  <si>
    <t>DSC0478-0479</t>
  </si>
  <si>
    <t>DSC0491</t>
  </si>
  <si>
    <t>DSC0502</t>
  </si>
  <si>
    <t>DSC0498-0499</t>
  </si>
  <si>
    <t>DSC0487</t>
  </si>
  <si>
    <t>DSC0495-0496</t>
  </si>
  <si>
    <t>DSC0485-0486</t>
  </si>
  <si>
    <t>DSC0501</t>
  </si>
  <si>
    <t>pale pink</t>
  </si>
  <si>
    <t>found calling, beautiful</t>
  </si>
  <si>
    <t>DSC0507-0508</t>
  </si>
  <si>
    <t>DSC0509-0512</t>
  </si>
  <si>
    <t>DSC0505-0506</t>
  </si>
  <si>
    <t>22_38</t>
  </si>
  <si>
    <t>found dead with intestines pulled out from forearm</t>
  </si>
  <si>
    <t>DSC0579-0583</t>
  </si>
  <si>
    <t>DSC0555-0562, DSC0569-0573</t>
  </si>
  <si>
    <t>DSC0611-0613</t>
  </si>
  <si>
    <t>DSC0614-0620</t>
  </si>
  <si>
    <t xml:space="preserve">road </t>
  </si>
  <si>
    <t>21_45</t>
  </si>
  <si>
    <t>DSC0671-0676</t>
  </si>
  <si>
    <t>DSC0732-0746</t>
  </si>
  <si>
    <t>DSC0749-0751</t>
  </si>
  <si>
    <t>reddish color</t>
  </si>
  <si>
    <t>DSC0866-0882</t>
  </si>
  <si>
    <t>DSC0883-0893</t>
  </si>
  <si>
    <t>released, too small</t>
  </si>
  <si>
    <t>20_06</t>
  </si>
  <si>
    <t>21_29</t>
  </si>
  <si>
    <t>Angelo</t>
  </si>
  <si>
    <t>riparian</t>
  </si>
  <si>
    <t>23_24</t>
  </si>
  <si>
    <t>10_30</t>
  </si>
  <si>
    <t>12_00</t>
  </si>
  <si>
    <t>along Eel River from Fox Creek</t>
  </si>
  <si>
    <t>along Elder Creek from Eel River</t>
  </si>
  <si>
    <t>21_15</t>
  </si>
  <si>
    <t>21_16</t>
  </si>
  <si>
    <t>21_18</t>
  </si>
  <si>
    <t>21_22</t>
  </si>
  <si>
    <t>21_25</t>
  </si>
  <si>
    <t>23_13</t>
  </si>
  <si>
    <t>23_15</t>
  </si>
  <si>
    <t>23_17</t>
  </si>
  <si>
    <t>Rana_boylii</t>
  </si>
  <si>
    <t>Angelo Coast</t>
  </si>
  <si>
    <t>green</t>
  </si>
  <si>
    <t>DSC0934-0936</t>
  </si>
  <si>
    <t>DSC0928-0938</t>
  </si>
  <si>
    <t>DSC0957, DSC0960</t>
  </si>
  <si>
    <t>DSC0947-0948</t>
  </si>
  <si>
    <t>DSC0942-0943</t>
  </si>
  <si>
    <t>DSC0974-0978</t>
  </si>
  <si>
    <t>DSC0998-1001</t>
  </si>
  <si>
    <t>DSC0992-0997</t>
  </si>
  <si>
    <t>pinkish hue</t>
  </si>
  <si>
    <t>DSC1002-1004</t>
  </si>
  <si>
    <t>green and brown</t>
  </si>
  <si>
    <t>DSC0986-0990</t>
  </si>
  <si>
    <t>DSC0003-0004</t>
  </si>
  <si>
    <t>max_temp_monthly</t>
  </si>
  <si>
    <t>min_temp_monthly</t>
  </si>
  <si>
    <t>lethargic</t>
  </si>
  <si>
    <t>jumped out of bag, caught with bare hands</t>
  </si>
  <si>
    <t>DSC0033-0036</t>
  </si>
  <si>
    <t>DSC0044-0045</t>
  </si>
  <si>
    <t>DSC0050-0057</t>
  </si>
  <si>
    <t>DSC0037-0039</t>
  </si>
  <si>
    <t>DSC0058-0062</t>
  </si>
  <si>
    <t>21_08</t>
  </si>
  <si>
    <t>22_15</t>
  </si>
  <si>
    <t>along Elder Creek from Eel River and back</t>
  </si>
  <si>
    <t>iridescent pink</t>
  </si>
  <si>
    <t>missing skin on stomach</t>
  </si>
  <si>
    <t>missing fingers on left hand except for thumb</t>
  </si>
  <si>
    <t>DSC0073-0076</t>
  </si>
  <si>
    <t>DSC0063-0066</t>
  </si>
  <si>
    <t>DSC0084-0085</t>
  </si>
  <si>
    <t>DSC0067-0072</t>
  </si>
  <si>
    <t>DSC0092-0096</t>
  </si>
  <si>
    <t>DSC0147-0148</t>
  </si>
  <si>
    <t>DSC0123-0124</t>
  </si>
  <si>
    <t>DSC0142-0143</t>
  </si>
  <si>
    <t>DSC0105-0106</t>
  </si>
  <si>
    <t>DSC0097-0100</t>
  </si>
  <si>
    <t>DSC0134-0135</t>
  </si>
  <si>
    <t>DSC0152-0160</t>
  </si>
  <si>
    <t>DSC0161-0166</t>
  </si>
  <si>
    <t>20_18</t>
  </si>
  <si>
    <t>along Skunk Creek from bridge</t>
  </si>
  <si>
    <t>along Eel River from near Skunk Creek</t>
  </si>
  <si>
    <t>21_39</t>
  </si>
  <si>
    <t>21_46</t>
  </si>
  <si>
    <t>22_54</t>
  </si>
  <si>
    <t>22_56</t>
  </si>
  <si>
    <t>22_58</t>
  </si>
  <si>
    <t>23_03</t>
  </si>
  <si>
    <t>23_07</t>
  </si>
  <si>
    <t>23_19</t>
  </si>
  <si>
    <t>24_33</t>
  </si>
  <si>
    <t>20_03</t>
  </si>
  <si>
    <t>along Fox Creek from bridge</t>
  </si>
  <si>
    <t>21_32</t>
  </si>
  <si>
    <t>22_40</t>
  </si>
  <si>
    <t>24_30</t>
  </si>
  <si>
    <t>along Eel River off of Walker Meadow Loop</t>
  </si>
  <si>
    <t>20_05</t>
  </si>
  <si>
    <t>22_11</t>
  </si>
  <si>
    <t>23_56</t>
  </si>
  <si>
    <t>24_04</t>
  </si>
  <si>
    <t>24_07</t>
  </si>
  <si>
    <t>24_08</t>
  </si>
  <si>
    <t>24_10</t>
  </si>
  <si>
    <t>24_11</t>
  </si>
  <si>
    <t>24_21</t>
  </si>
  <si>
    <t>24_27</t>
  </si>
  <si>
    <t>red streaks on back and legs</t>
  </si>
  <si>
    <t>reddish all over</t>
  </si>
  <si>
    <t>reddish streaks</t>
  </si>
  <si>
    <t>lesion on vocal sac</t>
  </si>
  <si>
    <t>looks like blood on vocal sac</t>
  </si>
  <si>
    <t>DSC0182-0184</t>
  </si>
  <si>
    <t>DSC0172-0173</t>
  </si>
  <si>
    <t>DSC0192-0194</t>
  </si>
  <si>
    <t>DSC0207-0209</t>
  </si>
  <si>
    <t>DSC0229-0233</t>
  </si>
  <si>
    <t>DSC0216-0228</t>
  </si>
  <si>
    <t>DSC0236-0243</t>
  </si>
  <si>
    <t>DSC0257-0265</t>
  </si>
  <si>
    <t>DSC0274-0276</t>
  </si>
  <si>
    <t>DSC0295-0303</t>
  </si>
  <si>
    <t>DSC0290-0294</t>
  </si>
  <si>
    <t>DSC0286-0289</t>
  </si>
  <si>
    <t>DSC0266-0270</t>
  </si>
  <si>
    <t>DSC0249-0256</t>
  </si>
  <si>
    <t>DSC0282-0285</t>
  </si>
  <si>
    <t>DSC0280-0282</t>
  </si>
  <si>
    <t>DSC0244-0248</t>
  </si>
  <si>
    <t>DSC0277-0279</t>
  </si>
  <si>
    <t>toeclip_extracted</t>
  </si>
  <si>
    <t>swab_extracted</t>
  </si>
  <si>
    <t>10_41</t>
  </si>
  <si>
    <t>11_16</t>
  </si>
  <si>
    <t>11_50</t>
  </si>
  <si>
    <t>12_11</t>
  </si>
  <si>
    <t>12_27</t>
  </si>
  <si>
    <t>12_56</t>
  </si>
  <si>
    <t>13_40</t>
  </si>
  <si>
    <t>13_45</t>
  </si>
  <si>
    <t>14_00</t>
  </si>
  <si>
    <t>14_15</t>
  </si>
  <si>
    <t>14_52</t>
  </si>
  <si>
    <t>15_15</t>
  </si>
  <si>
    <t xml:space="preserve">unnamed creek </t>
  </si>
  <si>
    <t>Younger</t>
  </si>
  <si>
    <t>meadow</t>
  </si>
  <si>
    <t>old restored area near whale skeletons</t>
  </si>
  <si>
    <t>parking lot/sidewalk</t>
  </si>
  <si>
    <t>sidewalk between whale skeletons and ucnrs office</t>
  </si>
  <si>
    <t>22_25</t>
  </si>
  <si>
    <t>lagoon</t>
  </si>
  <si>
    <t>lagoon trails</t>
  </si>
  <si>
    <t>24_32</t>
  </si>
  <si>
    <t>24_40</t>
  </si>
  <si>
    <t>20_48</t>
  </si>
  <si>
    <t>meadow/wetland</t>
  </si>
  <si>
    <t>pond near railroad tracks</t>
  </si>
  <si>
    <t>21_33</t>
  </si>
  <si>
    <t>meadow to restoration site</t>
  </si>
  <si>
    <t>23_09</t>
  </si>
  <si>
    <t>23_58</t>
  </si>
  <si>
    <t>parking lot islands</t>
  </si>
  <si>
    <t>I Russell, K Suzuki, H Balter</t>
  </si>
  <si>
    <t>manmade ponds</t>
  </si>
  <si>
    <t>ponds behind haunted house</t>
  </si>
  <si>
    <t>roads around the station</t>
  </si>
  <si>
    <t>chaparral, troughs</t>
  </si>
  <si>
    <t>21_07</t>
  </si>
  <si>
    <t>road from Kate's house to big pond behind station</t>
  </si>
  <si>
    <t>20_17</t>
  </si>
  <si>
    <t>road up hill and past trough</t>
  </si>
  <si>
    <t>22_12</t>
  </si>
  <si>
    <t>walk from station to big pond behind station</t>
  </si>
  <si>
    <t>Blue Oak Ranch</t>
  </si>
  <si>
    <t>pond</t>
  </si>
  <si>
    <t>west pond</t>
  </si>
  <si>
    <t>kate's backyard from parking lot</t>
  </si>
  <si>
    <t>14_40</t>
  </si>
  <si>
    <t>cabin pond</t>
  </si>
  <si>
    <t>IDR263</t>
  </si>
  <si>
    <t>IDR264</t>
  </si>
  <si>
    <t>IDR265</t>
  </si>
  <si>
    <t>IDR266</t>
  </si>
  <si>
    <t>IDR267</t>
  </si>
  <si>
    <t>IDR268</t>
  </si>
  <si>
    <t>IDR269</t>
  </si>
  <si>
    <t>IDR270</t>
  </si>
  <si>
    <t>IDR271</t>
  </si>
  <si>
    <t>IDR272</t>
  </si>
  <si>
    <t>IDR273</t>
  </si>
  <si>
    <t>IDR274</t>
  </si>
  <si>
    <t>IDR275</t>
  </si>
  <si>
    <t>IDR276</t>
  </si>
  <si>
    <t>IDR277</t>
  </si>
  <si>
    <t>IDR278</t>
  </si>
  <si>
    <t>IDR279</t>
  </si>
  <si>
    <t>IDR280</t>
  </si>
  <si>
    <t>IDR281</t>
  </si>
  <si>
    <t>IDR282</t>
  </si>
  <si>
    <t>IDR283</t>
  </si>
  <si>
    <t>IDR284</t>
  </si>
  <si>
    <t>IDR285</t>
  </si>
  <si>
    <t>IDR286</t>
  </si>
  <si>
    <t>IDR287</t>
  </si>
  <si>
    <t>IDR288</t>
  </si>
  <si>
    <t>IDR289</t>
  </si>
  <si>
    <t>IDR290</t>
  </si>
  <si>
    <t>IDR291</t>
  </si>
  <si>
    <t>IDR292</t>
  </si>
  <si>
    <t>IDR293</t>
  </si>
  <si>
    <t>IDR294</t>
  </si>
  <si>
    <t>IDR295</t>
  </si>
  <si>
    <t>IDR296</t>
  </si>
  <si>
    <t>IDR297</t>
  </si>
  <si>
    <t>IDR298</t>
  </si>
  <si>
    <t>IDR299</t>
  </si>
  <si>
    <t>IDR300</t>
  </si>
  <si>
    <t>IDR301</t>
  </si>
  <si>
    <t>IDR302</t>
  </si>
  <si>
    <t>IDR303</t>
  </si>
  <si>
    <t>IDR304</t>
  </si>
  <si>
    <t>IDR305</t>
  </si>
  <si>
    <t>IDR306</t>
  </si>
  <si>
    <t>IDR307</t>
  </si>
  <si>
    <t>IDR308</t>
  </si>
  <si>
    <t>IDR309</t>
  </si>
  <si>
    <t>IDR310</t>
  </si>
  <si>
    <t>IDR311</t>
  </si>
  <si>
    <t>IDR312</t>
  </si>
  <si>
    <t>IDR313</t>
  </si>
  <si>
    <t>IDR314</t>
  </si>
  <si>
    <t>IDR315</t>
  </si>
  <si>
    <t>IDR316</t>
  </si>
  <si>
    <t>IDR317</t>
  </si>
  <si>
    <t>IDR318</t>
  </si>
  <si>
    <t>IDR319</t>
  </si>
  <si>
    <t>IDR320</t>
  </si>
  <si>
    <t>IDR321</t>
  </si>
  <si>
    <t>IDR322</t>
  </si>
  <si>
    <t>IDR323</t>
  </si>
  <si>
    <t>IDR324</t>
  </si>
  <si>
    <t>IDR325</t>
  </si>
  <si>
    <t>IDR326</t>
  </si>
  <si>
    <t>IDR327</t>
  </si>
  <si>
    <t>IDR328</t>
  </si>
  <si>
    <t>IDR329</t>
  </si>
  <si>
    <t>IDR330</t>
  </si>
  <si>
    <t>IDR331</t>
  </si>
  <si>
    <t>IDR332</t>
  </si>
  <si>
    <t>IDR333</t>
  </si>
  <si>
    <t>IDR334</t>
  </si>
  <si>
    <t>IDR335</t>
  </si>
  <si>
    <t>IDR336</t>
  </si>
  <si>
    <t>IDR337</t>
  </si>
  <si>
    <t>IDR338</t>
  </si>
  <si>
    <t>IDR339</t>
  </si>
  <si>
    <t>IDR340</t>
  </si>
  <si>
    <t>IDR341</t>
  </si>
  <si>
    <t>IDR342</t>
  </si>
  <si>
    <t>IDR343</t>
  </si>
  <si>
    <t>IDR344</t>
  </si>
  <si>
    <t>IDR345</t>
  </si>
  <si>
    <t>IDR346</t>
  </si>
  <si>
    <t>IDR347</t>
  </si>
  <si>
    <t>IDR348</t>
  </si>
  <si>
    <t>IDR349</t>
  </si>
  <si>
    <t>IDR350</t>
  </si>
  <si>
    <t>IDR351</t>
  </si>
  <si>
    <t>IDR352</t>
  </si>
  <si>
    <t>IDR353</t>
  </si>
  <si>
    <t>IDR354</t>
  </si>
  <si>
    <t>IDR355</t>
  </si>
  <si>
    <t>IDR356</t>
  </si>
  <si>
    <t>IDR357</t>
  </si>
  <si>
    <t>IDR358</t>
  </si>
  <si>
    <t>IDR359</t>
  </si>
  <si>
    <t>IDR360</t>
  </si>
  <si>
    <t>IDR361</t>
  </si>
  <si>
    <t>IDR362</t>
  </si>
  <si>
    <t>IDR363</t>
  </si>
  <si>
    <t>IDR364</t>
  </si>
  <si>
    <t>IDR365</t>
  </si>
  <si>
    <t>IDR366</t>
  </si>
  <si>
    <t>IDR367</t>
  </si>
  <si>
    <t>IDR368</t>
  </si>
  <si>
    <t>IDR369</t>
  </si>
  <si>
    <t>IDR370</t>
  </si>
  <si>
    <t>IDR371</t>
  </si>
  <si>
    <t>IDR372</t>
  </si>
  <si>
    <t>IDR373</t>
  </si>
  <si>
    <t>IDR374</t>
  </si>
  <si>
    <t>IDR375</t>
  </si>
  <si>
    <t>IDR376</t>
  </si>
  <si>
    <t>IDR377</t>
  </si>
  <si>
    <t>IDR378</t>
  </si>
  <si>
    <t>IDR379</t>
  </si>
  <si>
    <t>IDR380</t>
  </si>
  <si>
    <t>IDR381</t>
  </si>
  <si>
    <t>IDR382</t>
  </si>
  <si>
    <t>IDR383</t>
  </si>
  <si>
    <t>IDR384</t>
  </si>
  <si>
    <t>IDR385</t>
  </si>
  <si>
    <t>IDR386</t>
  </si>
  <si>
    <t>IDR387</t>
  </si>
  <si>
    <t>IDR388</t>
  </si>
  <si>
    <t>IDR389</t>
  </si>
  <si>
    <t>IDR390</t>
  </si>
  <si>
    <t>IDR391</t>
  </si>
  <si>
    <t>IDR392</t>
  </si>
  <si>
    <t>IDR393</t>
  </si>
  <si>
    <t>IDR394</t>
  </si>
  <si>
    <t>IDR395</t>
  </si>
  <si>
    <t>IDR396</t>
  </si>
  <si>
    <t>IDR397</t>
  </si>
  <si>
    <t>IDR398</t>
  </si>
  <si>
    <t>IDR399</t>
  </si>
  <si>
    <t>IDR400</t>
  </si>
  <si>
    <t>IDR401</t>
  </si>
  <si>
    <t>IDR402</t>
  </si>
  <si>
    <t>IDR403</t>
  </si>
  <si>
    <t>IDR404</t>
  </si>
  <si>
    <t>IDR405</t>
  </si>
  <si>
    <t>IDR406</t>
  </si>
  <si>
    <t>IDR407</t>
  </si>
  <si>
    <t>IDR408</t>
  </si>
  <si>
    <t>IDR409</t>
  </si>
  <si>
    <t>IDR410</t>
  </si>
  <si>
    <t>IDR411</t>
  </si>
  <si>
    <t>IDR412</t>
  </si>
  <si>
    <t>IDR413</t>
  </si>
  <si>
    <t>IDR414</t>
  </si>
  <si>
    <t>IDR415</t>
  </si>
  <si>
    <t>IDR416</t>
  </si>
  <si>
    <t>IDR417</t>
  </si>
  <si>
    <t>IDR418</t>
  </si>
  <si>
    <t>IDR419</t>
  </si>
  <si>
    <t>IDR420</t>
  </si>
  <si>
    <t>IDR421</t>
  </si>
  <si>
    <t>IDR422</t>
  </si>
  <si>
    <t>IDR423</t>
  </si>
  <si>
    <t>IDR424</t>
  </si>
  <si>
    <t>IDR425</t>
  </si>
  <si>
    <t>IDR426</t>
  </si>
  <si>
    <t>IDR427</t>
  </si>
  <si>
    <t>IDR428</t>
  </si>
  <si>
    <t>IDR429</t>
  </si>
  <si>
    <t>IDR430</t>
  </si>
  <si>
    <t>IDR431</t>
  </si>
  <si>
    <t>IDR432</t>
  </si>
  <si>
    <t>IDR433</t>
  </si>
  <si>
    <t>IDR434</t>
  </si>
  <si>
    <t>IDR435</t>
  </si>
  <si>
    <t>IDR436</t>
  </si>
  <si>
    <t>IDR437</t>
  </si>
  <si>
    <t>IDR438</t>
  </si>
  <si>
    <t>IDR439</t>
  </si>
  <si>
    <t>11_02</t>
  </si>
  <si>
    <t>12_04</t>
  </si>
  <si>
    <t>12_52</t>
  </si>
  <si>
    <t>14_11</t>
  </si>
  <si>
    <t>15_10</t>
  </si>
  <si>
    <t>22_07</t>
  </si>
  <si>
    <t>22_10</t>
  </si>
  <si>
    <t>23_35</t>
  </si>
  <si>
    <t>21_31</t>
  </si>
  <si>
    <t>21_37</t>
  </si>
  <si>
    <t>22_34</t>
  </si>
  <si>
    <t>24_35</t>
  </si>
  <si>
    <t>23_20</t>
  </si>
  <si>
    <t>23_22</t>
  </si>
  <si>
    <t>23_32</t>
  </si>
  <si>
    <t>23_42</t>
  </si>
  <si>
    <t>23_51</t>
  </si>
  <si>
    <t>20_47</t>
  </si>
  <si>
    <t>20_51</t>
  </si>
  <si>
    <t>21_10</t>
  </si>
  <si>
    <t>23_34</t>
  </si>
  <si>
    <t>23_36</t>
  </si>
  <si>
    <t>23_39</t>
  </si>
  <si>
    <t>23_41</t>
  </si>
  <si>
    <t>23_46</t>
  </si>
  <si>
    <t>21_06</t>
  </si>
  <si>
    <t>22_30</t>
  </si>
  <si>
    <t>approximate time</t>
  </si>
  <si>
    <t>20_49</t>
  </si>
  <si>
    <t>22_09</t>
  </si>
  <si>
    <t>20_46</t>
  </si>
  <si>
    <t>21_21</t>
  </si>
  <si>
    <t>14_16</t>
  </si>
  <si>
    <t>20_58</t>
  </si>
  <si>
    <t>21_09</t>
  </si>
  <si>
    <t>21_17</t>
  </si>
  <si>
    <t>21_28</t>
  </si>
  <si>
    <t>41_47</t>
  </si>
  <si>
    <t>22_03</t>
  </si>
  <si>
    <t>22_06</t>
  </si>
  <si>
    <t>lesions on back - bd?</t>
  </si>
  <si>
    <t>red lines alond back</t>
  </si>
  <si>
    <t>reddish spots</t>
  </si>
  <si>
    <t>wind picked up, only swab tip in tube</t>
  </si>
  <si>
    <t>DSC0323-0329</t>
  </si>
  <si>
    <t>DSC0304-0309</t>
  </si>
  <si>
    <t>DSC0344-0346</t>
  </si>
  <si>
    <t>DSC0357-0368</t>
  </si>
  <si>
    <t>DSC0370-0373</t>
  </si>
  <si>
    <t>DSC0390-0395</t>
  </si>
  <si>
    <t>DSC0379-0389</t>
  </si>
  <si>
    <t>DSC0420-0424</t>
  </si>
  <si>
    <t>DSC0347-0443</t>
  </si>
  <si>
    <t>DSC0445-0447</t>
  </si>
  <si>
    <t>DSC0460-0461</t>
  </si>
  <si>
    <t>DSC0458-0459</t>
  </si>
  <si>
    <t>Younger Lagoon</t>
  </si>
  <si>
    <t>right foot short; stubby middle toe, pinkish shoulders</t>
  </si>
  <si>
    <t>DSC0467-0468</t>
  </si>
  <si>
    <t>DSC0453-0454</t>
  </si>
  <si>
    <t>DSC0455-0456</t>
  </si>
  <si>
    <t>DSC0471</t>
  </si>
  <si>
    <t>DSC0629-0531</t>
  </si>
  <si>
    <t>DSC0515-0517</t>
  </si>
  <si>
    <t>DSC0483-0487</t>
  </si>
  <si>
    <t>DSC0472-0474</t>
  </si>
  <si>
    <t>DSC0525-0527</t>
  </si>
  <si>
    <t>DSC0532-0534</t>
  </si>
  <si>
    <t>DSC0502-0503</t>
  </si>
  <si>
    <t>DSC0490-0493</t>
  </si>
  <si>
    <t>DSC0475-0479</t>
  </si>
  <si>
    <t>DSC0542-0544</t>
  </si>
  <si>
    <t>DSC0547-0552</t>
  </si>
  <si>
    <t>DSC0556-0557</t>
  </si>
  <si>
    <t>DSC0588-0602</t>
  </si>
  <si>
    <t>August</t>
  </si>
  <si>
    <t>lesions on shoulder and arms</t>
  </si>
  <si>
    <t>DSC0611-0612</t>
  </si>
  <si>
    <t>DSC0626-0627</t>
  </si>
  <si>
    <t>DSC0628-0635</t>
  </si>
  <si>
    <t>DSC0636-0641</t>
  </si>
  <si>
    <t>DSC0642-0648</t>
  </si>
  <si>
    <t>DSC0649-0653</t>
  </si>
  <si>
    <t>DSC0654-0656</t>
  </si>
  <si>
    <t>DSC0671-0672</t>
  </si>
  <si>
    <t>DSC0673-0674</t>
  </si>
  <si>
    <t>DSC0694</t>
  </si>
  <si>
    <t>DSC0701-0702</t>
  </si>
  <si>
    <t>DSC0708-0709</t>
  </si>
  <si>
    <t>DSC0711-0712</t>
  </si>
  <si>
    <t>DSC0713-0714</t>
  </si>
  <si>
    <t>camera ran out of battery</t>
  </si>
  <si>
    <t>upper turtle pond</t>
  </si>
  <si>
    <t>McLaughlin</t>
  </si>
  <si>
    <t>otter pond</t>
  </si>
  <si>
    <t>23_23</t>
  </si>
  <si>
    <t>15_33</t>
  </si>
  <si>
    <t>15_54</t>
  </si>
  <si>
    <t>I Russell, K Suzuki</t>
  </si>
  <si>
    <t>greenhouse</t>
  </si>
  <si>
    <t>water box in black greenhouse</t>
  </si>
  <si>
    <t>mountain lion pond (small)</t>
  </si>
  <si>
    <t>mountain lion pond (large)</t>
  </si>
  <si>
    <t>qpcr_a</t>
  </si>
  <si>
    <t>qpcr_b</t>
  </si>
  <si>
    <t>qpcr_c</t>
  </si>
  <si>
    <t>y</t>
  </si>
  <si>
    <t>color chart</t>
  </si>
  <si>
    <t>Ryan's notebook</t>
  </si>
  <si>
    <t>Casey's notebook</t>
  </si>
  <si>
    <t>Daniel's notebook</t>
  </si>
  <si>
    <t>n</t>
  </si>
  <si>
    <t>immediate check/fix</t>
  </si>
  <si>
    <t>qpcr</t>
  </si>
  <si>
    <t>weird curves/rerun</t>
  </si>
  <si>
    <t>file name</t>
  </si>
  <si>
    <t>notes</t>
  </si>
  <si>
    <t>Caseyplate3B_20190919_IDR2019</t>
  </si>
  <si>
    <t>Caseyplate2C</t>
  </si>
  <si>
    <t>Caseyplate3C_20190919_IDR2019</t>
  </si>
  <si>
    <t>fine</t>
  </si>
  <si>
    <t>Caseyplate1C_20190904_IDR2019</t>
  </si>
  <si>
    <t>Caseyplate2A_20190905_IDR2019</t>
  </si>
  <si>
    <t>Caseyplate3A_20190918_IDR2019</t>
  </si>
  <si>
    <t>who prepared</t>
  </si>
  <si>
    <t>Casey</t>
  </si>
  <si>
    <t>Imani</t>
  </si>
  <si>
    <t>who added standards and ran</t>
  </si>
  <si>
    <t>Caseyplate2B_20190906_IDR2019</t>
  </si>
  <si>
    <t>Caseyplate1B_20190830_IDR2019</t>
  </si>
  <si>
    <t>Caseyplate1A_20190830_IDR2019</t>
  </si>
  <si>
    <t>y - was mislabelled as 12</t>
  </si>
  <si>
    <t>y mislabelled as 12</t>
  </si>
  <si>
    <t>IDR440</t>
  </si>
  <si>
    <t>IDR441</t>
  </si>
  <si>
    <t>IDR442</t>
  </si>
  <si>
    <t>IDR443</t>
  </si>
  <si>
    <t>IDR444</t>
  </si>
  <si>
    <t>IDR445</t>
  </si>
  <si>
    <t>IDR446</t>
  </si>
  <si>
    <t>IDR447</t>
  </si>
  <si>
    <t>IDR448</t>
  </si>
  <si>
    <t>IDR449</t>
  </si>
  <si>
    <t>IDR450</t>
  </si>
  <si>
    <t>IDR451</t>
  </si>
  <si>
    <t>IDR452</t>
  </si>
  <si>
    <t>IDR453</t>
  </si>
  <si>
    <t>DSC0763</t>
  </si>
  <si>
    <t>DSC0782-0783</t>
  </si>
  <si>
    <t>DSC0766-0767</t>
  </si>
  <si>
    <t>DSC0773-0744</t>
  </si>
  <si>
    <t>DSC0776</t>
  </si>
  <si>
    <t>DSC0778</t>
  </si>
  <si>
    <t>DSC0780-0781</t>
  </si>
  <si>
    <t>DSC0792</t>
  </si>
  <si>
    <t>DSC0795</t>
  </si>
  <si>
    <t>DSC0800-0805</t>
  </si>
  <si>
    <t>DSC0806-0808</t>
  </si>
  <si>
    <t>DSC0809-0810</t>
  </si>
  <si>
    <t>DSC0811</t>
  </si>
  <si>
    <t>DSC0812</t>
  </si>
  <si>
    <t>DSC0825</t>
  </si>
  <si>
    <t>DSC0838-0839</t>
  </si>
  <si>
    <t>DSC0843</t>
  </si>
  <si>
    <t>DSC0764-0765</t>
  </si>
  <si>
    <t>DSC0844</t>
  </si>
  <si>
    <t>DSC0912-0915</t>
  </si>
  <si>
    <t>approximate time; reddish sheen</t>
  </si>
  <si>
    <t>&gt;160</t>
  </si>
  <si>
    <t>juvenile?</t>
  </si>
  <si>
    <t>DSC0932</t>
  </si>
  <si>
    <t>DSC0927</t>
  </si>
  <si>
    <t>DSC0952</t>
  </si>
  <si>
    <t>DSC0962</t>
  </si>
  <si>
    <t>DSC0963</t>
  </si>
  <si>
    <t>DSC0973-0974</t>
  </si>
  <si>
    <t>DSC0978</t>
  </si>
  <si>
    <t>DSC0981-0982</t>
  </si>
  <si>
    <t>DSC0985</t>
  </si>
  <si>
    <t>DSC0990-0991</t>
  </si>
  <si>
    <t>DSC0992</t>
  </si>
  <si>
    <t>DSC0993-0995</t>
  </si>
  <si>
    <t>DSC0997-1000</t>
  </si>
  <si>
    <t>DSC1001</t>
  </si>
  <si>
    <t>DSC1007-1009</t>
  </si>
  <si>
    <t>iphone 5-6</t>
  </si>
  <si>
    <t>iphone 3-8</t>
  </si>
  <si>
    <t>iphone 9-11</t>
  </si>
  <si>
    <t>patches of missing color on back</t>
  </si>
  <si>
    <t>iphone 1-2</t>
  </si>
  <si>
    <t>dead</t>
  </si>
  <si>
    <t>missing side skin</t>
  </si>
  <si>
    <t>missing left leg</t>
  </si>
  <si>
    <t>DSC0009-0010</t>
  </si>
  <si>
    <t>missing webbing on left foot</t>
  </si>
  <si>
    <t>DSC0073</t>
  </si>
  <si>
    <t>September</t>
  </si>
  <si>
    <t>45.5-37</t>
  </si>
  <si>
    <t>DSC0074</t>
  </si>
  <si>
    <t>DSC0075</t>
  </si>
  <si>
    <t>DSC0076</t>
  </si>
  <si>
    <t>DSC0077</t>
  </si>
  <si>
    <t>DSC0078</t>
  </si>
  <si>
    <t>DSC0079</t>
  </si>
  <si>
    <t>DSC0081-0083</t>
  </si>
  <si>
    <t>toeclip dropped?</t>
  </si>
  <si>
    <t>DSC0086-0088</t>
  </si>
  <si>
    <t>DSC0090</t>
  </si>
  <si>
    <t>DSC0091</t>
  </si>
  <si>
    <t>DSC0092-0094</t>
  </si>
  <si>
    <t>missing skin</t>
  </si>
  <si>
    <t>DSC0095</t>
  </si>
  <si>
    <t>DSC0096</t>
  </si>
  <si>
    <t>small tail</t>
  </si>
  <si>
    <t>DSC0100</t>
  </si>
  <si>
    <t>DSC0103-0104</t>
  </si>
  <si>
    <t>DSC0106</t>
  </si>
  <si>
    <t>DSC0107</t>
  </si>
  <si>
    <t>lethargic; small tail</t>
  </si>
  <si>
    <t>released, tail</t>
  </si>
  <si>
    <t>lesion on back</t>
  </si>
  <si>
    <t>DSC0110-0111</t>
  </si>
  <si>
    <t>DSC0112</t>
  </si>
  <si>
    <t>DSC0113-0114</t>
  </si>
  <si>
    <t>pathces of missing skin</t>
  </si>
  <si>
    <t>tail nub</t>
  </si>
  <si>
    <t>lesioln on left leg; tail nub</t>
  </si>
  <si>
    <t>DSC0115-0117</t>
  </si>
  <si>
    <t>DSC0118-0119</t>
  </si>
  <si>
    <t>DSC0126</t>
  </si>
  <si>
    <t>DSC0132</t>
  </si>
  <si>
    <t>deformed left leg</t>
  </si>
  <si>
    <t>DSC0133-0134</t>
  </si>
  <si>
    <t>DSC0135-0136</t>
  </si>
  <si>
    <t>paul and cathy's small pond</t>
  </si>
  <si>
    <t>21_12</t>
  </si>
  <si>
    <t>Jepson Prairie</t>
  </si>
  <si>
    <t>lindsey slough</t>
  </si>
  <si>
    <t>I Russell, K Suzuki, V Sablan</t>
  </si>
  <si>
    <t>Quail Ridge</t>
  </si>
  <si>
    <t>shane's pond</t>
  </si>
  <si>
    <t>fordyce pond</t>
  </si>
  <si>
    <t>fuel station to field station</t>
  </si>
  <si>
    <t>plastic tubs</t>
  </si>
  <si>
    <t>dragonfly tubs from other researchers</t>
  </si>
  <si>
    <t>road from field station down to lab and up to far pond</t>
  </si>
  <si>
    <t>Stebbins</t>
  </si>
  <si>
    <t>old cooler site</t>
  </si>
  <si>
    <t>I Russell, V Sablan</t>
  </si>
  <si>
    <t>ropeswing pond</t>
  </si>
  <si>
    <t>19_18</t>
  </si>
  <si>
    <t>19_25</t>
  </si>
  <si>
    <t>far pond - completely dry</t>
  </si>
  <si>
    <t>20_09</t>
  </si>
  <si>
    <t>19_27</t>
  </si>
  <si>
    <t>windy</t>
  </si>
  <si>
    <t>first creek trail crossing</t>
  </si>
  <si>
    <t>IDR454</t>
  </si>
  <si>
    <t>IDR455</t>
  </si>
  <si>
    <t>IDR456</t>
  </si>
  <si>
    <t>IDR457</t>
  </si>
  <si>
    <t>IDR458</t>
  </si>
  <si>
    <t>IDR459</t>
  </si>
  <si>
    <t>IDR460</t>
  </si>
  <si>
    <t>IDR461</t>
  </si>
  <si>
    <t>IDR462</t>
  </si>
  <si>
    <t>IDR463</t>
  </si>
  <si>
    <t>IDR464</t>
  </si>
  <si>
    <t>IDR465</t>
  </si>
  <si>
    <t>IDR466</t>
  </si>
  <si>
    <t>IDR467</t>
  </si>
  <si>
    <t>IDR468</t>
  </si>
  <si>
    <t>IDR469</t>
  </si>
  <si>
    <t>IDR470</t>
  </si>
  <si>
    <t>IDR471</t>
  </si>
  <si>
    <t>IDR472</t>
  </si>
  <si>
    <t>IDR473</t>
  </si>
  <si>
    <t>IDR474</t>
  </si>
  <si>
    <t>IDR475</t>
  </si>
  <si>
    <t>IDR476</t>
  </si>
  <si>
    <t>IDR477</t>
  </si>
  <si>
    <t>IDR478</t>
  </si>
  <si>
    <t>IDR479</t>
  </si>
  <si>
    <t>IDR480</t>
  </si>
  <si>
    <t>IDR481</t>
  </si>
  <si>
    <t>IDR482</t>
  </si>
  <si>
    <t>IDR483</t>
  </si>
  <si>
    <t>IDR484</t>
  </si>
  <si>
    <t>IDR485</t>
  </si>
  <si>
    <t>IDR486</t>
  </si>
  <si>
    <t>IDR487</t>
  </si>
  <si>
    <t>IDR488</t>
  </si>
  <si>
    <t>IDR489</t>
  </si>
  <si>
    <t>IDR490</t>
  </si>
  <si>
    <t>IDR491</t>
  </si>
  <si>
    <t>IDR492</t>
  </si>
  <si>
    <t>IDR493</t>
  </si>
  <si>
    <t>IDR494</t>
  </si>
  <si>
    <t>IDR495</t>
  </si>
  <si>
    <t>IDR496</t>
  </si>
  <si>
    <t>IDR497</t>
  </si>
  <si>
    <t>IDR498</t>
  </si>
  <si>
    <t>IDR499</t>
  </si>
  <si>
    <t>IDR500</t>
  </si>
  <si>
    <t>IDR501</t>
  </si>
  <si>
    <t>IDR502</t>
  </si>
  <si>
    <t>IDR503</t>
  </si>
  <si>
    <t>IDR504</t>
  </si>
  <si>
    <t>IDR505</t>
  </si>
  <si>
    <t>IDR506</t>
  </si>
  <si>
    <t>IDR507</t>
  </si>
  <si>
    <t>IDR508</t>
  </si>
  <si>
    <t>IDR509</t>
  </si>
  <si>
    <t>IDR510</t>
  </si>
  <si>
    <t>IDR511</t>
  </si>
  <si>
    <t>IDR512</t>
  </si>
  <si>
    <t>IDR513</t>
  </si>
  <si>
    <t>IDR514</t>
  </si>
  <si>
    <t>IDR515</t>
  </si>
  <si>
    <t>IDR516</t>
  </si>
  <si>
    <t>IDR517</t>
  </si>
  <si>
    <t>IDR518</t>
  </si>
  <si>
    <t>IDR519</t>
  </si>
  <si>
    <t>IDR520</t>
  </si>
  <si>
    <t>IDR521</t>
  </si>
  <si>
    <t>IDR522</t>
  </si>
  <si>
    <t>IDR523</t>
  </si>
  <si>
    <t>IDR524</t>
  </si>
  <si>
    <t>IDR525</t>
  </si>
  <si>
    <t>IDR526</t>
  </si>
  <si>
    <t>IDR527</t>
  </si>
  <si>
    <t>IDR528</t>
  </si>
  <si>
    <t>IDR529</t>
  </si>
  <si>
    <t>IDR530</t>
  </si>
  <si>
    <t>IDR531</t>
  </si>
  <si>
    <t>IDR532</t>
  </si>
  <si>
    <t>IDR533</t>
  </si>
  <si>
    <t>IDR534</t>
  </si>
  <si>
    <t>IDR535</t>
  </si>
  <si>
    <t>IDR536</t>
  </si>
  <si>
    <t>IDR537</t>
  </si>
  <si>
    <t>IDR538</t>
  </si>
  <si>
    <t>IDR539</t>
  </si>
  <si>
    <t>IDR540</t>
  </si>
  <si>
    <t>IDR541</t>
  </si>
  <si>
    <t>IDR542</t>
  </si>
  <si>
    <t>IDR543</t>
  </si>
  <si>
    <t>IDR544</t>
  </si>
  <si>
    <t>IDR545</t>
  </si>
  <si>
    <t>IDR546</t>
  </si>
  <si>
    <t>IDR547</t>
  </si>
  <si>
    <t>IDR548</t>
  </si>
  <si>
    <t>IDR549</t>
  </si>
  <si>
    <t>IDR550</t>
  </si>
  <si>
    <t>IDR551</t>
  </si>
  <si>
    <t>IDR552</t>
  </si>
  <si>
    <t>IDR553</t>
  </si>
  <si>
    <t>IDR554</t>
  </si>
  <si>
    <t>IDR555</t>
  </si>
  <si>
    <t>IDR556</t>
  </si>
  <si>
    <t>IDR557</t>
  </si>
  <si>
    <t>IDR558</t>
  </si>
  <si>
    <t>IDR559</t>
  </si>
  <si>
    <t>IDR560</t>
  </si>
  <si>
    <t>IDR561</t>
  </si>
  <si>
    <t>IDR562</t>
  </si>
  <si>
    <t>IDR563</t>
  </si>
  <si>
    <t>IDR564</t>
  </si>
  <si>
    <t>IDR565</t>
  </si>
  <si>
    <t>IDR566</t>
  </si>
  <si>
    <t>IDR567</t>
  </si>
  <si>
    <t>IDR568</t>
  </si>
  <si>
    <t>IDR569</t>
  </si>
  <si>
    <t>IDR570</t>
  </si>
  <si>
    <t>IDR571</t>
  </si>
  <si>
    <t>IDR572</t>
  </si>
  <si>
    <t>IDR573</t>
  </si>
  <si>
    <t>IDR574</t>
  </si>
  <si>
    <t>IDR575</t>
  </si>
  <si>
    <t>IDR576</t>
  </si>
  <si>
    <t>IDR577</t>
  </si>
  <si>
    <t>IDR578</t>
  </si>
  <si>
    <t>IDR579</t>
  </si>
  <si>
    <t>IDR580</t>
  </si>
  <si>
    <t>IDR581</t>
  </si>
  <si>
    <t>IDR582</t>
  </si>
  <si>
    <t>IDR583</t>
  </si>
  <si>
    <t>IDR584</t>
  </si>
  <si>
    <t>IDR585</t>
  </si>
  <si>
    <t>IDR586</t>
  </si>
  <si>
    <t>IDR587</t>
  </si>
  <si>
    <t>IDR588</t>
  </si>
  <si>
    <t>IDR589</t>
  </si>
  <si>
    <t>IDR590</t>
  </si>
  <si>
    <t>IDR591</t>
  </si>
  <si>
    <t>IDR592</t>
  </si>
  <si>
    <t>IDR593</t>
  </si>
  <si>
    <t>IDR594</t>
  </si>
  <si>
    <t>IDR595</t>
  </si>
  <si>
    <t>IDR596</t>
  </si>
  <si>
    <t>IDR597</t>
  </si>
  <si>
    <t>IDR598</t>
  </si>
  <si>
    <t>IDR599</t>
  </si>
  <si>
    <t>IDR600</t>
  </si>
  <si>
    <t>IDR601</t>
  </si>
  <si>
    <t>IDR602</t>
  </si>
  <si>
    <t>IDR603</t>
  </si>
  <si>
    <t>IDR604</t>
  </si>
  <si>
    <t>IDR605</t>
  </si>
  <si>
    <t>IDR606</t>
  </si>
  <si>
    <t>IDR607</t>
  </si>
  <si>
    <t>IDR608</t>
  </si>
  <si>
    <t>IDR609</t>
  </si>
  <si>
    <t>IDR610</t>
  </si>
  <si>
    <t>IDR611</t>
  </si>
  <si>
    <t>IDR612</t>
  </si>
  <si>
    <t>IDR613</t>
  </si>
  <si>
    <t>IDR614</t>
  </si>
  <si>
    <t>IDR615</t>
  </si>
  <si>
    <t>IDR616</t>
  </si>
  <si>
    <t>IDR617</t>
  </si>
  <si>
    <t>IDR618</t>
  </si>
  <si>
    <t>IDR619</t>
  </si>
  <si>
    <t>IDR620</t>
  </si>
  <si>
    <t>IDR621</t>
  </si>
  <si>
    <t>IDR622</t>
  </si>
  <si>
    <t>IDR623</t>
  </si>
  <si>
    <t>IDR624</t>
  </si>
  <si>
    <t>IDR625</t>
  </si>
  <si>
    <t>IDR626</t>
  </si>
  <si>
    <t>IDR627</t>
  </si>
  <si>
    <t>IDR628</t>
  </si>
  <si>
    <t>IDR629</t>
  </si>
  <si>
    <t>IDR630</t>
  </si>
  <si>
    <t>IDR631</t>
  </si>
  <si>
    <t>IDR632</t>
  </si>
  <si>
    <t>IDR633</t>
  </si>
  <si>
    <t>IDR634</t>
  </si>
  <si>
    <t>IDR635</t>
  </si>
  <si>
    <t>IDR636</t>
  </si>
  <si>
    <t>IDR637</t>
  </si>
  <si>
    <t>IDR638</t>
  </si>
  <si>
    <t>IDR639</t>
  </si>
  <si>
    <t>IDR640</t>
  </si>
  <si>
    <t>IDR641</t>
  </si>
  <si>
    <t>IDR642</t>
  </si>
  <si>
    <t>IDR643</t>
  </si>
  <si>
    <t>IDR644</t>
  </si>
  <si>
    <t>IDR645</t>
  </si>
  <si>
    <t>IDR646</t>
  </si>
  <si>
    <t>IDR647</t>
  </si>
  <si>
    <t>IDR648</t>
  </si>
  <si>
    <t>IDR649</t>
  </si>
  <si>
    <t>IDR650</t>
  </si>
  <si>
    <t>IDR651</t>
  </si>
  <si>
    <t>IDR652</t>
  </si>
  <si>
    <t>IDR653</t>
  </si>
  <si>
    <t>IDR654</t>
  </si>
  <si>
    <t>IDR655</t>
  </si>
  <si>
    <t>IDR656</t>
  </si>
  <si>
    <t>IDR657</t>
  </si>
  <si>
    <t>IDR658</t>
  </si>
  <si>
    <t>IDR659</t>
  </si>
  <si>
    <t>IDR660</t>
  </si>
  <si>
    <t>IDR661</t>
  </si>
  <si>
    <t>IDR662</t>
  </si>
  <si>
    <t>IDR663</t>
  </si>
  <si>
    <t>IDR664</t>
  </si>
  <si>
    <t>IDR665</t>
  </si>
  <si>
    <t>IDR666</t>
  </si>
  <si>
    <t>IDR667</t>
  </si>
  <si>
    <t>IDR668</t>
  </si>
  <si>
    <t>IDR669</t>
  </si>
  <si>
    <t>IDR670</t>
  </si>
  <si>
    <t>IDR671</t>
  </si>
  <si>
    <t>IDR672</t>
  </si>
  <si>
    <t>IDR673</t>
  </si>
  <si>
    <t>IDR674</t>
  </si>
  <si>
    <t>IDR675</t>
  </si>
  <si>
    <t>IDR676</t>
  </si>
  <si>
    <t>IDR677</t>
  </si>
  <si>
    <t>IDR678</t>
  </si>
  <si>
    <t>IDR679</t>
  </si>
  <si>
    <t>IDR680</t>
  </si>
  <si>
    <t>IDR681</t>
  </si>
  <si>
    <t>IDR682</t>
  </si>
  <si>
    <t>IDR683</t>
  </si>
  <si>
    <t>IDR684</t>
  </si>
  <si>
    <t>IDR685</t>
  </si>
  <si>
    <t>IDR686</t>
  </si>
  <si>
    <t>IDR687</t>
  </si>
  <si>
    <t>IDR688</t>
  </si>
  <si>
    <t>IDR689</t>
  </si>
  <si>
    <t>IDR690</t>
  </si>
  <si>
    <t>IDR691</t>
  </si>
  <si>
    <t>IDR692</t>
  </si>
  <si>
    <t>IDR693</t>
  </si>
  <si>
    <t>IDR694</t>
  </si>
  <si>
    <t>IDR695</t>
  </si>
  <si>
    <t>IDR696</t>
  </si>
  <si>
    <t>IDR697</t>
  </si>
  <si>
    <t>IDR698</t>
  </si>
  <si>
    <t>IDR699</t>
  </si>
  <si>
    <t>IDR700</t>
  </si>
  <si>
    <t>15_34</t>
  </si>
  <si>
    <t>15_35</t>
  </si>
  <si>
    <t>15_36</t>
  </si>
  <si>
    <t>15_37</t>
  </si>
  <si>
    <t>15_38</t>
  </si>
  <si>
    <t>15_39</t>
  </si>
  <si>
    <t>15_40</t>
  </si>
  <si>
    <t>15_49</t>
  </si>
  <si>
    <t>15_50</t>
  </si>
  <si>
    <t>15_51</t>
  </si>
  <si>
    <t>15_52</t>
  </si>
  <si>
    <t>22_49</t>
  </si>
  <si>
    <t>23_08</t>
  </si>
  <si>
    <t>21_44</t>
  </si>
  <si>
    <t>22_31</t>
  </si>
  <si>
    <t>22_32</t>
  </si>
  <si>
    <t>22_36</t>
  </si>
  <si>
    <t>22_39</t>
  </si>
  <si>
    <t>22_44</t>
  </si>
  <si>
    <t>22_53</t>
  </si>
  <si>
    <t>20_08</t>
  </si>
  <si>
    <t>20_11</t>
  </si>
  <si>
    <t>IDR701</t>
  </si>
  <si>
    <t>IDR702</t>
  </si>
  <si>
    <t>IDR703</t>
  </si>
  <si>
    <t>IDR704</t>
  </si>
  <si>
    <t>IDR705</t>
  </si>
  <si>
    <t>IDR706</t>
  </si>
  <si>
    <t>IDR707</t>
  </si>
  <si>
    <t>IDR708</t>
  </si>
  <si>
    <t>IDR709</t>
  </si>
  <si>
    <t>IDR710</t>
  </si>
  <si>
    <t>IDR711</t>
  </si>
  <si>
    <t>IDR712</t>
  </si>
  <si>
    <t>19_31</t>
  </si>
  <si>
    <t>19_36</t>
  </si>
  <si>
    <t>19_38</t>
  </si>
  <si>
    <t>19_53</t>
  </si>
  <si>
    <t>19_56</t>
  </si>
  <si>
    <t>19_57</t>
  </si>
  <si>
    <t>20_02</t>
  </si>
  <si>
    <t>IDR713</t>
  </si>
  <si>
    <t>IDR714</t>
  </si>
  <si>
    <t>DSC0138</t>
  </si>
  <si>
    <t>DSC0139</t>
  </si>
  <si>
    <t>DC0141-0142</t>
  </si>
  <si>
    <t>DSC0144</t>
  </si>
  <si>
    <t>DSC0145-0146</t>
  </si>
  <si>
    <t>missing left foot; super dark coloring</t>
  </si>
  <si>
    <t>missing part of left foot (only 2 toes); webbed leg</t>
  </si>
  <si>
    <t>DSC0149-0151</t>
  </si>
  <si>
    <t>DSC0152</t>
  </si>
  <si>
    <t>DSC0162-0163</t>
  </si>
  <si>
    <t>DSC0164-0165</t>
  </si>
  <si>
    <t>DSC0170</t>
  </si>
  <si>
    <t>DSC0174-0175</t>
  </si>
  <si>
    <t>DSC0178-0179</t>
  </si>
  <si>
    <t>DSC0182-0183</t>
  </si>
  <si>
    <t>DSC0188-0189</t>
  </si>
  <si>
    <t>DSC0193</t>
  </si>
  <si>
    <t>DSC0194-0195</t>
  </si>
  <si>
    <t>DSC0196-0197</t>
  </si>
  <si>
    <t>DSC0199-0200</t>
  </si>
  <si>
    <t>DSC0201</t>
  </si>
  <si>
    <t>DSC0202-0204</t>
  </si>
  <si>
    <t>DSC0205-0206</t>
  </si>
  <si>
    <t>DSC0210-0212</t>
  </si>
  <si>
    <t>DSC0216</t>
  </si>
  <si>
    <t>DSC0223-0224</t>
  </si>
  <si>
    <t>DSC0233-0234</t>
  </si>
  <si>
    <t>DSC0241-0242</t>
  </si>
  <si>
    <t>DSC0246-0248</t>
  </si>
  <si>
    <t>possible lesions on back</t>
  </si>
  <si>
    <t>DSC0250-0253</t>
  </si>
  <si>
    <t>DSC0254-0256</t>
  </si>
  <si>
    <t>DSC0263-0265</t>
  </si>
  <si>
    <t>DSC0273-0274</t>
  </si>
  <si>
    <t>DSC0284-0287</t>
  </si>
  <si>
    <t>missing finger on left hand</t>
  </si>
  <si>
    <t>DSC0291-0294</t>
  </si>
  <si>
    <t>DSC0304-0306</t>
  </si>
  <si>
    <t>black spot on top of head</t>
  </si>
  <si>
    <t>DSC0316</t>
  </si>
  <si>
    <t>DSC0317-0320</t>
  </si>
  <si>
    <t>DSC0321-0323</t>
  </si>
  <si>
    <t>DSC0324-0325</t>
  </si>
  <si>
    <t>DSC0326</t>
  </si>
  <si>
    <t>DSC0327-0328</t>
  </si>
  <si>
    <t>DSC0333-0334</t>
  </si>
  <si>
    <t>DSC0342-0343</t>
  </si>
  <si>
    <t>DSC0348-0349</t>
  </si>
  <si>
    <t>DSC0351</t>
  </si>
  <si>
    <t>DSC0353</t>
  </si>
  <si>
    <t>DSC0354-0355</t>
  </si>
  <si>
    <t>DSC0356-0357</t>
  </si>
  <si>
    <t>DSC0358</t>
  </si>
  <si>
    <t>only swab tip in tube</t>
  </si>
  <si>
    <t>DSC0360-0361</t>
  </si>
  <si>
    <t>DSC0362-0363</t>
  </si>
  <si>
    <t>DSC0364-0365</t>
  </si>
  <si>
    <t>gash, possible predation event</t>
  </si>
  <si>
    <t>DSC0366-0367</t>
  </si>
  <si>
    <t>DSC0368-0370</t>
  </si>
  <si>
    <t>DSC0375-0376</t>
  </si>
  <si>
    <t>DSC0377-0379</t>
  </si>
  <si>
    <t>DSC0381</t>
  </si>
  <si>
    <t>DSC0390-0392</t>
  </si>
  <si>
    <t>DSC0407-0409</t>
  </si>
  <si>
    <t>DSC0414-0415</t>
  </si>
  <si>
    <t>DSC0492-0493</t>
  </si>
  <si>
    <t>DSC0505-0507</t>
  </si>
  <si>
    <t>DSC0614-0615</t>
  </si>
  <si>
    <t>DSC0591-0592</t>
  </si>
  <si>
    <t>DSC0529-0530</t>
  </si>
  <si>
    <t>DSC0537</t>
  </si>
  <si>
    <t>DSC0602-0604</t>
  </si>
  <si>
    <t>DSC0542-0543</t>
  </si>
  <si>
    <t>DSC0516-0517</t>
  </si>
  <si>
    <t>DSC0501-0502</t>
  </si>
  <si>
    <t>DSC0626-0628</t>
  </si>
  <si>
    <t>DSC0554-0555</t>
  </si>
  <si>
    <t>DSC0621-0623</t>
  </si>
  <si>
    <t>DSC0564-0565</t>
  </si>
  <si>
    <t>DSC0572-0573</t>
  </si>
  <si>
    <t>DSC0576-0578</t>
  </si>
  <si>
    <t>DSC0635-0637</t>
  </si>
  <si>
    <t>right foot toes weird - middle toe bent</t>
  </si>
  <si>
    <t>DSC0581-0582</t>
  </si>
  <si>
    <t>DSC0662-0664</t>
  </si>
  <si>
    <t>DSC0668-0669</t>
  </si>
  <si>
    <t>green stripe through eye</t>
  </si>
  <si>
    <t>DSC0675-0677</t>
  </si>
  <si>
    <t>DSC0678-0679</t>
  </si>
  <si>
    <t>DSC0680-0681</t>
  </si>
  <si>
    <t>DSC0682-0683</t>
  </si>
  <si>
    <t>DSC0689-0691</t>
  </si>
  <si>
    <t>DSC0700-0703</t>
  </si>
  <si>
    <t>darker throat, possibly male?</t>
  </si>
  <si>
    <t>DSC0704-0705</t>
  </si>
  <si>
    <t>DSC0712-0715</t>
  </si>
  <si>
    <t>DSC0718-0721</t>
  </si>
  <si>
    <t>DSC0724-0725</t>
  </si>
  <si>
    <t>DSC0730</t>
  </si>
  <si>
    <t>DSC0735</t>
  </si>
  <si>
    <t>DSC0746-0747</t>
  </si>
  <si>
    <t>DSC0750</t>
  </si>
  <si>
    <t>DSC0751</t>
  </si>
  <si>
    <t>DSC0752</t>
  </si>
  <si>
    <t>DSC0754</t>
  </si>
  <si>
    <t>DSC0756-0757</t>
  </si>
  <si>
    <t>DSC0759</t>
  </si>
  <si>
    <t>DSC0761-0762</t>
  </si>
  <si>
    <t>DSC0766</t>
  </si>
  <si>
    <t>DSC0768</t>
  </si>
  <si>
    <t>DSC0770-0771</t>
  </si>
  <si>
    <t>DSC0774</t>
  </si>
  <si>
    <t>DSC0775-0776</t>
  </si>
  <si>
    <t>DSC0779-0781</t>
  </si>
  <si>
    <t>DSC0783-0784</t>
  </si>
  <si>
    <t>DSC0785-0786</t>
  </si>
  <si>
    <t>DSC0794</t>
  </si>
  <si>
    <t>slight nub tail</t>
  </si>
  <si>
    <t>DSC0798-0799</t>
  </si>
  <si>
    <t>DSC0800-0801</t>
  </si>
  <si>
    <t>DSC0802-0804</t>
  </si>
  <si>
    <t>DSC0807-0809</t>
  </si>
  <si>
    <t>DSC0817-0818</t>
  </si>
  <si>
    <t>DSC0824-0825</t>
  </si>
  <si>
    <t>DSC0829-0831</t>
  </si>
  <si>
    <t>DSC0839-0840</t>
  </si>
  <si>
    <t>DSC0850-0851</t>
  </si>
  <si>
    <t>DSC0857-0858</t>
  </si>
  <si>
    <t>DSC0863-0864</t>
  </si>
  <si>
    <t>DSC0868-0871</t>
  </si>
  <si>
    <t>DSC0885-0887</t>
  </si>
  <si>
    <t>Jepson</t>
  </si>
  <si>
    <t>DSC0891-0892</t>
  </si>
  <si>
    <t>DSC9896-0897</t>
  </si>
  <si>
    <t>DSC0914-0915</t>
  </si>
  <si>
    <t>DSC0923-0924</t>
  </si>
  <si>
    <t>DSC0932-0936</t>
  </si>
  <si>
    <t>DSC0958-0959</t>
  </si>
  <si>
    <t>DSC0951-0952</t>
  </si>
  <si>
    <t>too windy for weights</t>
  </si>
  <si>
    <t>DSC0993-0994</t>
  </si>
  <si>
    <t>DSC0995</t>
  </si>
  <si>
    <t>DSC0996</t>
  </si>
  <si>
    <t>DSC0997</t>
  </si>
  <si>
    <t>DSC0998</t>
  </si>
  <si>
    <t>DSC0999</t>
  </si>
  <si>
    <t>DSC1002-1003</t>
  </si>
  <si>
    <t>DSC1004</t>
  </si>
  <si>
    <t>DSC1005-1006</t>
  </si>
  <si>
    <t>possibly parasitic worm</t>
  </si>
  <si>
    <t>DSC1007-1010</t>
  </si>
  <si>
    <t>patch of missing skin left side of mouth</t>
  </si>
  <si>
    <t>DSC1011-1012</t>
  </si>
  <si>
    <t>patch of missing skin left stomach, left leg, throat, arm</t>
  </si>
  <si>
    <t>DSC0991-0992</t>
  </si>
  <si>
    <t>DSC0989-0990</t>
  </si>
  <si>
    <t>DSC0987-0988</t>
  </si>
  <si>
    <t>DSC0985-0986</t>
  </si>
  <si>
    <t>DSC0983-0984</t>
  </si>
  <si>
    <t>deformed right foot</t>
  </si>
  <si>
    <t>DSC0979-0980</t>
  </si>
  <si>
    <t>DSC0977-0978</t>
  </si>
  <si>
    <t>DSC0975-0976</t>
  </si>
  <si>
    <t>deformed left foot</t>
  </si>
  <si>
    <t>DSC0971-0972</t>
  </si>
  <si>
    <t>DSC0969-0970</t>
  </si>
  <si>
    <t>DSC0967-0968</t>
  </si>
  <si>
    <t>DSC0961</t>
  </si>
  <si>
    <t>DSC1013-1016</t>
  </si>
  <si>
    <t>DSC0002-0005</t>
  </si>
  <si>
    <t>DSC0006</t>
  </si>
  <si>
    <t>DSC0007-0009</t>
  </si>
  <si>
    <t>DSC0010-0011</t>
  </si>
  <si>
    <t>DSC0018-0021</t>
  </si>
  <si>
    <t>DSC0034</t>
  </si>
  <si>
    <t>DSC0035-0036</t>
  </si>
  <si>
    <t>brownish throat - possibly male?</t>
  </si>
  <si>
    <t>DSC0037-0038</t>
  </si>
  <si>
    <t>DSC0044</t>
  </si>
  <si>
    <t>DSC0047-0048</t>
  </si>
  <si>
    <t>legs sort of splayed; brownish throat - possibly male?</t>
  </si>
  <si>
    <t>DSC0049-0050</t>
  </si>
  <si>
    <t>DSC0051</t>
  </si>
  <si>
    <t>DSC0129-0134</t>
  </si>
  <si>
    <t>DSC0108-0112</t>
  </si>
  <si>
    <t>DSC0101-0103</t>
  </si>
  <si>
    <t>DSC0147-0150</t>
  </si>
  <si>
    <t>DSC0159-0161</t>
  </si>
  <si>
    <t>DSC0163-0166</t>
  </si>
  <si>
    <t>DSC0188-0191</t>
  </si>
  <si>
    <t>DSC0228-0229</t>
  </si>
  <si>
    <t>DSC0265-0267</t>
  </si>
  <si>
    <t>DSC0301-0302</t>
  </si>
  <si>
    <t>DSC0311-0312</t>
  </si>
  <si>
    <t>DSC0313-0315</t>
  </si>
  <si>
    <t>DSC0316-0318</t>
  </si>
  <si>
    <t>DSC0319-0321</t>
  </si>
  <si>
    <t>missing yellow on stomach and thighs</t>
  </si>
  <si>
    <t>DSC0341-0342</t>
  </si>
  <si>
    <t>DSC0350-0352</t>
  </si>
  <si>
    <t>missing patch of skin on back</t>
  </si>
  <si>
    <t>check nuptial pads</t>
  </si>
  <si>
    <t>DSC0329-0332</t>
  </si>
  <si>
    <t>DSC0398-0400</t>
  </si>
  <si>
    <t>missing skin on drink patch</t>
  </si>
  <si>
    <t>DSC0411</t>
  </si>
  <si>
    <t>DSC0415-0416</t>
  </si>
  <si>
    <t>DSC0421</t>
  </si>
  <si>
    <t>DSC0423-0424</t>
  </si>
  <si>
    <t>DSC0436-0438</t>
  </si>
  <si>
    <t>DSC0448-0449</t>
  </si>
  <si>
    <t>DSC0459-0463</t>
  </si>
  <si>
    <t>DSC0470-0471</t>
  </si>
  <si>
    <t>DSC0481-0484</t>
  </si>
  <si>
    <t>DSC0489-0490</t>
  </si>
  <si>
    <t>DSC0499-0500</t>
  </si>
  <si>
    <t>DSC0503</t>
  </si>
  <si>
    <t>DSC0510-0511</t>
  </si>
  <si>
    <t>DSC0518-0520</t>
  </si>
  <si>
    <t>DSC0532-0533</t>
  </si>
  <si>
    <t>DSC0537-0538</t>
  </si>
  <si>
    <t>DSC0544-0545</t>
  </si>
  <si>
    <t>DSC0546-0547</t>
  </si>
  <si>
    <t>DSC0548-0550</t>
  </si>
  <si>
    <t>DSC0551-0552</t>
  </si>
  <si>
    <t>DSC0558-0560</t>
  </si>
  <si>
    <t>DSC0565-0567</t>
  </si>
  <si>
    <t>DSC0572-0574</t>
  </si>
  <si>
    <t>DSC0580-0582</t>
  </si>
  <si>
    <t>DSC0588-0590</t>
  </si>
  <si>
    <t>DSC0593-0594</t>
  </si>
  <si>
    <t>DSC0595-0596</t>
  </si>
  <si>
    <t>DSC0597-0599</t>
  </si>
  <si>
    <t>DSC0600-0601</t>
  </si>
  <si>
    <t>DSC0605-0608</t>
  </si>
  <si>
    <t>grey spot on back</t>
  </si>
  <si>
    <t>DSC0609-0611</t>
  </si>
  <si>
    <t>DSC0616-0620</t>
  </si>
  <si>
    <t>DSC0625-0627</t>
  </si>
  <si>
    <t>DSC0640-0643</t>
  </si>
  <si>
    <t>DSC0645-06449</t>
  </si>
  <si>
    <t>very faint yellow on throat - possibly male?</t>
  </si>
  <si>
    <t>grey drink patch, missing skin around mouth</t>
  </si>
  <si>
    <t>DSC0653-0658</t>
  </si>
  <si>
    <t>DSC0659-0660</t>
  </si>
  <si>
    <t>DSC0661-0663</t>
  </si>
  <si>
    <t>grey drink patch</t>
  </si>
  <si>
    <t>DSC0664-0665</t>
  </si>
  <si>
    <t>DSC0666-0667</t>
  </si>
  <si>
    <t>DSC0670-0671</t>
  </si>
  <si>
    <t>DSC0678-0681</t>
  </si>
  <si>
    <t>DSC0672-0675</t>
  </si>
  <si>
    <t>DSC0683-0685</t>
  </si>
  <si>
    <t>DSC0699-0700</t>
  </si>
  <si>
    <t>DSC0692-0696</t>
  </si>
  <si>
    <t>DSC0697-0698</t>
  </si>
  <si>
    <t>too windy for weights; possible nuptia pad - male?</t>
  </si>
  <si>
    <t>DSC0701-0703</t>
  </si>
  <si>
    <t>DSC0707-0710</t>
  </si>
  <si>
    <t>DSC0711-0714</t>
  </si>
  <si>
    <t>rerun - negative amplified</t>
  </si>
  <si>
    <t>needed IPC to see if inhibited or not</t>
  </si>
  <si>
    <t>negative  amplified</t>
  </si>
  <si>
    <t>all 3 negative standrds amplified</t>
  </si>
  <si>
    <t>Caseyplate1C_20191002_IDR2019</t>
  </si>
  <si>
    <t>standard CTs a little high but I think okay</t>
  </si>
  <si>
    <t>Caseyplate3A_20191004_IDR2019_IPC</t>
  </si>
  <si>
    <t/>
  </si>
  <si>
    <t>Caseyplate3C_20191007_IDR2019</t>
  </si>
  <si>
    <t>Kanaplate1A_20191015_IDR2019_IPC</t>
  </si>
  <si>
    <t>Kana and Imani</t>
  </si>
  <si>
    <t>Kanaplate1B_20191015_IDR2019</t>
  </si>
  <si>
    <t>Caseyplate1C_20191003_IDR2019_IPC_redo</t>
  </si>
  <si>
    <t>redo H7 (IDR255)</t>
  </si>
  <si>
    <t>rerun D8 (IDR 220) and H7 (IDR255)</t>
  </si>
  <si>
    <t>IDRplate1_20190715_IDR2019_data</t>
  </si>
  <si>
    <t>check to see if usable</t>
  </si>
  <si>
    <t>RAN OUT OF SAMPLE; spots on belly</t>
  </si>
  <si>
    <t>Kanaplate1C_20191017_IDR2019</t>
  </si>
  <si>
    <t>Done in Caseyplate 4</t>
  </si>
  <si>
    <t>Caseyplate4A_20191016_IDR2019</t>
  </si>
  <si>
    <t>Caseyplate4B_20191017_IDR2019_IPC</t>
  </si>
  <si>
    <t>Caseyplate4C_20191018_IDR2019</t>
  </si>
  <si>
    <t>1_Piru</t>
  </si>
  <si>
    <t>2_Piru</t>
  </si>
  <si>
    <t>3_Piru</t>
  </si>
  <si>
    <t>4_Piru</t>
  </si>
  <si>
    <t>5_Piru</t>
  </si>
  <si>
    <t>6_Piru</t>
  </si>
  <si>
    <t>7_Piru</t>
  </si>
  <si>
    <t>8_Piru</t>
  </si>
  <si>
    <t>9_Piru</t>
  </si>
  <si>
    <t>10_Piru</t>
  </si>
  <si>
    <t>11_Piru</t>
  </si>
  <si>
    <t>12_Piru</t>
  </si>
  <si>
    <t>13_Piru</t>
  </si>
  <si>
    <t>I Russell, L Velazquez, C Briggs</t>
  </si>
  <si>
    <t>no wind</t>
  </si>
  <si>
    <t>Cabin pond</t>
  </si>
  <si>
    <t>14_01</t>
  </si>
  <si>
    <t>14_18</t>
  </si>
  <si>
    <t>14_58</t>
  </si>
  <si>
    <t>15_28</t>
  </si>
  <si>
    <t>16_09</t>
  </si>
  <si>
    <t>16_19</t>
  </si>
  <si>
    <t>I Russell, L Velazquez</t>
  </si>
  <si>
    <t>Pleasanton Ridge</t>
  </si>
  <si>
    <t>PRPND009</t>
  </si>
  <si>
    <t>16_52</t>
  </si>
  <si>
    <t>17_21</t>
  </si>
  <si>
    <t>PRPND010</t>
  </si>
  <si>
    <t>12_40</t>
  </si>
  <si>
    <t>13_23</t>
  </si>
  <si>
    <t>Garin Dry Creek</t>
  </si>
  <si>
    <t>14_23</t>
  </si>
  <si>
    <t>14_48</t>
  </si>
  <si>
    <t>15_13</t>
  </si>
  <si>
    <t>15_55</t>
  </si>
  <si>
    <t>19_07</t>
  </si>
  <si>
    <t>GDPND4</t>
  </si>
  <si>
    <t>GDPND6</t>
  </si>
  <si>
    <t>GDPND14</t>
  </si>
  <si>
    <t>IDR715</t>
  </si>
  <si>
    <t>IDR716</t>
  </si>
  <si>
    <t>IDR717</t>
  </si>
  <si>
    <t>IDR718</t>
  </si>
  <si>
    <t>IDR719</t>
  </si>
  <si>
    <t>IDR720</t>
  </si>
  <si>
    <t>IDR721</t>
  </si>
  <si>
    <t>IDR722</t>
  </si>
  <si>
    <t>IDR723</t>
  </si>
  <si>
    <t>IDR724</t>
  </si>
  <si>
    <t>IDR725</t>
  </si>
  <si>
    <t>IDR726</t>
  </si>
  <si>
    <t>IDR727</t>
  </si>
  <si>
    <t>IDR728</t>
  </si>
  <si>
    <t>IDR729</t>
  </si>
  <si>
    <t>DSC0733</t>
  </si>
  <si>
    <t>DSC0734-0736</t>
  </si>
  <si>
    <t>DSC0737-0738</t>
  </si>
  <si>
    <t>DSC0739-0740</t>
  </si>
  <si>
    <t>DSC0741-0742</t>
  </si>
  <si>
    <t>DSC0743-0744</t>
  </si>
  <si>
    <t>DSC0745-0747</t>
  </si>
  <si>
    <t>DSC0748</t>
  </si>
  <si>
    <t>DSC0749-0750</t>
  </si>
  <si>
    <t>DSC0751-0752</t>
  </si>
  <si>
    <t>DSC753-0754</t>
  </si>
  <si>
    <t>DSC0755</t>
  </si>
  <si>
    <t>IDR730</t>
  </si>
  <si>
    <t>IDR731</t>
  </si>
  <si>
    <t>IDR732</t>
  </si>
  <si>
    <t>IDR733</t>
  </si>
  <si>
    <t>swab, toeclip, culture, RNA</t>
  </si>
  <si>
    <t>swab, culture, RNA</t>
  </si>
  <si>
    <t>DSC0756</t>
  </si>
  <si>
    <t>DSC0763-0764</t>
  </si>
  <si>
    <t>DSC0765-0770</t>
  </si>
  <si>
    <t>worm on chest</t>
  </si>
  <si>
    <t>missing eye and part of lips of right side</t>
  </si>
  <si>
    <t>14_03</t>
  </si>
  <si>
    <t>15_04</t>
  </si>
  <si>
    <t>IDR734</t>
  </si>
  <si>
    <t>IDR735</t>
  </si>
  <si>
    <t>IDR736</t>
  </si>
  <si>
    <t>IDR737</t>
  </si>
  <si>
    <t>12_42</t>
  </si>
  <si>
    <t>15_24</t>
  </si>
  <si>
    <t>15_45</t>
  </si>
  <si>
    <t>DSC0774-0776</t>
  </si>
  <si>
    <t>DSC0782-0784</t>
  </si>
  <si>
    <t>DSC0785</t>
  </si>
  <si>
    <t>DSC0786-0787</t>
  </si>
  <si>
    <t>IDR738</t>
  </si>
  <si>
    <t>IDR739</t>
  </si>
  <si>
    <t>IDR740</t>
  </si>
  <si>
    <t>IDR741</t>
  </si>
  <si>
    <t>IDR742</t>
  </si>
  <si>
    <t>IDR743</t>
  </si>
  <si>
    <t>IDR744</t>
  </si>
  <si>
    <t>IDR745</t>
  </si>
  <si>
    <t>IDR746</t>
  </si>
  <si>
    <t>19_30</t>
  </si>
  <si>
    <t>19_32</t>
  </si>
  <si>
    <t>19_47</t>
  </si>
  <si>
    <t>DSC0788</t>
  </si>
  <si>
    <t>DSC0789-0790</t>
  </si>
  <si>
    <t>stream</t>
  </si>
  <si>
    <t>IDR747</t>
  </si>
  <si>
    <t>IDR748</t>
  </si>
  <si>
    <t>IDR749</t>
  </si>
  <si>
    <t>IDR750</t>
  </si>
  <si>
    <t>IDR751</t>
  </si>
  <si>
    <t>IDR752</t>
  </si>
  <si>
    <t>IDR753</t>
  </si>
  <si>
    <t>IDR754</t>
  </si>
  <si>
    <t>IDR755</t>
  </si>
  <si>
    <t>IDR756</t>
  </si>
  <si>
    <t>IDR757</t>
  </si>
  <si>
    <t>IDR758</t>
  </si>
  <si>
    <t>IDR759</t>
  </si>
  <si>
    <t>IDR760</t>
  </si>
  <si>
    <t>IDR761</t>
  </si>
  <si>
    <t>IDR762</t>
  </si>
  <si>
    <t>IDR763</t>
  </si>
  <si>
    <t>IDR764</t>
  </si>
  <si>
    <t>IDR765</t>
  </si>
  <si>
    <t>IDR766</t>
  </si>
  <si>
    <t>IDR767</t>
  </si>
  <si>
    <t>IDR768</t>
  </si>
  <si>
    <t>IDR769</t>
  </si>
  <si>
    <t>IDR770</t>
  </si>
  <si>
    <t>IDR771</t>
  </si>
  <si>
    <t>IDR772</t>
  </si>
  <si>
    <t>IDR773</t>
  </si>
  <si>
    <t>IDR774</t>
  </si>
  <si>
    <t>IDR775</t>
  </si>
  <si>
    <t>IDR776</t>
  </si>
  <si>
    <t>IDR777</t>
  </si>
  <si>
    <t>IDR778</t>
  </si>
  <si>
    <t>IDR779</t>
  </si>
  <si>
    <t>IDR780</t>
  </si>
  <si>
    <t>IDR781</t>
  </si>
  <si>
    <t>IDR782</t>
  </si>
  <si>
    <t>IDR783</t>
  </si>
  <si>
    <t>IDR784</t>
  </si>
  <si>
    <t>IDR785</t>
  </si>
  <si>
    <t>IDR786</t>
  </si>
  <si>
    <t>IDR787</t>
  </si>
  <si>
    <t>IDR788</t>
  </si>
  <si>
    <t>IDR789</t>
  </si>
  <si>
    <t>IDR790</t>
  </si>
  <si>
    <t>IDR791</t>
  </si>
  <si>
    <t>IDR792</t>
  </si>
  <si>
    <t>IDR793</t>
  </si>
  <si>
    <t>IDR794</t>
  </si>
  <si>
    <t>IDR795</t>
  </si>
  <si>
    <t>IDR796</t>
  </si>
  <si>
    <t>IDR797</t>
  </si>
  <si>
    <t>IDR798</t>
  </si>
  <si>
    <t>IDR799</t>
  </si>
  <si>
    <t>IDR800</t>
  </si>
  <si>
    <t>IDR801</t>
  </si>
  <si>
    <t>IDR802</t>
  </si>
  <si>
    <t>IDR803</t>
  </si>
  <si>
    <t>IDR804</t>
  </si>
  <si>
    <t>IDR805</t>
  </si>
  <si>
    <t>IDR806</t>
  </si>
  <si>
    <t>IDR807</t>
  </si>
  <si>
    <t>IDR808</t>
  </si>
  <si>
    <t>IDR809</t>
  </si>
  <si>
    <t>IDR810</t>
  </si>
  <si>
    <t>IDR811</t>
  </si>
  <si>
    <t>IDR812</t>
  </si>
  <si>
    <t>IDR813</t>
  </si>
  <si>
    <t>IDR814</t>
  </si>
  <si>
    <t>IDR815</t>
  </si>
  <si>
    <t>IDR816</t>
  </si>
  <si>
    <t>IDR817</t>
  </si>
  <si>
    <t>IDR818</t>
  </si>
  <si>
    <t>IDR819</t>
  </si>
  <si>
    <t>IDR820</t>
  </si>
  <si>
    <t>IDR821</t>
  </si>
  <si>
    <t>IDR822</t>
  </si>
  <si>
    <t>IDR823</t>
  </si>
  <si>
    <t>IDR824</t>
  </si>
  <si>
    <t>IDR825</t>
  </si>
  <si>
    <t>IDR826</t>
  </si>
  <si>
    <t>IDR827</t>
  </si>
  <si>
    <t>IDR828</t>
  </si>
  <si>
    <t>IDR829</t>
  </si>
  <si>
    <t>IDR830</t>
  </si>
  <si>
    <t>IDR831</t>
  </si>
  <si>
    <t>IDR832</t>
  </si>
  <si>
    <t>IDR833</t>
  </si>
  <si>
    <t>IDR834</t>
  </si>
  <si>
    <t>IDR835</t>
  </si>
  <si>
    <t>IDR836</t>
  </si>
  <si>
    <t>IDR837</t>
  </si>
  <si>
    <t>IDR838</t>
  </si>
  <si>
    <t>IDR839</t>
  </si>
  <si>
    <t>IDR840</t>
  </si>
  <si>
    <t>IDR841</t>
  </si>
  <si>
    <t>IDR842</t>
  </si>
  <si>
    <t>IDR843</t>
  </si>
  <si>
    <t>IDR844</t>
  </si>
  <si>
    <t>IDR845</t>
  </si>
  <si>
    <t>IDR846</t>
  </si>
  <si>
    <t>IDR847</t>
  </si>
  <si>
    <t>IDR848</t>
  </si>
  <si>
    <t>IDR849</t>
  </si>
  <si>
    <t>IDR850</t>
  </si>
  <si>
    <t>IDR851</t>
  </si>
  <si>
    <t>IDR852</t>
  </si>
  <si>
    <t>IDR853</t>
  </si>
  <si>
    <t>IDR854</t>
  </si>
  <si>
    <t>IDR855</t>
  </si>
  <si>
    <t>IDR856</t>
  </si>
  <si>
    <t>IDR857</t>
  </si>
  <si>
    <t>IDR858</t>
  </si>
  <si>
    <t>IDR859</t>
  </si>
  <si>
    <t>IDR860</t>
  </si>
  <si>
    <t>IDR861</t>
  </si>
  <si>
    <t>IDR862</t>
  </si>
  <si>
    <t>IDR863</t>
  </si>
  <si>
    <t>IDR864</t>
  </si>
  <si>
    <t>IDR865</t>
  </si>
  <si>
    <t>IDR866</t>
  </si>
  <si>
    <t>IDR867</t>
  </si>
  <si>
    <t>IDR868</t>
  </si>
  <si>
    <t>IDR869</t>
  </si>
  <si>
    <t>IDR870</t>
  </si>
  <si>
    <t>IDR871</t>
  </si>
  <si>
    <t>IDR872</t>
  </si>
  <si>
    <t>IDR873</t>
  </si>
  <si>
    <t>IDR874</t>
  </si>
  <si>
    <t>IDR875</t>
  </si>
  <si>
    <t>IDR876</t>
  </si>
  <si>
    <t>IDR877</t>
  </si>
  <si>
    <t>IDR878</t>
  </si>
  <si>
    <t>IDR879</t>
  </si>
  <si>
    <t>IDR880</t>
  </si>
  <si>
    <t>IDR881</t>
  </si>
  <si>
    <t>IDR882</t>
  </si>
  <si>
    <t>IDR883</t>
  </si>
  <si>
    <t>Site_name</t>
  </si>
  <si>
    <t>January</t>
  </si>
  <si>
    <t>swab, RNA</t>
  </si>
  <si>
    <t>swab, culture</t>
  </si>
  <si>
    <t>bay_area_only</t>
  </si>
  <si>
    <t>other_permit</t>
  </si>
  <si>
    <t>gramp_pond</t>
  </si>
  <si>
    <t>cabin_pond</t>
  </si>
  <si>
    <t>west_pond</t>
  </si>
  <si>
    <t>PRPND003</t>
  </si>
  <si>
    <t>swab, culture , RNA</t>
  </si>
  <si>
    <t>RNA</t>
  </si>
  <si>
    <t>GDPND008</t>
  </si>
  <si>
    <t>DYING WHEN FOUND, DIED WHILE CAPTURED</t>
  </si>
  <si>
    <t>MISSING SKIN SEE PHOTOS</t>
  </si>
  <si>
    <t>SLOUGHING</t>
  </si>
  <si>
    <t>GDPND009</t>
  </si>
  <si>
    <t>Briones</t>
  </si>
  <si>
    <t>CA-BN016</t>
  </si>
  <si>
    <t>sloughing</t>
  </si>
  <si>
    <t>BNPND024</t>
  </si>
  <si>
    <t>BNPND002</t>
  </si>
  <si>
    <t>TSK</t>
  </si>
  <si>
    <t>visual_encounter</t>
  </si>
  <si>
    <t>10_42</t>
  </si>
  <si>
    <t>11_26</t>
  </si>
  <si>
    <t>I Russell, C Briggs, L Velazquez, T Katz, C Lalisan, Y Perez</t>
  </si>
  <si>
    <t>I Russell, C Briggs, L Velazquez, T Katz, Y Perez</t>
  </si>
  <si>
    <t>14_33</t>
  </si>
  <si>
    <t>17_22</t>
  </si>
  <si>
    <t>09_54</t>
  </si>
  <si>
    <t>10_29</t>
  </si>
  <si>
    <t>11_32</t>
  </si>
  <si>
    <t>12_02</t>
  </si>
  <si>
    <t>15_42</t>
  </si>
  <si>
    <t>16_54</t>
  </si>
  <si>
    <t>17_24</t>
  </si>
  <si>
    <t>10_20</t>
  </si>
  <si>
    <t>13_43</t>
  </si>
  <si>
    <t>14_13</t>
  </si>
  <si>
    <t>16_02</t>
  </si>
  <si>
    <t>16_23</t>
  </si>
  <si>
    <t>09_55</t>
  </si>
  <si>
    <t>10_25</t>
  </si>
  <si>
    <t>11_53</t>
  </si>
  <si>
    <t>12_23</t>
  </si>
  <si>
    <t>14_55</t>
  </si>
  <si>
    <t>16_37</t>
  </si>
  <si>
    <t>17_07</t>
  </si>
  <si>
    <t>CABIN</t>
  </si>
  <si>
    <t>WEST</t>
  </si>
  <si>
    <t>PRPND004</t>
  </si>
  <si>
    <t>GDPND004</t>
  </si>
  <si>
    <t>BNPND003</t>
  </si>
  <si>
    <t>GRAMP</t>
  </si>
  <si>
    <t>swab, toeclip, culture, mucosome</t>
  </si>
  <si>
    <t>upper_turtle_pond</t>
  </si>
  <si>
    <t>blood in mucosa water; very dark when captured under log (almost black), then lightened in color</t>
  </si>
  <si>
    <t>swab, toeclip, culture, RNA, mucosome</t>
  </si>
  <si>
    <t>white_house_meadow</t>
  </si>
  <si>
    <t>used bare hands for RNA</t>
  </si>
  <si>
    <t>used regular gloves for RNA</t>
  </si>
  <si>
    <t>RNA done 2nd with regular gloves</t>
  </si>
  <si>
    <t>DSC0281-0283</t>
  </si>
  <si>
    <t>DSC0284</t>
  </si>
  <si>
    <t>DSC0285-0286</t>
  </si>
  <si>
    <t>DSC0287-0288</t>
  </si>
  <si>
    <t>DSC0292-0293</t>
  </si>
  <si>
    <t>DSC0294</t>
  </si>
  <si>
    <t>DSC0295</t>
  </si>
  <si>
    <t>DSC0306-0308</t>
  </si>
  <si>
    <t>DSC0309</t>
  </si>
  <si>
    <t>DSC0310-0311</t>
  </si>
  <si>
    <t>DSC0312-0313</t>
  </si>
  <si>
    <t>DSC0315-0316</t>
  </si>
  <si>
    <t>DSC0317</t>
  </si>
  <si>
    <t>DSC0319</t>
  </si>
  <si>
    <t>DSC0320-0321</t>
  </si>
  <si>
    <t>DSC0322</t>
  </si>
  <si>
    <t>DSC0323-0324</t>
  </si>
  <si>
    <t>DSC0325</t>
  </si>
  <si>
    <t>DSC0328</t>
  </si>
  <si>
    <t>DSC0329</t>
  </si>
  <si>
    <t>DSC0330</t>
  </si>
  <si>
    <t>DSC0331</t>
  </si>
  <si>
    <t>February</t>
  </si>
  <si>
    <t>shanes_pond</t>
  </si>
  <si>
    <t>DSC0336-0337</t>
  </si>
  <si>
    <t>upper_creek</t>
  </si>
  <si>
    <t>iphone 8:08pm</t>
  </si>
  <si>
    <t>iphone 8:22pm</t>
  </si>
  <si>
    <t>used personal water to rinse</t>
  </si>
  <si>
    <t>original_creek</t>
  </si>
  <si>
    <t>missing right foot</t>
  </si>
  <si>
    <t>DSC0339-0340</t>
  </si>
  <si>
    <t>DSC0344-0347</t>
  </si>
  <si>
    <t>DSC0358-0359</t>
  </si>
  <si>
    <t>DSC0364</t>
  </si>
  <si>
    <t>DSC0365</t>
  </si>
  <si>
    <t>DSC0366</t>
  </si>
  <si>
    <t>red spot on left leg</t>
  </si>
  <si>
    <t>swab, toeclip, RNA</t>
  </si>
  <si>
    <t>manmade_ponds</t>
  </si>
  <si>
    <t>large_pond_behind_whitehouse</t>
  </si>
  <si>
    <t>DSC0367-0368</t>
  </si>
  <si>
    <t>DSC0369-0370</t>
  </si>
  <si>
    <t>DSC0377-0372</t>
  </si>
  <si>
    <t>DSC0374</t>
  </si>
  <si>
    <t>DSC0378-0379</t>
  </si>
  <si>
    <t>DSC0384</t>
  </si>
  <si>
    <t>DSC0386</t>
  </si>
  <si>
    <t>DSC0387-0388</t>
  </si>
  <si>
    <t>DSC0389-0390</t>
  </si>
  <si>
    <t>DSC0391</t>
  </si>
  <si>
    <t>DSC0392-0394</t>
  </si>
  <si>
    <t>DSC0403</t>
  </si>
  <si>
    <t>DSC0408-0409</t>
  </si>
  <si>
    <t>DSC0412-0413</t>
  </si>
  <si>
    <t>DSC0417-0419</t>
  </si>
  <si>
    <t>DSC0420-0422</t>
  </si>
  <si>
    <t>IDR884</t>
  </si>
  <si>
    <t>IDR885</t>
  </si>
  <si>
    <t>IDR886</t>
  </si>
  <si>
    <t>IDR887</t>
  </si>
  <si>
    <t>IDR888</t>
  </si>
  <si>
    <t>IDR889</t>
  </si>
  <si>
    <t>IDR890</t>
  </si>
  <si>
    <t>IDR891</t>
  </si>
  <si>
    <t>IDR892</t>
  </si>
  <si>
    <t>IDR893</t>
  </si>
  <si>
    <t>IDR894</t>
  </si>
  <si>
    <t>IDR895</t>
  </si>
  <si>
    <t>IDR896</t>
  </si>
  <si>
    <t>IDR897</t>
  </si>
  <si>
    <t>IDR898</t>
  </si>
  <si>
    <t>IDR899</t>
  </si>
  <si>
    <t>IDR900</t>
  </si>
  <si>
    <t>IDR901</t>
  </si>
  <si>
    <t>IDR902</t>
  </si>
  <si>
    <t>IDR903</t>
  </si>
  <si>
    <t>IDR904</t>
  </si>
  <si>
    <t>IDR905</t>
  </si>
  <si>
    <t>IDR906</t>
  </si>
  <si>
    <t>IDR907</t>
  </si>
  <si>
    <t>IDR908</t>
  </si>
  <si>
    <t>IDR909</t>
  </si>
  <si>
    <t>already toe clipped!</t>
  </si>
  <si>
    <t>very small culture toeclip</t>
  </si>
  <si>
    <t>DSC0427-0428</t>
  </si>
  <si>
    <t>DSC0431</t>
  </si>
  <si>
    <t>DSC0434-0435</t>
  </si>
  <si>
    <t>DSC0440</t>
  </si>
  <si>
    <t>DSC0441-0443</t>
  </si>
  <si>
    <t>DSC0445</t>
  </si>
  <si>
    <t>DSC0446-0447</t>
  </si>
  <si>
    <t>missing left foot</t>
  </si>
  <si>
    <t>DSC0449</t>
  </si>
  <si>
    <t>DSC0451</t>
  </si>
  <si>
    <t>DSC0452-0453</t>
  </si>
  <si>
    <t>DSC0454-0456</t>
  </si>
  <si>
    <t>DSC0457-0458</t>
  </si>
  <si>
    <t>DSC0461-0462</t>
  </si>
  <si>
    <t>DSC0460</t>
  </si>
  <si>
    <t>DSC0463</t>
  </si>
  <si>
    <t>DSC0464</t>
  </si>
  <si>
    <t>DSC0465</t>
  </si>
  <si>
    <t>DSC0466</t>
  </si>
  <si>
    <t>DSC0468-0469</t>
  </si>
  <si>
    <t>DSC0472-0473</t>
  </si>
  <si>
    <t>DSC0475</t>
  </si>
  <si>
    <t>DSC0476</t>
  </si>
  <si>
    <t>trough</t>
  </si>
  <si>
    <t>agua_blanca_creek</t>
  </si>
  <si>
    <t>trough_near_picnic_area</t>
  </si>
  <si>
    <t>trough_behind_kates_house</t>
  </si>
  <si>
    <t>fountain_behind_Kate's_house</t>
  </si>
  <si>
    <t>fountain</t>
  </si>
  <si>
    <t>ponds_behind_white_house</t>
  </si>
  <si>
    <t>dirt_road</t>
  </si>
  <si>
    <t>road_by_pond</t>
  </si>
  <si>
    <t xml:space="preserve">road_near_tipton_house </t>
  </si>
  <si>
    <t>hill_road_near_marker</t>
  </si>
  <si>
    <t>trough_by_trail_marker_511</t>
  </si>
  <si>
    <t>road_near_parking_lot</t>
  </si>
  <si>
    <t>near_trough_in_picnic_area</t>
  </si>
  <si>
    <t>grass</t>
  </si>
  <si>
    <t>rascal_creek_pond_1</t>
  </si>
  <si>
    <t>rascal_creek_pond_2</t>
  </si>
  <si>
    <t>windmill_pond</t>
  </si>
  <si>
    <t>pond_past_berm_behind_windmill_pond</t>
  </si>
  <si>
    <t>pond_by_labs</t>
  </si>
  <si>
    <t>golf_course_sidewalk_and_green</t>
  </si>
  <si>
    <t>maintained_pond_1</t>
  </si>
  <si>
    <t>manmade_pond</t>
  </si>
  <si>
    <t>canyon_pond</t>
  </si>
  <si>
    <t>waterfall_pond</t>
  </si>
  <si>
    <t>near_main_maintained_lake</t>
  </si>
  <si>
    <t>manmade_lake</t>
  </si>
  <si>
    <t>small_creek_by_bunkhouse_cabin</t>
  </si>
  <si>
    <t>poison_oak_creek</t>
  </si>
  <si>
    <t>jens_creek</t>
  </si>
  <si>
    <t>creek_off_road_marker_19</t>
  </si>
  <si>
    <t>bunk_house_driveway</t>
  </si>
  <si>
    <t>road_by_jeffs_house</t>
  </si>
  <si>
    <t>path_behind_dining_hall</t>
  </si>
  <si>
    <t>bark_gravel_trail</t>
  </si>
  <si>
    <t>next_to_west_cabin</t>
  </si>
  <si>
    <t>river</t>
  </si>
  <si>
    <t>along_elder_creek</t>
  </si>
  <si>
    <t>along_eel_river</t>
  </si>
  <si>
    <t>along_fox_creek</t>
  </si>
  <si>
    <t>unnamed_creek_off_eel_river</t>
  </si>
  <si>
    <t>green_water_box_near_whale_bones</t>
  </si>
  <si>
    <t>sidewalk_between_whales_and_office</t>
  </si>
  <si>
    <t>waterbox</t>
  </si>
  <si>
    <t>asphalt</t>
  </si>
  <si>
    <t>behind_office</t>
  </si>
  <si>
    <t>on_office_deck</t>
  </si>
  <si>
    <t>deck</t>
  </si>
  <si>
    <t>pond_near_railroad_tracks</t>
  </si>
  <si>
    <t>restored_meadow</t>
  </si>
  <si>
    <t>parking_lot_islands</t>
  </si>
  <si>
    <t>station_road</t>
  </si>
  <si>
    <t>otter_pond</t>
  </si>
  <si>
    <t>station_greenhouse</t>
  </si>
  <si>
    <t>mountain_lion_pond_small</t>
  </si>
  <si>
    <t>mountain_lion_pond_large</t>
  </si>
  <si>
    <t>paul_and_cathys_small_pond</t>
  </si>
  <si>
    <t>lindsey_slough</t>
  </si>
  <si>
    <t>fordyce_pond</t>
  </si>
  <si>
    <t>canyon_road</t>
  </si>
  <si>
    <t>cold_creek_cooler_site</t>
  </si>
  <si>
    <t>ropeswing_pond</t>
  </si>
  <si>
    <t>mudflat</t>
  </si>
  <si>
    <t>creek_trail_crossing</t>
  </si>
  <si>
    <t>PRPND011</t>
  </si>
  <si>
    <t>GDPND014</t>
  </si>
  <si>
    <t>08_02</t>
  </si>
  <si>
    <t>08_44</t>
  </si>
  <si>
    <t>08_47</t>
  </si>
  <si>
    <t>10_21</t>
  </si>
  <si>
    <t>12_39</t>
  </si>
  <si>
    <t>12_50</t>
  </si>
  <si>
    <t>18_35</t>
  </si>
  <si>
    <t>18_51</t>
  </si>
  <si>
    <t>18_57</t>
  </si>
  <si>
    <t>18_58</t>
  </si>
  <si>
    <t>19_01</t>
  </si>
  <si>
    <t>19_08</t>
  </si>
  <si>
    <t>19_14</t>
  </si>
  <si>
    <t>19_15</t>
  </si>
  <si>
    <t>19_20</t>
  </si>
  <si>
    <t>19_23</t>
  </si>
  <si>
    <t>19_26</t>
  </si>
  <si>
    <t>19_33</t>
  </si>
  <si>
    <t>18_19</t>
  </si>
  <si>
    <t>19_06</t>
  </si>
  <si>
    <t>19_10</t>
  </si>
  <si>
    <t>19_12</t>
  </si>
  <si>
    <t>19_13</t>
  </si>
  <si>
    <t>19_39</t>
  </si>
  <si>
    <t>19_41</t>
  </si>
  <si>
    <t>19_52</t>
  </si>
  <si>
    <t>18_32</t>
  </si>
  <si>
    <t>18_44</t>
  </si>
  <si>
    <t>18_48</t>
  </si>
  <si>
    <t>18_50</t>
  </si>
  <si>
    <t>19_22</t>
  </si>
  <si>
    <t>18_06</t>
  </si>
  <si>
    <t>18_07</t>
  </si>
  <si>
    <t>18_08</t>
  </si>
  <si>
    <t>18_10</t>
  </si>
  <si>
    <t>18_11</t>
  </si>
  <si>
    <t>18_12</t>
  </si>
  <si>
    <t>18_14</t>
  </si>
  <si>
    <t>18_15</t>
  </si>
  <si>
    <t>18_18</t>
  </si>
  <si>
    <t>18_20</t>
  </si>
  <si>
    <t>18_21</t>
  </si>
  <si>
    <t>18_23</t>
  </si>
  <si>
    <t>18_25</t>
  </si>
  <si>
    <t>18_28</t>
  </si>
  <si>
    <t>18_13</t>
  </si>
  <si>
    <t>18_17</t>
  </si>
  <si>
    <t>18_22</t>
  </si>
  <si>
    <t>18_26</t>
  </si>
  <si>
    <t>18_30</t>
  </si>
  <si>
    <t>18_33</t>
  </si>
  <si>
    <t>18_37</t>
  </si>
  <si>
    <t>18_39</t>
  </si>
  <si>
    <t>18_40</t>
  </si>
  <si>
    <t>18_45</t>
  </si>
  <si>
    <t>18_46</t>
  </si>
  <si>
    <t>18_47</t>
  </si>
  <si>
    <t>18_55</t>
  </si>
  <si>
    <t>18_56</t>
  </si>
  <si>
    <t>19_04</t>
  </si>
  <si>
    <t>07_55</t>
  </si>
  <si>
    <t>08_38</t>
  </si>
  <si>
    <t>foggy</t>
  </si>
  <si>
    <t>09_59</t>
  </si>
  <si>
    <t>10_31</t>
  </si>
  <si>
    <t>19_35</t>
  </si>
  <si>
    <t xml:space="preserve">Angelo Coast </t>
  </si>
  <si>
    <t>elder creek</t>
  </si>
  <si>
    <t>19_58</t>
  </si>
  <si>
    <t>road from elder creek stairs to eel river</t>
  </si>
  <si>
    <t>eel river</t>
  </si>
  <si>
    <t>road between other creeks and elder creek</t>
  </si>
  <si>
    <t>12_25</t>
  </si>
  <si>
    <t>road up to white house trail and trail</t>
  </si>
  <si>
    <t>white house meadow</t>
  </si>
  <si>
    <t>14_30</t>
  </si>
  <si>
    <t>14_39</t>
  </si>
  <si>
    <t>18_03</t>
  </si>
  <si>
    <t>SITE_LOCALITY</t>
  </si>
  <si>
    <t>saw eggs in stream</t>
  </si>
  <si>
    <t>unnamed seasonal creek near wilderness lodge (before fox creek)</t>
  </si>
  <si>
    <t>saw western pond turtle (lulu's phone pic 20200129-080019 &amp; 0017); heard 2 more frogs</t>
  </si>
  <si>
    <t>19_02</t>
  </si>
  <si>
    <t>19_21</t>
  </si>
  <si>
    <t>far pond</t>
  </si>
  <si>
    <t>saw several newts (15 after scaring some away), some mating</t>
  </si>
  <si>
    <t>saw 8 newts</t>
  </si>
  <si>
    <t>saw 4 newts and several small fish</t>
  </si>
  <si>
    <t>17_56</t>
  </si>
  <si>
    <t>18_36</t>
  </si>
  <si>
    <t>19_00</t>
  </si>
  <si>
    <t>creek by trail marker 19</t>
  </si>
  <si>
    <t>poison oak creek</t>
  </si>
  <si>
    <t>jen's house and property</t>
  </si>
  <si>
    <t>upper creek</t>
  </si>
  <si>
    <t>18_09</t>
  </si>
  <si>
    <t>original creek</t>
  </si>
  <si>
    <t>frogs started calling near trail later, around 20:10</t>
  </si>
  <si>
    <t>intermittent</t>
  </si>
  <si>
    <t>18_29</t>
  </si>
  <si>
    <t>large pond behind white house</t>
  </si>
  <si>
    <t>saw 4 R. draytonii by reeds; saw 1 A. boreas not caught</t>
  </si>
  <si>
    <t>17_55</t>
  </si>
  <si>
    <t>I Russell, C Lalisan, V Sablan, R Fong</t>
  </si>
  <si>
    <t>I Russell, Y Perez, K Gilliland, L Russel</t>
  </si>
  <si>
    <t>trough by marker 115</t>
  </si>
  <si>
    <t>website</t>
  </si>
  <si>
    <t>dead, too windy for mass, 0 signs of chytridiomycosis</t>
  </si>
  <si>
    <t>jumped onto processing bag of a0ther frog so captured</t>
  </si>
  <si>
    <t>toe 0t dragged through agar</t>
  </si>
  <si>
    <t>0vember</t>
  </si>
  <si>
    <t>strange skin - missing layer around e1, inside wrist, and by corner of mouth (Bd?)</t>
  </si>
  <si>
    <t>IDR910</t>
  </si>
  <si>
    <t>IDR911</t>
  </si>
  <si>
    <t>IDR912</t>
  </si>
  <si>
    <t>IDR913</t>
  </si>
  <si>
    <t>IDR914</t>
  </si>
  <si>
    <t>IDR915</t>
  </si>
  <si>
    <t>IDR916</t>
  </si>
  <si>
    <t>IDR917</t>
  </si>
  <si>
    <t>IDR918</t>
  </si>
  <si>
    <t>IDR919</t>
  </si>
  <si>
    <t>March</t>
  </si>
  <si>
    <t>22_47</t>
  </si>
  <si>
    <t>22_48</t>
  </si>
  <si>
    <t>in_trough_by_trail_marker_15</t>
  </si>
  <si>
    <t>DSC0001</t>
  </si>
  <si>
    <t>DSC0002</t>
  </si>
  <si>
    <t>DSC0003</t>
  </si>
  <si>
    <t>DSC0004-0005</t>
  </si>
  <si>
    <t>DSC0007</t>
  </si>
  <si>
    <t>DSC0008</t>
  </si>
  <si>
    <t>DSC0009</t>
  </si>
  <si>
    <t>DSC0012-0013</t>
  </si>
  <si>
    <t>DSC0014</t>
  </si>
  <si>
    <t>culture from swab; mucosa start 23:03, mucosa end 23:31</t>
  </si>
  <si>
    <t>culture from swab, not toeclip; mucosa start 23:10 end 24:07</t>
  </si>
  <si>
    <t>mucosa start 23:05 end 23:46; culture from swab AND toeclip</t>
  </si>
  <si>
    <t>mucosa start 23:07 end 23:56; culture from swab AND toeclip</t>
  </si>
  <si>
    <t>mucosa start 23:12 end 24:17; culture from swab AND toeclip</t>
  </si>
  <si>
    <t>mucosa start 23:14 end 24:37; culture from swab AND toeclip</t>
  </si>
  <si>
    <t>mucosa start 23:16 end 24:45; culture from swab AND toeclip</t>
  </si>
  <si>
    <t>mucosa start 23:18 end 24:54; culture from swab AND toeclip</t>
  </si>
  <si>
    <t>mucosa start 23:20 end 01:01; culture from swab AND toeclip</t>
  </si>
  <si>
    <t>ethanol may have still been on tweezers</t>
  </si>
  <si>
    <t>22_33</t>
  </si>
  <si>
    <t>2 mating newts, 1 dead frog (kept in 95% ethanol IDR 920), 4 pairs of mating frogs, frogs and newts on dirt road</t>
  </si>
  <si>
    <t>17_53</t>
  </si>
  <si>
    <t>no breeze</t>
  </si>
  <si>
    <t>mating frogs, 12 newts, rain started 10 minutes into survey, frogs calling on and off as rain decreases and increases, mouse and vole spotted</t>
  </si>
  <si>
    <t>IDR #2</t>
  </si>
  <si>
    <t>IDR #1</t>
  </si>
  <si>
    <t>fog and mist</t>
  </si>
  <si>
    <t>19_42</t>
  </si>
  <si>
    <t>12 newts, several newt egg masses (DSC0045-0058); garter snake under board</t>
  </si>
  <si>
    <t>mesocosm tubs</t>
  </si>
  <si>
    <t>tub on road to far pond on left side of road before trail down to far pond</t>
  </si>
  <si>
    <t xml:space="preserve">14 newts in pond; checked tub off trail </t>
  </si>
  <si>
    <t>22_50</t>
  </si>
  <si>
    <t>7 newts and several egg masses</t>
  </si>
  <si>
    <t>18_16</t>
  </si>
  <si>
    <t>cooler site</t>
  </si>
  <si>
    <t>3 newts, 2 FYLFs that escaped</t>
  </si>
  <si>
    <t>cloudy</t>
  </si>
  <si>
    <t>steady rain</t>
  </si>
  <si>
    <t>stream crossing</t>
  </si>
  <si>
    <t>1 newt</t>
  </si>
  <si>
    <t>IDR920</t>
  </si>
  <si>
    <t>IDR921</t>
  </si>
  <si>
    <t>IDR922</t>
  </si>
  <si>
    <t>IDR923</t>
  </si>
  <si>
    <t>IDR924</t>
  </si>
  <si>
    <t>IDR925</t>
  </si>
  <si>
    <t>IDR926</t>
  </si>
  <si>
    <t>IDR927</t>
  </si>
  <si>
    <t>IDR928</t>
  </si>
  <si>
    <t>IDR929</t>
  </si>
  <si>
    <t>IDR930</t>
  </si>
  <si>
    <t>IDR931</t>
  </si>
  <si>
    <t>IDR932</t>
  </si>
  <si>
    <t>IDR933</t>
  </si>
  <si>
    <t>IDR934</t>
  </si>
  <si>
    <t>IDR935</t>
  </si>
  <si>
    <t>IDR936</t>
  </si>
  <si>
    <t>IDR937</t>
  </si>
  <si>
    <t>IDR938</t>
  </si>
  <si>
    <t>IDR939</t>
  </si>
  <si>
    <t>IDR940</t>
  </si>
  <si>
    <t>IDR941</t>
  </si>
  <si>
    <t>IDR942</t>
  </si>
  <si>
    <t>IDR943</t>
  </si>
  <si>
    <t>IDR944</t>
  </si>
  <si>
    <t>IDR945</t>
  </si>
  <si>
    <t>IDR946</t>
  </si>
  <si>
    <t>IDR947</t>
  </si>
  <si>
    <t>IDR948</t>
  </si>
  <si>
    <t>IDR949</t>
  </si>
  <si>
    <t>IDR950</t>
  </si>
  <si>
    <t>IDR951</t>
  </si>
  <si>
    <t>IDR952</t>
  </si>
  <si>
    <t>17_54</t>
  </si>
  <si>
    <t>18_38</t>
  </si>
  <si>
    <t>mucosa start 23:22 end 01:12; culture from swab AND toeclip</t>
  </si>
  <si>
    <t>mucosa start 19:20 end 19:46; culture from swab AND toeclip</t>
  </si>
  <si>
    <t>mucosa start 19:22 end 20:00; culture from swab AND toeclip</t>
  </si>
  <si>
    <t>mucosa start 19:24 end 20:09; culture from swab AND toeclip</t>
  </si>
  <si>
    <t>mucosa start 19:23 end 20:17; culture from swab AND toeclip</t>
  </si>
  <si>
    <t>mucosa start 19:27 end 20:25; culture from swab AND toeclip</t>
  </si>
  <si>
    <t>mucosa start 19:29 end 20:37; culture from swab AND toeclip</t>
  </si>
  <si>
    <t>mucosa start 19:31 end 20:49; culture from swab AND toeclip</t>
  </si>
  <si>
    <t>mucosa start 19:53 end 21:08; culture from swab AND toeclip</t>
  </si>
  <si>
    <t>mucosa start 19:36 end 21:16; culture from swab AND toeclip</t>
  </si>
  <si>
    <t>23_04</t>
  </si>
  <si>
    <t>23_18</t>
  </si>
  <si>
    <t>23_26</t>
  </si>
  <si>
    <t>23_29</t>
  </si>
  <si>
    <t>18_27</t>
  </si>
  <si>
    <t>swab, mucosome</t>
  </si>
  <si>
    <t>DSC0018</t>
  </si>
  <si>
    <t>DSC0019</t>
  </si>
  <si>
    <t>DSC0020-0021</t>
  </si>
  <si>
    <t>DSC0022-0023</t>
  </si>
  <si>
    <t>DSC0024</t>
  </si>
  <si>
    <t>DSC0025</t>
  </si>
  <si>
    <t>DSC0026</t>
  </si>
  <si>
    <t>DSC0027-0028</t>
  </si>
  <si>
    <t>mucosa start 19:33 end 20:59; culture from swab AND toeclip; skin sloughing</t>
  </si>
  <si>
    <t>DSC0029</t>
  </si>
  <si>
    <t>DSC0030</t>
  </si>
  <si>
    <t>DSC0031</t>
  </si>
  <si>
    <t>DSC0032-0033</t>
  </si>
  <si>
    <t>DSC0037</t>
  </si>
  <si>
    <t>DSC0038-0039</t>
  </si>
  <si>
    <t>DSC0041</t>
  </si>
  <si>
    <t>DS0042-0044</t>
  </si>
  <si>
    <t>DSC0072</t>
  </si>
  <si>
    <t>DSC0080</t>
  </si>
  <si>
    <t>DSC0082</t>
  </si>
  <si>
    <t>DSC0086-0087</t>
  </si>
  <si>
    <t>DSC0083-0085</t>
  </si>
  <si>
    <t>DSC0089</t>
  </si>
  <si>
    <t>mucosa start 23:46 end 24:30; culture from swab AND toeclip</t>
  </si>
  <si>
    <t>mucosa start 23:51 end 24:38; culture from swab AND toeclip</t>
  </si>
  <si>
    <t>mucosa start 23:54 end 24:44; culture from swab AND toeclip</t>
  </si>
  <si>
    <t>mucosa start 24:01 end 24:56; culture from swab AND toeclip</t>
  </si>
  <si>
    <t>mucosa start 24:03 end 01:03; culture from swab AND toeclip</t>
  </si>
  <si>
    <t>mucosa start 24:07 end 01:12; culture from swab AND toeclip</t>
  </si>
  <si>
    <t>mucosa start 24:12 end 01:20; culture from swab AND toeclip</t>
  </si>
  <si>
    <t>mucosa start 234:16 end 01:29; sloughing, scar; culture from swab AND toeclip</t>
  </si>
  <si>
    <t>mucosa start 24:20 end 01:37; culture from swab AND toeclip</t>
  </si>
  <si>
    <t>mucosa start 24:23 end ~01:45; culture from swab AND toeclip</t>
  </si>
  <si>
    <t>far_pond</t>
  </si>
  <si>
    <t>mucosa start 20:19 end 20:42; culture from swab AND toeclip</t>
  </si>
  <si>
    <t>mucosa start 20:23 end 20:50; culture from swab AND toeclip</t>
  </si>
  <si>
    <t>mucosa start 20:25 end 20:58; culture from swab AND toeclip</t>
  </si>
  <si>
    <t>mucosa start 20:28 end 21:05; culture from swab AND toeclip</t>
  </si>
  <si>
    <t>mucosa start 20:31 end 21:12; culture from swab AND toeclip</t>
  </si>
  <si>
    <t>mucosa start 20:33 end 21:21; culture from swab AND toeclip</t>
  </si>
  <si>
    <t>mucosa start 19:17 end 19:42; culture from swab AND toeclip</t>
  </si>
  <si>
    <t>mucosa start 19:21 end 19:50; culture from swab AND toeclip</t>
  </si>
  <si>
    <t>mucosa start 19:29 end 20:11; culture from swab AND toeclip</t>
  </si>
  <si>
    <t>mucosa start 19:24 end 19:59; culture from swab AND toeclip</t>
  </si>
  <si>
    <t>mucosa start 21:39 end 22:00; culture from swab AND toeclip</t>
  </si>
  <si>
    <t>mucosa start 21:44 end 22:10; culture from swab AND toeclip</t>
  </si>
  <si>
    <t>bunkhouse creek</t>
  </si>
  <si>
    <t>rain and thunder earlier in the day</t>
  </si>
  <si>
    <t>horseshoe</t>
  </si>
  <si>
    <t>rain and thunder earlier in the day; 2 turtles in creek before fence, 7 newts</t>
  </si>
  <si>
    <t>main roads</t>
  </si>
  <si>
    <t>rain and thunder earlier in the day; several newts on roads</t>
  </si>
  <si>
    <t>17_27</t>
  </si>
  <si>
    <t>I Russell, L Russell, K Luttrell</t>
  </si>
  <si>
    <t>light</t>
  </si>
  <si>
    <t>19_55</t>
  </si>
  <si>
    <t>I Russell, K Suzuki, K Luttrell</t>
  </si>
  <si>
    <t>rain earlier</t>
  </si>
  <si>
    <t>19_16</t>
  </si>
  <si>
    <t>2 uncaught toads (1 went back in hole, 1 swam away); 2 large shrimp, 1 vole (?) swimming away</t>
  </si>
  <si>
    <t>IDR953</t>
  </si>
  <si>
    <t>IDR954</t>
  </si>
  <si>
    <t>IDR955</t>
  </si>
  <si>
    <t>IDR956</t>
  </si>
  <si>
    <t>IDR957</t>
  </si>
  <si>
    <t>IDR958</t>
  </si>
  <si>
    <t>IDR959</t>
  </si>
  <si>
    <t>IDR960</t>
  </si>
  <si>
    <t>IDR961</t>
  </si>
  <si>
    <t>IDR962</t>
  </si>
  <si>
    <t>IDR963</t>
  </si>
  <si>
    <t>IDR964</t>
  </si>
  <si>
    <t>IDR965</t>
  </si>
  <si>
    <t>seep</t>
  </si>
  <si>
    <t>19_46</t>
  </si>
  <si>
    <t>19_50</t>
  </si>
  <si>
    <t>19_51</t>
  </si>
  <si>
    <t>22_17</t>
  </si>
  <si>
    <t>mucosa start 20:14 end 21:02; culture from swab AND toeclip</t>
  </si>
  <si>
    <t>mucosa start 20:53 end 22:24</t>
  </si>
  <si>
    <t>mucosa start 20:18 and 21:12; culture from swab AND toeclip</t>
  </si>
  <si>
    <t>mucosa start 20:22 end 21:21; culture from swab AND toeclip</t>
  </si>
  <si>
    <t>mucosa start 20:26 end 21:30; culture from swab AND toeclip</t>
  </si>
  <si>
    <t>mucosa start 20:28 end 21:39; culture from swab AND toeclip</t>
  </si>
  <si>
    <t>missing 2 fingers on left hand; mucosa start 20:32 end 21:45; culture from swab AND toeclip</t>
  </si>
  <si>
    <t>mucosa start 20:35 end 21:54; culture from swab AND toeclip</t>
  </si>
  <si>
    <t>mucosa start 20:40 end 22:00; culture from swab AND toeclip</t>
  </si>
  <si>
    <t>mucosa start 20:43 end 22:07; culture from swab AND toeclip</t>
  </si>
  <si>
    <t>mucosa start 20:49 end 22:16; culture from swab AND toeclip</t>
  </si>
  <si>
    <t>culture from swab AND toeclip</t>
  </si>
  <si>
    <t>DSC0108-0113</t>
  </si>
  <si>
    <t>DSC0114-0115</t>
  </si>
  <si>
    <t>DSC0116-0117</t>
  </si>
  <si>
    <t>DSC0118</t>
  </si>
  <si>
    <t>DSC0119-0120</t>
  </si>
  <si>
    <t>DSC0121-0122</t>
  </si>
  <si>
    <t>DSC0125-0127</t>
  </si>
  <si>
    <t>DSC0128-0129</t>
  </si>
  <si>
    <t>DSC0130</t>
  </si>
  <si>
    <t>DSC0131-0132</t>
  </si>
  <si>
    <t>IDR966</t>
  </si>
  <si>
    <t>IDR967</t>
  </si>
  <si>
    <t>IDR968</t>
  </si>
  <si>
    <t>IDR969</t>
  </si>
  <si>
    <t>IDR970</t>
  </si>
  <si>
    <t>IDR971</t>
  </si>
  <si>
    <t>IDR972</t>
  </si>
  <si>
    <t>IDR973</t>
  </si>
  <si>
    <t>IDR974</t>
  </si>
  <si>
    <t>IDR975</t>
  </si>
  <si>
    <t>IDR976</t>
  </si>
  <si>
    <t>IDR977</t>
  </si>
  <si>
    <t>IDR978</t>
  </si>
  <si>
    <t>IDR979</t>
  </si>
  <si>
    <t>swab, RNA toeclip, culture</t>
  </si>
  <si>
    <t>19_24</t>
  </si>
  <si>
    <t>19_29</t>
  </si>
  <si>
    <t>19_37</t>
  </si>
  <si>
    <t>19_40</t>
  </si>
  <si>
    <t>19_48</t>
  </si>
  <si>
    <t>bleeding out of last toe both feet (before processing)</t>
  </si>
  <si>
    <t>bruise on hind left leg (limp foreleg before processing)</t>
  </si>
  <si>
    <t>gravid</t>
  </si>
  <si>
    <t>IDR980</t>
  </si>
  <si>
    <t>IDR981</t>
  </si>
  <si>
    <t>IDR982</t>
  </si>
  <si>
    <t>IDR983</t>
  </si>
  <si>
    <t>IDR984</t>
  </si>
  <si>
    <t>IDR985</t>
  </si>
  <si>
    <t>IDR986</t>
  </si>
  <si>
    <t>IDR987</t>
  </si>
  <si>
    <t>IDR988</t>
  </si>
  <si>
    <t>IDR989</t>
  </si>
  <si>
    <t>IDR990</t>
  </si>
  <si>
    <t>IDR991</t>
  </si>
  <si>
    <t>IDR992</t>
  </si>
  <si>
    <t>IDR993</t>
  </si>
  <si>
    <t>IDR994</t>
  </si>
  <si>
    <t>IDR995</t>
  </si>
  <si>
    <t>19_17</t>
  </si>
  <si>
    <t>19_34</t>
  </si>
  <si>
    <t>19_49</t>
  </si>
  <si>
    <t>IDR996</t>
  </si>
  <si>
    <t>IDR997</t>
  </si>
  <si>
    <t>IDR998</t>
  </si>
  <si>
    <t>IDR999</t>
  </si>
  <si>
    <t>IDR1000</t>
  </si>
  <si>
    <t>IDR1001</t>
  </si>
  <si>
    <t>IDR1002</t>
  </si>
  <si>
    <t>IDR1003</t>
  </si>
  <si>
    <t>IDR1004</t>
  </si>
  <si>
    <t>IDR1005</t>
  </si>
  <si>
    <t>19-37</t>
  </si>
  <si>
    <t>19_45</t>
  </si>
  <si>
    <t>swab, RNA toeclip</t>
  </si>
  <si>
    <t>DSC0156-0157</t>
  </si>
  <si>
    <t>DSC0158-0159</t>
  </si>
  <si>
    <t>DSC0160-0161</t>
  </si>
  <si>
    <t>DSC0166-0167</t>
  </si>
  <si>
    <t>DSC0168-0169</t>
  </si>
  <si>
    <t>DSC0170-0171</t>
  </si>
  <si>
    <t>DSC0180-0181</t>
  </si>
  <si>
    <t>DSC0190-0191</t>
  </si>
  <si>
    <t>DSC0198-0199</t>
  </si>
  <si>
    <t>DSC0201-0202</t>
  </si>
  <si>
    <t>DSC0209-0210</t>
  </si>
  <si>
    <t>DSC0212-0213</t>
  </si>
  <si>
    <t>DSC0215, DSC0217</t>
  </si>
  <si>
    <t>DSC0218-0219</t>
  </si>
  <si>
    <t>DSC0220-0221</t>
  </si>
  <si>
    <t>DSC0222-0223</t>
  </si>
  <si>
    <t>DSC0224-0225</t>
  </si>
  <si>
    <t>DSC0226-0227</t>
  </si>
  <si>
    <t>DSC0230</t>
  </si>
  <si>
    <t>DSC0234-0235</t>
  </si>
  <si>
    <t>DSC0231-0233</t>
  </si>
  <si>
    <t>DSC0236-0237</t>
  </si>
  <si>
    <t>DSC0241-0243</t>
  </si>
  <si>
    <t>DSC0244</t>
  </si>
  <si>
    <t>no pattern on back</t>
  </si>
  <si>
    <t>very small right foot</t>
  </si>
  <si>
    <t>lesion on butt</t>
  </si>
  <si>
    <t>deformed right foor</t>
  </si>
  <si>
    <t>main_road</t>
  </si>
  <si>
    <t>very dry, some pools, lots of fish that sometimes jump and sound like frog plops)</t>
  </si>
  <si>
    <t>24_00</t>
  </si>
  <si>
    <t>robertson creek</t>
  </si>
  <si>
    <t>gravel road</t>
  </si>
  <si>
    <t>main road</t>
  </si>
  <si>
    <t>path up hill along fence</t>
  </si>
  <si>
    <t>can see private pond from path - no frog calls heard</t>
  </si>
  <si>
    <t>saw 7 dead fish in one pool (DSC0262-0263); newt seen with grey-ish skin, lethargic</t>
  </si>
  <si>
    <t>trough across road from barn</t>
  </si>
  <si>
    <t>completely dry</t>
  </si>
  <si>
    <t>22_23</t>
  </si>
  <si>
    <t>dry - pond very small with a lot of sinking mud</t>
  </si>
  <si>
    <t>dry - pond very small with a lot of sinking mud, 11 newts</t>
  </si>
  <si>
    <t>18_43</t>
  </si>
  <si>
    <t>slightly overcast</t>
  </si>
  <si>
    <t>several banana slugs</t>
  </si>
  <si>
    <t>22_22</t>
  </si>
  <si>
    <t>24_06</t>
  </si>
  <si>
    <t>24_49</t>
  </si>
  <si>
    <t>fox creek</t>
  </si>
  <si>
    <t>09_56</t>
  </si>
  <si>
    <t>11_34</t>
  </si>
  <si>
    <t>12_15</t>
  </si>
  <si>
    <t>14_51</t>
  </si>
  <si>
    <t>15_03</t>
  </si>
  <si>
    <t>15_32</t>
  </si>
  <si>
    <t>16_00</t>
  </si>
  <si>
    <t>16_39</t>
  </si>
  <si>
    <t>giant salamander seen off river 7/26 - looked strange</t>
  </si>
  <si>
    <t>saw several egg masses(?) DSC0480-0484; saw 1 but lost</t>
  </si>
  <si>
    <t>saw 2 that got away</t>
  </si>
  <si>
    <t>eel river off of trail</t>
  </si>
  <si>
    <t>25_30</t>
  </si>
  <si>
    <t>saw newt and 2 boylii tadpoles, several snakes (garter?) in water</t>
  </si>
  <si>
    <t>13_19</t>
  </si>
  <si>
    <t>11_36</t>
  </si>
  <si>
    <t>14_05</t>
  </si>
  <si>
    <t>15_08</t>
  </si>
  <si>
    <t>skunk creek</t>
  </si>
  <si>
    <t>saw several egg masses(?)</t>
  </si>
  <si>
    <t>saw another boylii near IDR1030 capture location but got away</t>
  </si>
  <si>
    <t>22_46</t>
  </si>
  <si>
    <t>23_16</t>
  </si>
  <si>
    <t>mckinley creek</t>
  </si>
  <si>
    <t>24_29</t>
  </si>
  <si>
    <t>rana draytonii seen: 4 adult, 1 tadpole with legs, 3 juvenile</t>
  </si>
  <si>
    <t>dirt/gravel road</t>
  </si>
  <si>
    <t>road to large pond</t>
  </si>
  <si>
    <t>dirt roads/field</t>
  </si>
  <si>
    <t>reserve roads by barn and kate's house</t>
  </si>
  <si>
    <t>saw juvenile gopher snake (DSC___), frog seen in overgrown bramble covering trough in Kate's yard - unsafe to search through</t>
  </si>
  <si>
    <t>manmade ponds behind sedgwick house</t>
  </si>
  <si>
    <t>IDR1006</t>
  </si>
  <si>
    <t>IDR1007</t>
  </si>
  <si>
    <t>IDR1008</t>
  </si>
  <si>
    <t>IDR1009</t>
  </si>
  <si>
    <t>IDR1010</t>
  </si>
  <si>
    <t>IDR1011</t>
  </si>
  <si>
    <t>IDR1012</t>
  </si>
  <si>
    <t>IDR1013</t>
  </si>
  <si>
    <t>IDR1014</t>
  </si>
  <si>
    <t>IDR1015</t>
  </si>
  <si>
    <t>IDR1016</t>
  </si>
  <si>
    <t>IDR1017</t>
  </si>
  <si>
    <t>IDR1018</t>
  </si>
  <si>
    <t>IDR1019</t>
  </si>
  <si>
    <t>IDR1020</t>
  </si>
  <si>
    <t>IDR1021</t>
  </si>
  <si>
    <t>IDR1022</t>
  </si>
  <si>
    <t>IDR1023</t>
  </si>
  <si>
    <t>IDR1024</t>
  </si>
  <si>
    <t>IDR1025</t>
  </si>
  <si>
    <t>IDR1026</t>
  </si>
  <si>
    <t>IDR1027</t>
  </si>
  <si>
    <t>IDR1028</t>
  </si>
  <si>
    <t>IDR1029</t>
  </si>
  <si>
    <t>IDR1030</t>
  </si>
  <si>
    <t>IDR1031</t>
  </si>
  <si>
    <t>IDR1032</t>
  </si>
  <si>
    <t>IDR1033</t>
  </si>
  <si>
    <t>IDR1034</t>
  </si>
  <si>
    <t>IDR1035</t>
  </si>
  <si>
    <t>IDR1036</t>
  </si>
  <si>
    <t>IDR1037</t>
  </si>
  <si>
    <t>IDR1038</t>
  </si>
  <si>
    <t>IDR1039</t>
  </si>
  <si>
    <t>IDR1040</t>
  </si>
  <si>
    <t>IDR1041</t>
  </si>
  <si>
    <t>IDR1042</t>
  </si>
  <si>
    <t>IDR1043</t>
  </si>
  <si>
    <t>IDR1044</t>
  </si>
  <si>
    <t>IDR1045</t>
  </si>
  <si>
    <t>IDR1046</t>
  </si>
  <si>
    <t>IDR1047</t>
  </si>
  <si>
    <t>IDR1048</t>
  </si>
  <si>
    <t>IDR1049</t>
  </si>
  <si>
    <t>IDR1050</t>
  </si>
  <si>
    <t>IDR1051</t>
  </si>
  <si>
    <t>IDR1052</t>
  </si>
  <si>
    <t>IDR1053</t>
  </si>
  <si>
    <t>IDR1054</t>
  </si>
  <si>
    <t>IDR1055</t>
  </si>
  <si>
    <t>IDR1056</t>
  </si>
  <si>
    <t>IDR1057</t>
  </si>
  <si>
    <t>IDR1058</t>
  </si>
  <si>
    <t>IDR1059</t>
  </si>
  <si>
    <t>IDR1060</t>
  </si>
  <si>
    <t>IDR1061</t>
  </si>
  <si>
    <t>IDR1062</t>
  </si>
  <si>
    <t>IDR1063</t>
  </si>
  <si>
    <t>IDR1064</t>
  </si>
  <si>
    <t>IDR1065</t>
  </si>
  <si>
    <t>IDR1066</t>
  </si>
  <si>
    <t>IDR1067</t>
  </si>
  <si>
    <t>IDR1068</t>
  </si>
  <si>
    <t>IDR1069</t>
  </si>
  <si>
    <t>IDR1070</t>
  </si>
  <si>
    <t>IDR1071</t>
  </si>
  <si>
    <t>IDR1072</t>
  </si>
  <si>
    <t>IDR1073</t>
  </si>
  <si>
    <t>IDR1074</t>
  </si>
  <si>
    <t>IDR1075</t>
  </si>
  <si>
    <t>IDR1076</t>
  </si>
  <si>
    <t>IDR1077</t>
  </si>
  <si>
    <t>IDR1078</t>
  </si>
  <si>
    <t>IDR1079</t>
  </si>
  <si>
    <t>IDR1080</t>
  </si>
  <si>
    <t>IDR1081</t>
  </si>
  <si>
    <t>IDR1082</t>
  </si>
  <si>
    <t>IDR1083</t>
  </si>
  <si>
    <t>IDR1084</t>
  </si>
  <si>
    <t>IDR1085</t>
  </si>
  <si>
    <t>IDR1086</t>
  </si>
  <si>
    <t>IDR1087</t>
  </si>
  <si>
    <t>IDR1088</t>
  </si>
  <si>
    <t>IDR1089</t>
  </si>
  <si>
    <t>IDR1090</t>
  </si>
  <si>
    <t>IDR1091</t>
  </si>
  <si>
    <t>IDR1092</t>
  </si>
  <si>
    <t>IDR1093</t>
  </si>
  <si>
    <t>IDR1094</t>
  </si>
  <si>
    <t>IDR1095</t>
  </si>
  <si>
    <t>IDR1096</t>
  </si>
  <si>
    <t>IDR1097</t>
  </si>
  <si>
    <t>IDR1098</t>
  </si>
  <si>
    <t>IDR1099</t>
  </si>
  <si>
    <t>IDR1100</t>
  </si>
  <si>
    <t>IDR1101</t>
  </si>
  <si>
    <t>IDR1102</t>
  </si>
  <si>
    <t>IDR1103</t>
  </si>
  <si>
    <t>IDR1104</t>
  </si>
  <si>
    <t>IDR1105</t>
  </si>
  <si>
    <t>IDR1106</t>
  </si>
  <si>
    <t>IDR1107</t>
  </si>
  <si>
    <t>IDR1108</t>
  </si>
  <si>
    <t>IDR1109</t>
  </si>
  <si>
    <t>IDR1110</t>
  </si>
  <si>
    <t>IDR1111</t>
  </si>
  <si>
    <t>IDR1112</t>
  </si>
  <si>
    <t>IDR1113</t>
  </si>
  <si>
    <t>IDR1114</t>
  </si>
  <si>
    <t>IDR1115</t>
  </si>
  <si>
    <t>IDR1116</t>
  </si>
  <si>
    <t>IDR1117</t>
  </si>
  <si>
    <t>IDR1118</t>
  </si>
  <si>
    <t>IDR1119</t>
  </si>
  <si>
    <t>IDR1120</t>
  </si>
  <si>
    <t>IDR1121</t>
  </si>
  <si>
    <t>IDR1122</t>
  </si>
  <si>
    <t>IDR1123</t>
  </si>
  <si>
    <t>IDR1124</t>
  </si>
  <si>
    <t>IDR1125</t>
  </si>
  <si>
    <t>IDR1126</t>
  </si>
  <si>
    <t>IDR1127</t>
  </si>
  <si>
    <t>IDR1128</t>
  </si>
  <si>
    <t>IDR1129</t>
  </si>
  <si>
    <t>IDR1130</t>
  </si>
  <si>
    <t>IDR1131</t>
  </si>
  <si>
    <t>IDR1132</t>
  </si>
  <si>
    <t>IDR1133</t>
  </si>
  <si>
    <t>IDR1134</t>
  </si>
  <si>
    <t>IDR1135</t>
  </si>
  <si>
    <t>IDR1136</t>
  </si>
  <si>
    <t>IDR1137</t>
  </si>
  <si>
    <t>IDR1138</t>
  </si>
  <si>
    <t>IDR1139</t>
  </si>
  <si>
    <t>IDR1140</t>
  </si>
  <si>
    <t>IDR1141</t>
  </si>
  <si>
    <t>IDR1142</t>
  </si>
  <si>
    <t>IDR1143</t>
  </si>
  <si>
    <t>IDR1144</t>
  </si>
  <si>
    <t>IDR1145</t>
  </si>
  <si>
    <t>IDR1146</t>
  </si>
  <si>
    <t>trough_acrossfrom_barn</t>
  </si>
  <si>
    <t>used electronic scale for weight with frog, regular for weight without frog</t>
  </si>
  <si>
    <t>DSC0256</t>
  </si>
  <si>
    <t>DSC0257</t>
  </si>
  <si>
    <t>e-scale: mass = 5g</t>
  </si>
  <si>
    <t>DSC0276-0278</t>
  </si>
  <si>
    <t>DSC0289-0291</t>
  </si>
  <si>
    <t>22_24</t>
  </si>
  <si>
    <t>DSC0296-0298</t>
  </si>
  <si>
    <t>shanes_hottub</t>
  </si>
  <si>
    <t>from shane's hottub, left for us at the dining table in tupperware with rock and some water; mottled throat; released back at hottub</t>
  </si>
  <si>
    <t>DSC0332-0333</t>
  </si>
  <si>
    <t>fox_creek</t>
  </si>
  <si>
    <t>forgot to check PIT</t>
  </si>
  <si>
    <t>no PIT</t>
  </si>
  <si>
    <t>rusty iridescent spot coloration</t>
  </si>
  <si>
    <t>elder_creek</t>
  </si>
  <si>
    <t>11_17</t>
  </si>
  <si>
    <t>11_27</t>
  </si>
  <si>
    <t>DSC0452-0454</t>
  </si>
  <si>
    <t>no PIT; capture habitat DSC0476-0477</t>
  </si>
  <si>
    <t>2 pieces of toeclip in etoh; capture habitat DSC0473-0475</t>
  </si>
  <si>
    <t>not PIT; capture habitat DSC0488-0490</t>
  </si>
  <si>
    <t>eel_river</t>
  </si>
  <si>
    <t>DSC-520-0521</t>
  </si>
  <si>
    <t>DSC0522-0523</t>
  </si>
  <si>
    <t>no PIT; captured on grassy/mossy island</t>
  </si>
  <si>
    <t>captured on rocky shore</t>
  </si>
  <si>
    <t>no PIT; captured on large, rocky wall</t>
  </si>
  <si>
    <t>no PIT; left outward toe deformed; captured on grassy/mossy island</t>
  </si>
  <si>
    <t>no PIT; kind of skinny; captured on large rocky wall</t>
  </si>
  <si>
    <t>DSC0525-0526</t>
  </si>
  <si>
    <t>DSC0530-0531</t>
  </si>
  <si>
    <t>DSC0532</t>
  </si>
  <si>
    <t>DSC0527-0529</t>
  </si>
  <si>
    <t>skunk_creek</t>
  </si>
  <si>
    <t>capture habitat DSC0541; really red on back, legs, and feet, no PIT</t>
  </si>
  <si>
    <t>capture habitat DSC0537-0540; yellow spots on left behind tympanum; scratch on top of head; really fat thighs; no PIT</t>
  </si>
  <si>
    <t>capture habitat DSC0547</t>
  </si>
  <si>
    <t>capture habitat DSC0549</t>
  </si>
  <si>
    <t>capture habitat DSC0540; found on Imani's red backpack</t>
  </si>
  <si>
    <t>mckinley_creek</t>
  </si>
  <si>
    <t>rock in stream</t>
  </si>
  <si>
    <t>on rock in mud on other side of road, closer to Eel river</t>
  </si>
  <si>
    <t>ZE_1</t>
  </si>
  <si>
    <t>ZE_2</t>
  </si>
  <si>
    <t>ZE_3</t>
  </si>
  <si>
    <t xml:space="preserve">n </t>
  </si>
  <si>
    <t>20_01</t>
  </si>
  <si>
    <t>24_12</t>
  </si>
  <si>
    <t>24_14</t>
  </si>
  <si>
    <t>24_16</t>
  </si>
  <si>
    <t>24_17</t>
  </si>
  <si>
    <t>24_18</t>
  </si>
  <si>
    <t>24_22</t>
  </si>
  <si>
    <t>24_24</t>
  </si>
  <si>
    <t>24_25</t>
  </si>
  <si>
    <t>has little nub tail</t>
  </si>
  <si>
    <t>white lesion behind left eye</t>
  </si>
  <si>
    <t>toe already clipped</t>
  </si>
  <si>
    <t>lump on right thigh</t>
  </si>
  <si>
    <t>DSC0616</t>
  </si>
  <si>
    <t>DSC0617</t>
  </si>
  <si>
    <t>DSC0618</t>
  </si>
  <si>
    <t>DSC0619-0620</t>
  </si>
  <si>
    <t>DSC0621-0625</t>
  </si>
  <si>
    <t>DSC0626</t>
  </si>
  <si>
    <t>DSC0627</t>
  </si>
  <si>
    <t>DSC0628-0630</t>
  </si>
  <si>
    <t>DSC0631</t>
  </si>
  <si>
    <t>DSC0632-0634</t>
  </si>
  <si>
    <t>DSC0635</t>
  </si>
  <si>
    <t>DSC0636</t>
  </si>
  <si>
    <t>DSC0637-0638</t>
  </si>
  <si>
    <t>DSC0639</t>
  </si>
  <si>
    <t>DSC0640</t>
  </si>
  <si>
    <t>DSC0641</t>
  </si>
  <si>
    <t>DSC0647-0649</t>
  </si>
  <si>
    <t>DSC0646</t>
  </si>
  <si>
    <t>DSC0650</t>
  </si>
  <si>
    <t>DSC0651</t>
  </si>
  <si>
    <t>DSC0652</t>
  </si>
  <si>
    <t>DSC0642</t>
  </si>
  <si>
    <t>DSC0643</t>
  </si>
  <si>
    <t>DSC0654</t>
  </si>
  <si>
    <t>DSC0644</t>
  </si>
  <si>
    <t>DSC0653</t>
  </si>
  <si>
    <t>DSC0645</t>
  </si>
  <si>
    <t>DSC0655-0656</t>
  </si>
  <si>
    <t>DSC0657</t>
  </si>
  <si>
    <t>Rana_draytonii</t>
  </si>
  <si>
    <t>20_59</t>
  </si>
  <si>
    <t>missing left leg, swabbed right foot 10 times</t>
  </si>
  <si>
    <t>no visible tympanum; not sure if scissors dry before cutting toeclip</t>
  </si>
  <si>
    <t>had tail so released</t>
  </si>
  <si>
    <t>grey spot on stomach and behind right eye</t>
  </si>
  <si>
    <t>grey lesion behind right eye and on right leg</t>
  </si>
  <si>
    <t>accidental capture, released</t>
  </si>
  <si>
    <t>DSC0658</t>
  </si>
  <si>
    <t>DSC0659</t>
  </si>
  <si>
    <t>DSC0660</t>
  </si>
  <si>
    <t>DSC0661</t>
  </si>
  <si>
    <t>DSC0662</t>
  </si>
  <si>
    <t>DSC0663-0664</t>
  </si>
  <si>
    <t>DSC0665-0666</t>
  </si>
  <si>
    <t>DSC0667-0668</t>
  </si>
  <si>
    <t>DSC0676-0678</t>
  </si>
  <si>
    <t>DSC0692-0693</t>
  </si>
  <si>
    <t>DSC0694-0695</t>
  </si>
  <si>
    <t>DSC0696-0698</t>
  </si>
  <si>
    <t>DSC0706-0708</t>
  </si>
  <si>
    <t>DSC0709-0710</t>
  </si>
  <si>
    <t>DSC0714</t>
  </si>
  <si>
    <t>DSC0719</t>
  </si>
  <si>
    <t>DSC0715-0716</t>
  </si>
  <si>
    <t>DSC0720-0721</t>
  </si>
  <si>
    <t>DSC0722</t>
  </si>
  <si>
    <t>DSC0728-0730</t>
  </si>
  <si>
    <t>DSC0731</t>
  </si>
  <si>
    <t>DSC0732</t>
  </si>
  <si>
    <t>DSC0734-0735</t>
  </si>
  <si>
    <t>DSC0736</t>
  </si>
  <si>
    <t>DSC0738-0739</t>
  </si>
  <si>
    <t>scratches on back</t>
  </si>
  <si>
    <t>DSC0762</t>
  </si>
  <si>
    <t>DSC0765</t>
  </si>
  <si>
    <t>DSC0772-0775</t>
  </si>
  <si>
    <t>dropped toeclip on ground</t>
  </si>
  <si>
    <t>DSC0780-0784</t>
  </si>
  <si>
    <t xml:space="preserve">gash in throat, strange behavior, keeps mouth open </t>
  </si>
  <si>
    <t>birdbath</t>
  </si>
  <si>
    <t>porch</t>
  </si>
  <si>
    <t>kates_house</t>
  </si>
  <si>
    <t>road_by_barn</t>
  </si>
  <si>
    <t>lesions next to arm on right side</t>
  </si>
  <si>
    <t>looks like toeclipped last digit and mid digit of same foot unusually puffy (left foot)</t>
  </si>
  <si>
    <t>ethanol toeclip has 3 pieces</t>
  </si>
  <si>
    <t>missing toes on right foot</t>
  </si>
  <si>
    <t>scissors not checked for etoh before clipping - may inhibit Bd growth</t>
  </si>
  <si>
    <t>suspected chytridiomycosis; grey lesions on eyes, stomach, and hips; worse on right side</t>
  </si>
  <si>
    <t>saggy throat</t>
  </si>
  <si>
    <t>already toeclipped</t>
  </si>
  <si>
    <t>red eyebrows</t>
  </si>
  <si>
    <t>stubby fingertips on right hand, grey spots on stomach</t>
  </si>
  <si>
    <t>saw 1 boylii but couldn't catch</t>
  </si>
  <si>
    <t>saw 1 small boylii in water, couldn't catch</t>
  </si>
  <si>
    <t>22_05</t>
  </si>
  <si>
    <t>saw coastal giant salamander eating fish (photo in day's folder)</t>
  </si>
  <si>
    <t>19_43</t>
  </si>
  <si>
    <t>photos</t>
  </si>
  <si>
    <t>IDR1147</t>
  </si>
  <si>
    <t>IDR1148</t>
  </si>
  <si>
    <t>IDR1149</t>
  </si>
  <si>
    <t>IDR1150</t>
  </si>
  <si>
    <t>IDR1151</t>
  </si>
  <si>
    <t>IDR1152</t>
  </si>
  <si>
    <t>IDR1153</t>
  </si>
  <si>
    <t>IDR1154</t>
  </si>
  <si>
    <t>IDR1155</t>
  </si>
  <si>
    <t>IDR1156</t>
  </si>
  <si>
    <t>IDR1157</t>
  </si>
  <si>
    <t>IDR1158</t>
  </si>
  <si>
    <t>October</t>
  </si>
  <si>
    <t>19_19</t>
  </si>
  <si>
    <t>on rock in shallow cove</t>
  </si>
  <si>
    <t>on rock along shore</t>
  </si>
  <si>
    <t>on rock in stream riffle</t>
  </si>
  <si>
    <t>grey spot on side</t>
  </si>
  <si>
    <t>in photo day folder</t>
  </si>
  <si>
    <t>DSC1026-1028</t>
  </si>
  <si>
    <t>DSC1029-1032</t>
  </si>
  <si>
    <t>DSC0002-0003</t>
  </si>
  <si>
    <t>DSC0005-0007</t>
  </si>
  <si>
    <t>DSC0008-0010</t>
  </si>
  <si>
    <t>DSC0011-0013</t>
  </si>
  <si>
    <t>DSC0014-0016</t>
  </si>
  <si>
    <t>DSC0018-0020</t>
  </si>
  <si>
    <t>DSC0021-0023</t>
  </si>
  <si>
    <t>IDR1162</t>
  </si>
  <si>
    <t>IDR1163</t>
  </si>
  <si>
    <t>IDR1164</t>
  </si>
  <si>
    <t>IDR1165</t>
  </si>
  <si>
    <t>IDR1166</t>
  </si>
  <si>
    <t>IDR1167</t>
  </si>
  <si>
    <t>IDR1168</t>
  </si>
  <si>
    <t>IDR1169</t>
  </si>
  <si>
    <t>IDR1170</t>
  </si>
  <si>
    <t>IDR1171</t>
  </si>
  <si>
    <t>IDR1172</t>
  </si>
  <si>
    <t>IDR1173</t>
  </si>
  <si>
    <t>IDR1174</t>
  </si>
  <si>
    <t>IDR1175</t>
  </si>
  <si>
    <t>IDR1176</t>
  </si>
  <si>
    <t>IDR1177</t>
  </si>
  <si>
    <t>IDR1178</t>
  </si>
  <si>
    <t>IDR1179</t>
  </si>
  <si>
    <t>IDR1180</t>
  </si>
  <si>
    <t>IDR1181</t>
  </si>
  <si>
    <t>IDR1182</t>
  </si>
  <si>
    <t>IDR1183</t>
  </si>
  <si>
    <t>IDR1184</t>
  </si>
  <si>
    <t>IDR1185</t>
  </si>
  <si>
    <t>IDR1186</t>
  </si>
  <si>
    <t>IDR1187</t>
  </si>
  <si>
    <t>IDR1188</t>
  </si>
  <si>
    <t>IDR1189</t>
  </si>
  <si>
    <t>IDR1190</t>
  </si>
  <si>
    <t>IDR1191</t>
  </si>
  <si>
    <t>IDR1192</t>
  </si>
  <si>
    <t>IDR1193</t>
  </si>
  <si>
    <t>IDR1194</t>
  </si>
  <si>
    <t>IDR1195</t>
  </si>
  <si>
    <t>IDR1196</t>
  </si>
  <si>
    <t>IDR1197</t>
  </si>
  <si>
    <t>IDR1198</t>
  </si>
  <si>
    <t>IDR1199</t>
  </si>
  <si>
    <t>IDR1200</t>
  </si>
  <si>
    <t>IDR1201</t>
  </si>
  <si>
    <t>IDR1202</t>
  </si>
  <si>
    <t>IDR1203</t>
  </si>
  <si>
    <t>IDR1204</t>
  </si>
  <si>
    <t>IDR1205</t>
  </si>
  <si>
    <t>IDR1206</t>
  </si>
  <si>
    <t>IDR1207</t>
  </si>
  <si>
    <t>IDR1208</t>
  </si>
  <si>
    <t>IDR1209</t>
  </si>
  <si>
    <t>IDR1210</t>
  </si>
  <si>
    <t>IDR1211</t>
  </si>
  <si>
    <t>IDR1212</t>
  </si>
  <si>
    <t>IDR1213</t>
  </si>
  <si>
    <t>IDR1214</t>
  </si>
  <si>
    <t>IDR1215</t>
  </si>
  <si>
    <t>IDR1216</t>
  </si>
  <si>
    <t>IDR1217</t>
  </si>
  <si>
    <t>IDR1218</t>
  </si>
  <si>
    <t>IDR1219</t>
  </si>
  <si>
    <t>IDR1220</t>
  </si>
  <si>
    <t>IDR1221</t>
  </si>
  <si>
    <t>IDR1222</t>
  </si>
  <si>
    <t>IDR1223</t>
  </si>
  <si>
    <t>IDR1224</t>
  </si>
  <si>
    <t>IDR1225</t>
  </si>
  <si>
    <t>IDR1226</t>
  </si>
  <si>
    <t>IDR1227</t>
  </si>
  <si>
    <t>November</t>
  </si>
  <si>
    <t>17_59</t>
  </si>
  <si>
    <t>gravel_road</t>
  </si>
  <si>
    <t>18_01</t>
  </si>
  <si>
    <t>Age_sex_class</t>
  </si>
  <si>
    <t>typically smoother; nuptial pads during breeding season</t>
  </si>
  <si>
    <t>larger in general</t>
  </si>
  <si>
    <t>breeding season: January-July depending on environment</t>
  </si>
  <si>
    <t>&lt;51mm</t>
  </si>
  <si>
    <t>51-127mm</t>
  </si>
  <si>
    <t>46 - 86mm</t>
  </si>
  <si>
    <t>&lt;46mm</t>
  </si>
  <si>
    <t>Notes</t>
  </si>
  <si>
    <t>references</t>
  </si>
  <si>
    <r>
      <t>Stebbins, Robert C., and McGinnis, Samuel M.  </t>
    </r>
    <r>
      <rPr>
        <i/>
        <sz val="11"/>
        <color rgb="FF000000"/>
        <rFont val="Arial"/>
        <family val="2"/>
      </rPr>
      <t>Field Guide to Amphibians and Reptiles of California: Revised Edition</t>
    </r>
    <r>
      <rPr>
        <sz val="11"/>
        <color rgb="FF000000"/>
        <rFont val="Arial"/>
        <family val="2"/>
      </rPr>
      <t>(California Natural History Guides) University of California Press, 2012. </t>
    </r>
  </si>
  <si>
    <t>38 - 76 mm</t>
  </si>
  <si>
    <t>&lt;38mm</t>
  </si>
  <si>
    <t>dark throat</t>
  </si>
  <si>
    <t>pale throat</t>
  </si>
  <si>
    <t>&lt;38mm
feet with red warts and yellow bottoms</t>
  </si>
  <si>
    <r>
      <t>Stebbins, Robert C. </t>
    </r>
    <r>
      <rPr>
        <i/>
        <sz val="11"/>
        <color rgb="FF000000"/>
        <rFont val="Arial"/>
        <family val="2"/>
      </rPr>
      <t>A Field Guide to Western Reptiles and Amphibians</t>
    </r>
    <r>
      <rPr>
        <sz val="11"/>
        <color rgb="FF000000"/>
        <rFont val="Arial"/>
        <family val="2"/>
      </rPr>
      <t>. 3rd Edition. Houghton Mifflin Company, 2003.</t>
    </r>
  </si>
  <si>
    <t>44 - 127mm</t>
  </si>
  <si>
    <t>&lt;44mm</t>
  </si>
  <si>
    <t>32 - 57mm</t>
  </si>
  <si>
    <t>&lt;32mm</t>
  </si>
  <si>
    <t>dusky throat color</t>
  </si>
  <si>
    <t>19 - 51 mm</t>
  </si>
  <si>
    <t>&lt;19mm</t>
  </si>
  <si>
    <t>dark, wrinkled throat</t>
  </si>
  <si>
    <t>Pseudacris_hypochondriaca</t>
  </si>
  <si>
    <t>38 - 81mm</t>
  </si>
  <si>
    <t>89 - 203mm</t>
  </si>
  <si>
    <t>19 - 51mm</t>
  </si>
  <si>
    <t>tympanum ~same size as eye</t>
  </si>
  <si>
    <t>tympanum larger than eyes
yellow throat
dark swollen base of thumb</t>
  </si>
  <si>
    <t>&lt;89mm
many small spots</t>
  </si>
  <si>
    <r>
      <t>Stebbins, Robert C. </t>
    </r>
    <r>
      <rPr>
        <i/>
        <sz val="11"/>
        <color rgb="FF000000"/>
        <rFont val="Arial"/>
        <family val="2"/>
      </rPr>
      <t>A Field Guide to Western Reptiles and Amphibians</t>
    </r>
    <r>
      <rPr>
        <sz val="11"/>
        <color rgb="FF000000"/>
        <rFont val="Arial"/>
        <family val="2"/>
      </rPr>
      <t>. 3rd Edition. Houghton Mifflin Company, 2003.
CAHerps.com</t>
    </r>
  </si>
  <si>
    <t>nuptial pads during breeding season
rough, swollen lump at base of first finger</t>
  </si>
  <si>
    <t>larger (20-25mm longer SVL)
no swollen lump on first finger
first finger longer than males</t>
  </si>
  <si>
    <r>
      <t>Stebbins, Robert C., and McGinnis, Samuel M.  </t>
    </r>
    <r>
      <rPr>
        <i/>
        <sz val="11"/>
        <color rgb="FF000000"/>
        <rFont val="Arial"/>
        <family val="2"/>
      </rPr>
      <t>Field Guide to Amphibians and Reptiles of California: Revised Edition</t>
    </r>
    <r>
      <rPr>
        <sz val="11"/>
        <color rgb="FF000000"/>
        <rFont val="Arial"/>
        <family val="2"/>
      </rPr>
      <t> (California Natural History Guides) University of California Press, 2012. 
animaldiversity.org</t>
    </r>
  </si>
  <si>
    <t>DSC0479-0486</t>
  </si>
  <si>
    <t>DSC0950-0951</t>
  </si>
  <si>
    <t>found dead, puffed up in water</t>
  </si>
  <si>
    <t>IDR1159</t>
  </si>
  <si>
    <t>IDR1160</t>
  </si>
  <si>
    <t>IDR1161</t>
  </si>
  <si>
    <t>on bank</t>
  </si>
  <si>
    <t>DSC0030-0031</t>
  </si>
  <si>
    <t>scared out of hiding when stepping down</t>
  </si>
  <si>
    <t>DSC0037-0040</t>
  </si>
  <si>
    <t>hopping on grey crumbled rock</t>
  </si>
  <si>
    <t>DSC0065-0066</t>
  </si>
  <si>
    <t>18_24</t>
  </si>
  <si>
    <t>18_42</t>
  </si>
  <si>
    <t>iphone 7:22 (3)</t>
  </si>
  <si>
    <t>iphone 7:28 (3)</t>
  </si>
  <si>
    <t>iphone 7:33 (4)</t>
  </si>
  <si>
    <t>iphone 7:39 (3)</t>
  </si>
  <si>
    <t>iphone 7:45(3)</t>
  </si>
  <si>
    <t>iphone 7:50 (5)</t>
  </si>
  <si>
    <t>iphone 7:55 (2)</t>
  </si>
  <si>
    <t>iphone 8:00 (2)</t>
  </si>
  <si>
    <t>iphone 8:05 (3)</t>
  </si>
  <si>
    <t>iphone 8:11 (2)</t>
  </si>
  <si>
    <t>iphone 8:17 (2)</t>
  </si>
  <si>
    <t>iphone 8:23 (2)</t>
  </si>
  <si>
    <t>iphone 8:28 (4)</t>
  </si>
  <si>
    <t>iphone 8:34 (3); iphone 8:35</t>
  </si>
  <si>
    <t>Left foot longest toe has extra nubbin</t>
  </si>
  <si>
    <t>iphone 8:39-8:40 (4)</t>
  </si>
  <si>
    <t>iphone 8:44 (2)</t>
  </si>
  <si>
    <t>iphone 8:49 (3)</t>
  </si>
  <si>
    <t>17_57</t>
  </si>
  <si>
    <t>17_58</t>
  </si>
  <si>
    <t>18_02</t>
  </si>
  <si>
    <t>19_03</t>
  </si>
  <si>
    <t>19_11</t>
  </si>
  <si>
    <t>21_55</t>
  </si>
  <si>
    <t>22_16</t>
  </si>
  <si>
    <t>22_21</t>
  </si>
  <si>
    <t>iphone 10:24 (2)</t>
  </si>
  <si>
    <t>iphone 10:30 (2)</t>
  </si>
  <si>
    <t>iphone 10:35 (3)</t>
  </si>
  <si>
    <t>iphone 10:40 (2)</t>
  </si>
  <si>
    <t>iphone 10:45 (2)</t>
  </si>
  <si>
    <t>iphone 10:49 (2)</t>
  </si>
  <si>
    <t>iphone 10:57 (3)</t>
  </si>
  <si>
    <t>iphone 11:03 (2)</t>
  </si>
  <si>
    <t>iphone 11:10 (3)</t>
  </si>
  <si>
    <t>iphone 11:16 (2)</t>
  </si>
  <si>
    <t>iphone 11:20 (3)</t>
  </si>
  <si>
    <t>iphone 11:26 (3)</t>
  </si>
  <si>
    <t>iphone 11:32 (3)</t>
  </si>
  <si>
    <t>DSC0001-003</t>
  </si>
  <si>
    <t>DSC0004-0006</t>
  </si>
  <si>
    <t>DSC0008-0011</t>
  </si>
  <si>
    <t>DSC0012</t>
  </si>
  <si>
    <t>lethargic, flat, deflated looking</t>
  </si>
  <si>
    <t>DSC0013</t>
  </si>
  <si>
    <t>DSC0033</t>
  </si>
  <si>
    <t>DSC0034-0035</t>
  </si>
  <si>
    <t>DSC0020</t>
  </si>
  <si>
    <t>DSC0026-0028</t>
  </si>
  <si>
    <t>grey spot behind left paratoid</t>
  </si>
  <si>
    <t>DSC0030-0032</t>
  </si>
  <si>
    <t>DSC0036</t>
  </si>
  <si>
    <t>DSC0021-0022</t>
  </si>
  <si>
    <t>DSC0014-0017</t>
  </si>
  <si>
    <t>possible nuptial pad; extra webbing and middle digit</t>
  </si>
  <si>
    <t>DSC0023</t>
  </si>
  <si>
    <t>DSC0059-0061</t>
  </si>
  <si>
    <t>possibly toeclipped already</t>
  </si>
  <si>
    <t>DSC0054</t>
  </si>
  <si>
    <t>DSC0057</t>
  </si>
  <si>
    <t>DSC0052-0053</t>
  </si>
  <si>
    <t>DSC0039-0040</t>
  </si>
  <si>
    <t>DSC0055-0056</t>
  </si>
  <si>
    <t>DSC0043</t>
  </si>
  <si>
    <t>DSC0058</t>
  </si>
  <si>
    <t>DSC0062</t>
  </si>
  <si>
    <t>DSC0045-0046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</si>
</sst>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24EFF"/>
        <bgColor indexed="64"/>
      </patternFill>
    </fill>
    <fill>
      <patternFill patternType="solid">
        <fgColor rgb="FFB24EFF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20" fontId="0" fillId="0" borderId="0" xfId="0" applyNumberFormat="1"/>
    <xf numFmtId="0" fontId="0" fillId="0" borderId="0" xfId="0" applyFill="1"/>
    <xf numFmtId="0" fontId="0" fillId="33" borderId="0" xfId="0" applyFill="1"/>
    <xf numFmtId="164" fontId="0" fillId="0" borderId="0" xfId="0" applyNumberFormat="1"/>
    <xf numFmtId="164" fontId="0" fillId="0" borderId="0" xfId="0" applyNumberFormat="1" applyFill="1"/>
    <xf numFmtId="165" fontId="0" fillId="0" borderId="0" xfId="0" applyNumberFormat="1"/>
    <xf numFmtId="165" fontId="0" fillId="0" borderId="0" xfId="0" applyNumberForma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9" fillId="0" borderId="0" xfId="0" applyFont="1"/>
    <xf numFmtId="0" fontId="0" fillId="39" borderId="0" xfId="0" applyFill="1"/>
    <xf numFmtId="0" fontId="19" fillId="0" borderId="0" xfId="0" applyFont="1" applyFill="1"/>
    <xf numFmtId="16" fontId="0" fillId="0" borderId="0" xfId="0" applyNumberFormat="1" applyFill="1"/>
    <xf numFmtId="0" fontId="0" fillId="40" borderId="0" xfId="0" applyFill="1"/>
    <xf numFmtId="0" fontId="20" fillId="0" borderId="0" xfId="0" applyFont="1"/>
    <xf numFmtId="0" fontId="21" fillId="40" borderId="0" xfId="0" applyFont="1" applyFill="1"/>
    <xf numFmtId="0" fontId="22" fillId="40" borderId="0" xfId="0" applyFont="1" applyFill="1"/>
    <xf numFmtId="0" fontId="0" fillId="41" borderId="0" xfId="0" applyFill="1"/>
    <xf numFmtId="0" fontId="22" fillId="41" borderId="0" xfId="0" applyFont="1" applyFill="1"/>
    <xf numFmtId="164" fontId="0" fillId="37" borderId="0" xfId="0" applyNumberFormat="1" applyFill="1"/>
    <xf numFmtId="165" fontId="0" fillId="37" borderId="0" xfId="0" applyNumberFormat="1" applyFill="1"/>
    <xf numFmtId="0" fontId="23" fillId="0" borderId="0" xfId="0" applyFont="1" applyFill="1"/>
    <xf numFmtId="2" fontId="0" fillId="0" borderId="0" xfId="0" applyNumberFormat="1" applyFill="1"/>
    <xf numFmtId="0" fontId="20" fillId="0" borderId="0" xfId="0" applyFont="1" applyFill="1"/>
    <xf numFmtId="0" fontId="24" fillId="0" borderId="0" xfId="0" applyFont="1"/>
    <xf numFmtId="164" fontId="19" fillId="0" borderId="0" xfId="0" applyNumberFormat="1" applyFont="1"/>
    <xf numFmtId="20" fontId="0" fillId="0" borderId="0" xfId="0" applyNumberFormat="1" applyFill="1"/>
    <xf numFmtId="0" fontId="22" fillId="0" borderId="0" xfId="0" applyFont="1"/>
    <xf numFmtId="0" fontId="22" fillId="37" borderId="0" xfId="0" applyFont="1" applyFill="1"/>
    <xf numFmtId="20" fontId="22" fillId="0" borderId="0" xfId="0" applyNumberFormat="1" applyFont="1"/>
    <xf numFmtId="0" fontId="0" fillId="0" borderId="0" xfId="0" applyNumberFormat="1"/>
    <xf numFmtId="20" fontId="0" fillId="37" borderId="0" xfId="0" applyNumberFormat="1" applyFill="1"/>
    <xf numFmtId="0" fontId="0" fillId="37" borderId="0" xfId="0" applyFont="1" applyFill="1"/>
    <xf numFmtId="164" fontId="0" fillId="37" borderId="0" xfId="0" applyNumberFormat="1" applyFont="1" applyFill="1"/>
    <xf numFmtId="0" fontId="0" fillId="0" borderId="0" xfId="0" applyFont="1" applyFill="1"/>
    <xf numFmtId="164" fontId="0" fillId="0" borderId="0" xfId="0" applyNumberFormat="1" applyFont="1" applyFill="1"/>
    <xf numFmtId="0" fontId="0" fillId="42" borderId="0" xfId="0" applyFill="1"/>
    <xf numFmtId="49" fontId="0" fillId="0" borderId="0" xfId="0" applyNumberFormat="1"/>
    <xf numFmtId="49" fontId="0" fillId="37" borderId="0" xfId="0" applyNumberFormat="1" applyFill="1"/>
    <xf numFmtId="0" fontId="0" fillId="43" borderId="0" xfId="0" applyFill="1"/>
    <xf numFmtId="164" fontId="0" fillId="33" borderId="0" xfId="0" applyNumberFormat="1" applyFill="1"/>
    <xf numFmtId="0" fontId="0" fillId="44" borderId="0" xfId="0" applyFill="1"/>
    <xf numFmtId="0" fontId="16" fillId="0" borderId="0" xfId="0" applyFont="1"/>
    <xf numFmtId="0" fontId="25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5" fillId="0" borderId="0" xfId="0" applyFont="1" applyAlignment="1">
      <alignment wrapText="1"/>
    </xf>
    <xf numFmtId="0" fontId="22" fillId="44" borderId="0" xfId="0" applyFont="1" applyFill="1"/>
    <xf numFmtId="0" fontId="22" fillId="0" borderId="0" xfId="0" applyFont="1" applyFill="1"/>
    <xf numFmtId="0" fontId="19" fillId="45" borderId="0" xfId="0" applyFont="1" applyFill="1"/>
    <xf numFmtId="165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24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38"/>
  <sheetViews>
    <sheetView tabSelected="1" topLeftCell="J1" zoomScale="140" zoomScaleNormal="140" workbookViewId="0">
      <pane ySplit="1" topLeftCell="A2" activePane="bottomLeft" state="frozen"/>
      <selection activeCell="S1" sqref="S1"/>
      <selection pane="bottomLeft" activeCell="V758" sqref="V758:V767"/>
    </sheetView>
  </sheetViews>
  <sheetFormatPr baseColWidth="10" defaultColWidth="8.83203125" defaultRowHeight="15" x14ac:dyDescent="0.2"/>
  <cols>
    <col min="3" max="3" width="10.1640625" style="2" customWidth="1"/>
    <col min="4" max="4" width="8.83203125" style="2"/>
    <col min="5" max="5" width="11.83203125" style="2" bestFit="1" customWidth="1"/>
    <col min="8" max="8" width="9.33203125" customWidth="1"/>
    <col min="12" max="12" width="19.83203125" bestFit="1" customWidth="1"/>
    <col min="13" max="13" width="12" customWidth="1"/>
    <col min="19" max="19" width="8.6640625" style="4"/>
    <col min="20" max="20" width="10" style="4" bestFit="1" customWidth="1"/>
    <col min="22" max="22" width="8.6640625" style="6"/>
    <col min="28" max="28" width="14.6640625" bestFit="1" customWidth="1"/>
    <col min="29" max="29" width="14.33203125" bestFit="1" customWidth="1"/>
    <col min="30" max="30" width="18.6640625" bestFit="1" customWidth="1"/>
    <col min="31" max="31" width="25" bestFit="1" customWidth="1"/>
    <col min="32" max="32" width="20.1640625" bestFit="1" customWidth="1"/>
    <col min="33" max="33" width="19.6640625" bestFit="1" customWidth="1"/>
    <col min="34" max="34" width="16.6640625" bestFit="1" customWidth="1"/>
    <col min="35" max="35" width="16.5" bestFit="1" customWidth="1"/>
    <col min="36" max="36" width="8.83203125" style="41"/>
  </cols>
  <sheetData>
    <row r="1" spans="1:40" x14ac:dyDescent="0.2">
      <c r="A1" t="s">
        <v>0</v>
      </c>
      <c r="B1" t="s">
        <v>1</v>
      </c>
      <c r="C1" s="2" t="s">
        <v>1183</v>
      </c>
      <c r="D1" s="2" t="s">
        <v>1184</v>
      </c>
      <c r="E1" s="2" t="s">
        <v>1185</v>
      </c>
      <c r="F1" t="s">
        <v>853</v>
      </c>
      <c r="G1" t="s">
        <v>854</v>
      </c>
      <c r="H1" t="s">
        <v>20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s="4" t="s">
        <v>12</v>
      </c>
      <c r="T1" s="4" t="s">
        <v>13</v>
      </c>
      <c r="U1" t="s">
        <v>14</v>
      </c>
      <c r="V1" s="6" t="s">
        <v>15</v>
      </c>
      <c r="W1" t="s">
        <v>16</v>
      </c>
      <c r="X1" t="s">
        <v>2153</v>
      </c>
      <c r="Y1" t="s">
        <v>17</v>
      </c>
      <c r="Z1" t="s">
        <v>18</v>
      </c>
      <c r="AA1" t="s">
        <v>19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774</v>
      </c>
      <c r="AI1" t="s">
        <v>775</v>
      </c>
      <c r="AJ1" s="41" t="s">
        <v>2157</v>
      </c>
      <c r="AK1" t="s">
        <v>2158</v>
      </c>
      <c r="AL1" t="s">
        <v>3029</v>
      </c>
      <c r="AM1" t="s">
        <v>3030</v>
      </c>
      <c r="AN1" t="s">
        <v>3031</v>
      </c>
    </row>
    <row r="2" spans="1:40" x14ac:dyDescent="0.2">
      <c r="A2">
        <v>1</v>
      </c>
      <c r="B2">
        <v>1</v>
      </c>
      <c r="C2">
        <v>0.35221630334854126</v>
      </c>
      <c r="D2">
        <v>0.29031214118003845</v>
      </c>
      <c r="E2">
        <v>0.2166735976934433</v>
      </c>
      <c r="F2" t="s">
        <v>1186</v>
      </c>
      <c r="G2" t="s">
        <v>1186</v>
      </c>
      <c r="H2" t="s">
        <v>1191</v>
      </c>
      <c r="I2">
        <v>5</v>
      </c>
      <c r="J2" t="s">
        <v>27</v>
      </c>
      <c r="K2">
        <v>2019</v>
      </c>
      <c r="L2" t="s">
        <v>34</v>
      </c>
      <c r="M2" t="s">
        <v>29</v>
      </c>
      <c r="N2">
        <v>26</v>
      </c>
      <c r="O2">
        <v>13</v>
      </c>
      <c r="P2" t="s">
        <v>30</v>
      </c>
      <c r="R2" t="s">
        <v>39</v>
      </c>
      <c r="S2" s="38">
        <v>34.097005000000003</v>
      </c>
      <c r="T2" s="39">
        <v>-118.654838</v>
      </c>
      <c r="U2" s="2">
        <v>1080</v>
      </c>
      <c r="V2" s="6">
        <v>0</v>
      </c>
      <c r="W2" t="s">
        <v>31</v>
      </c>
      <c r="X2" t="s">
        <v>2245</v>
      </c>
      <c r="AB2">
        <v>22.4</v>
      </c>
      <c r="AC2">
        <v>10.4</v>
      </c>
      <c r="AF2">
        <v>94</v>
      </c>
      <c r="AG2">
        <v>27</v>
      </c>
      <c r="AJ2" s="41">
        <v>0</v>
      </c>
      <c r="AL2">
        <f>C2*80</f>
        <v>28.177304267883301</v>
      </c>
      <c r="AM2">
        <f>D2*80</f>
        <v>23.224971294403076</v>
      </c>
      <c r="AN2">
        <f>E2*80</f>
        <v>17.333887815475464</v>
      </c>
    </row>
    <row r="3" spans="1:40" x14ac:dyDescent="0.2">
      <c r="A3">
        <v>1</v>
      </c>
      <c r="B3">
        <v>2</v>
      </c>
      <c r="C3">
        <v>5.1032938957214355</v>
      </c>
      <c r="D3">
        <v>4.5428085327148438</v>
      </c>
      <c r="E3">
        <v>3.8632767200469971</v>
      </c>
      <c r="F3" t="s">
        <v>1186</v>
      </c>
      <c r="G3" t="s">
        <v>1186</v>
      </c>
      <c r="H3" t="s">
        <v>1191</v>
      </c>
      <c r="I3">
        <v>5</v>
      </c>
      <c r="J3" t="s">
        <v>27</v>
      </c>
      <c r="K3">
        <v>2019</v>
      </c>
      <c r="L3" t="s">
        <v>34</v>
      </c>
      <c r="M3" t="s">
        <v>29</v>
      </c>
      <c r="N3">
        <v>26</v>
      </c>
      <c r="O3">
        <v>6</v>
      </c>
      <c r="P3" t="s">
        <v>30</v>
      </c>
      <c r="R3" t="s">
        <v>39</v>
      </c>
      <c r="S3" s="38">
        <v>34.097005000000003</v>
      </c>
      <c r="T3" s="39">
        <v>-118.654837</v>
      </c>
      <c r="U3" s="2">
        <v>1080</v>
      </c>
      <c r="V3" s="6">
        <v>0</v>
      </c>
      <c r="W3" t="s">
        <v>31</v>
      </c>
      <c r="X3" t="s">
        <v>2245</v>
      </c>
      <c r="AB3">
        <v>22.4</v>
      </c>
      <c r="AC3">
        <v>10.4</v>
      </c>
      <c r="AF3">
        <v>94</v>
      </c>
      <c r="AG3">
        <v>27</v>
      </c>
      <c r="AJ3" s="41">
        <v>0</v>
      </c>
      <c r="AL3">
        <f t="shared" ref="AL3:AL66" si="0">C3*80</f>
        <v>408.26351165771484</v>
      </c>
      <c r="AM3">
        <f t="shared" ref="AM3:AM66" si="1">D3*80</f>
        <v>363.4246826171875</v>
      </c>
      <c r="AN3">
        <f t="shared" ref="AN3:AN66" si="2">E3*80</f>
        <v>309.06213760375977</v>
      </c>
    </row>
    <row r="4" spans="1:40" x14ac:dyDescent="0.2">
      <c r="A4">
        <v>1</v>
      </c>
      <c r="B4">
        <v>3</v>
      </c>
      <c r="C4" s="2">
        <v>0</v>
      </c>
      <c r="D4" s="2">
        <v>0</v>
      </c>
      <c r="E4" s="2">
        <v>0</v>
      </c>
      <c r="F4" t="s">
        <v>1186</v>
      </c>
      <c r="G4" t="s">
        <v>1186</v>
      </c>
      <c r="H4" t="s">
        <v>1191</v>
      </c>
      <c r="I4">
        <v>5</v>
      </c>
      <c r="J4" t="s">
        <v>27</v>
      </c>
      <c r="K4">
        <v>2019</v>
      </c>
      <c r="L4" t="s">
        <v>33</v>
      </c>
      <c r="M4" t="s">
        <v>29</v>
      </c>
      <c r="N4">
        <v>72</v>
      </c>
      <c r="O4">
        <v>61</v>
      </c>
      <c r="P4" t="s">
        <v>30</v>
      </c>
      <c r="R4" t="s">
        <v>39</v>
      </c>
      <c r="S4" s="38">
        <v>34.097005000000003</v>
      </c>
      <c r="T4" s="39">
        <v>-118.654837</v>
      </c>
      <c r="U4" s="2">
        <v>1080</v>
      </c>
      <c r="V4" s="6">
        <v>0</v>
      </c>
      <c r="W4" t="s">
        <v>31</v>
      </c>
      <c r="X4" t="s">
        <v>2245</v>
      </c>
      <c r="AB4">
        <v>22.4</v>
      </c>
      <c r="AC4">
        <v>10.4</v>
      </c>
      <c r="AF4">
        <v>94</v>
      </c>
      <c r="AG4">
        <v>27</v>
      </c>
      <c r="AJ4" s="41">
        <v>0</v>
      </c>
      <c r="AL4">
        <f t="shared" si="0"/>
        <v>0</v>
      </c>
      <c r="AM4">
        <f t="shared" si="1"/>
        <v>0</v>
      </c>
      <c r="AN4">
        <f t="shared" si="2"/>
        <v>0</v>
      </c>
    </row>
    <row r="5" spans="1:40" x14ac:dyDescent="0.2">
      <c r="A5">
        <v>1</v>
      </c>
      <c r="B5">
        <v>4</v>
      </c>
      <c r="C5">
        <v>371.5167236328125</v>
      </c>
      <c r="D5">
        <v>328.10882568359375</v>
      </c>
      <c r="E5">
        <v>296.78363037109375</v>
      </c>
      <c r="F5" t="s">
        <v>1186</v>
      </c>
      <c r="G5" t="s">
        <v>1186</v>
      </c>
      <c r="H5" t="s">
        <v>1191</v>
      </c>
      <c r="I5">
        <v>5</v>
      </c>
      <c r="J5" t="s">
        <v>27</v>
      </c>
      <c r="K5">
        <v>2019</v>
      </c>
      <c r="L5" t="s">
        <v>34</v>
      </c>
      <c r="M5" t="s">
        <v>29</v>
      </c>
      <c r="N5">
        <v>33</v>
      </c>
      <c r="O5">
        <v>9.5</v>
      </c>
      <c r="P5" t="s">
        <v>30</v>
      </c>
      <c r="R5" t="s">
        <v>39</v>
      </c>
      <c r="S5" s="38">
        <v>34.097005000000003</v>
      </c>
      <c r="T5" s="39">
        <v>-118.654837</v>
      </c>
      <c r="U5" s="2">
        <v>1080</v>
      </c>
      <c r="V5" s="6">
        <v>0</v>
      </c>
      <c r="W5" t="s">
        <v>31</v>
      </c>
      <c r="X5" t="s">
        <v>2245</v>
      </c>
      <c r="AB5">
        <v>22.4</v>
      </c>
      <c r="AC5">
        <v>10.4</v>
      </c>
      <c r="AF5">
        <v>94</v>
      </c>
      <c r="AG5">
        <v>27</v>
      </c>
      <c r="AJ5" s="41">
        <v>0</v>
      </c>
      <c r="AL5">
        <f t="shared" si="0"/>
        <v>29721.337890625</v>
      </c>
      <c r="AM5">
        <f t="shared" si="1"/>
        <v>26248.7060546875</v>
      </c>
      <c r="AN5">
        <f t="shared" si="2"/>
        <v>23742.6904296875</v>
      </c>
    </row>
    <row r="6" spans="1:40" x14ac:dyDescent="0.2">
      <c r="A6">
        <v>1</v>
      </c>
      <c r="B6">
        <v>5</v>
      </c>
      <c r="C6">
        <v>0.17266024649143219</v>
      </c>
      <c r="D6">
        <v>0.12009873986244202</v>
      </c>
      <c r="E6">
        <v>6.4971953630447388E-2</v>
      </c>
      <c r="F6" t="s">
        <v>1186</v>
      </c>
      <c r="G6" t="s">
        <v>1186</v>
      </c>
      <c r="H6" t="s">
        <v>1191</v>
      </c>
      <c r="I6">
        <v>5</v>
      </c>
      <c r="J6" t="s">
        <v>27</v>
      </c>
      <c r="K6">
        <v>2019</v>
      </c>
      <c r="L6" t="s">
        <v>34</v>
      </c>
      <c r="M6" t="s">
        <v>29</v>
      </c>
      <c r="N6">
        <v>29.5</v>
      </c>
      <c r="O6">
        <v>7</v>
      </c>
      <c r="P6" t="s">
        <v>30</v>
      </c>
      <c r="R6" t="s">
        <v>39</v>
      </c>
      <c r="S6" s="38">
        <v>34.097005000000003</v>
      </c>
      <c r="T6" s="39">
        <v>-118.654837</v>
      </c>
      <c r="U6" s="2">
        <v>1080</v>
      </c>
      <c r="V6" s="6">
        <v>0</v>
      </c>
      <c r="W6" t="s">
        <v>31</v>
      </c>
      <c r="X6" t="s">
        <v>2245</v>
      </c>
      <c r="AB6">
        <v>22.4</v>
      </c>
      <c r="AC6">
        <v>10.4</v>
      </c>
      <c r="AF6">
        <v>94</v>
      </c>
      <c r="AG6">
        <v>27</v>
      </c>
      <c r="AJ6" s="41">
        <v>0</v>
      </c>
      <c r="AL6">
        <f t="shared" si="0"/>
        <v>13.812819719314575</v>
      </c>
      <c r="AM6">
        <f t="shared" si="1"/>
        <v>9.6078991889953613</v>
      </c>
      <c r="AN6">
        <f t="shared" si="2"/>
        <v>5.197756290435791</v>
      </c>
    </row>
    <row r="7" spans="1:40" x14ac:dyDescent="0.2">
      <c r="A7">
        <v>1</v>
      </c>
      <c r="B7">
        <v>6</v>
      </c>
      <c r="C7">
        <v>0.18339727818965912</v>
      </c>
      <c r="D7">
        <v>0.13407780230045319</v>
      </c>
      <c r="E7">
        <v>0.14813178777694702</v>
      </c>
      <c r="F7" t="s">
        <v>1186</v>
      </c>
      <c r="G7" t="s">
        <v>1186</v>
      </c>
      <c r="H7" t="s">
        <v>1191</v>
      </c>
      <c r="I7">
        <v>5</v>
      </c>
      <c r="J7" t="s">
        <v>27</v>
      </c>
      <c r="K7">
        <v>2019</v>
      </c>
      <c r="L7" t="s">
        <v>34</v>
      </c>
      <c r="M7" t="s">
        <v>29</v>
      </c>
      <c r="N7">
        <v>31</v>
      </c>
      <c r="O7">
        <v>5.5</v>
      </c>
      <c r="P7" t="s">
        <v>30</v>
      </c>
      <c r="R7" t="s">
        <v>39</v>
      </c>
      <c r="S7" s="38">
        <v>34.097005000000003</v>
      </c>
      <c r="T7" s="39">
        <v>-118.654837</v>
      </c>
      <c r="U7" s="2">
        <v>1080</v>
      </c>
      <c r="V7" s="6">
        <v>0</v>
      </c>
      <c r="W7" t="s">
        <v>31</v>
      </c>
      <c r="X7" t="s">
        <v>2245</v>
      </c>
      <c r="AB7">
        <v>22.4</v>
      </c>
      <c r="AC7">
        <v>10.4</v>
      </c>
      <c r="AF7">
        <v>94</v>
      </c>
      <c r="AG7">
        <v>27</v>
      </c>
      <c r="AJ7" s="41">
        <v>0</v>
      </c>
      <c r="AL7">
        <f t="shared" si="0"/>
        <v>14.671782255172729</v>
      </c>
      <c r="AM7">
        <f t="shared" si="1"/>
        <v>10.726224184036255</v>
      </c>
      <c r="AN7">
        <f t="shared" si="2"/>
        <v>11.850543022155762</v>
      </c>
    </row>
    <row r="8" spans="1:40" x14ac:dyDescent="0.2">
      <c r="A8">
        <v>1</v>
      </c>
      <c r="B8">
        <v>7</v>
      </c>
      <c r="C8" s="2">
        <v>0</v>
      </c>
      <c r="D8" s="2">
        <v>0</v>
      </c>
      <c r="E8" s="2">
        <v>0</v>
      </c>
      <c r="F8" t="s">
        <v>1186</v>
      </c>
      <c r="G8" t="s">
        <v>1186</v>
      </c>
      <c r="H8" t="s">
        <v>1191</v>
      </c>
      <c r="I8">
        <v>5</v>
      </c>
      <c r="J8" t="s">
        <v>27</v>
      </c>
      <c r="K8">
        <v>2019</v>
      </c>
      <c r="L8" t="s">
        <v>34</v>
      </c>
      <c r="M8" t="s">
        <v>29</v>
      </c>
      <c r="N8">
        <v>30</v>
      </c>
      <c r="O8">
        <v>8</v>
      </c>
      <c r="P8" t="s">
        <v>30</v>
      </c>
      <c r="R8" t="s">
        <v>39</v>
      </c>
      <c r="S8" s="38">
        <v>34.097005000000003</v>
      </c>
      <c r="T8" s="39">
        <v>-118.654837</v>
      </c>
      <c r="U8" s="2">
        <v>1080</v>
      </c>
      <c r="V8" s="6">
        <v>0</v>
      </c>
      <c r="W8" t="s">
        <v>31</v>
      </c>
      <c r="X8" t="s">
        <v>2245</v>
      </c>
      <c r="AB8">
        <v>22.4</v>
      </c>
      <c r="AC8">
        <v>10.4</v>
      </c>
      <c r="AF8">
        <v>94</v>
      </c>
      <c r="AG8">
        <v>27</v>
      </c>
      <c r="AJ8" s="41">
        <v>0</v>
      </c>
      <c r="AL8">
        <f t="shared" si="0"/>
        <v>0</v>
      </c>
      <c r="AM8">
        <f t="shared" si="1"/>
        <v>0</v>
      </c>
      <c r="AN8">
        <f t="shared" si="2"/>
        <v>0</v>
      </c>
    </row>
    <row r="9" spans="1:40" x14ac:dyDescent="0.2">
      <c r="A9">
        <v>1</v>
      </c>
      <c r="B9">
        <v>8</v>
      </c>
      <c r="C9">
        <v>2.2521652281284332E-2</v>
      </c>
      <c r="D9">
        <v>7.4601851403713226E-2</v>
      </c>
      <c r="E9">
        <v>6.6265374422073364E-2</v>
      </c>
      <c r="F9" t="s">
        <v>1186</v>
      </c>
      <c r="G9" t="s">
        <v>1186</v>
      </c>
      <c r="H9" t="s">
        <v>1191</v>
      </c>
      <c r="I9">
        <v>5</v>
      </c>
      <c r="J9" t="s">
        <v>27</v>
      </c>
      <c r="K9">
        <v>2019</v>
      </c>
      <c r="L9" t="s">
        <v>34</v>
      </c>
      <c r="M9" t="s">
        <v>29</v>
      </c>
      <c r="N9">
        <v>31</v>
      </c>
      <c r="O9">
        <v>6.5</v>
      </c>
      <c r="P9" t="s">
        <v>30</v>
      </c>
      <c r="R9" t="s">
        <v>39</v>
      </c>
      <c r="S9" s="38">
        <v>34.097005000000003</v>
      </c>
      <c r="T9" s="39">
        <v>-118.654837</v>
      </c>
      <c r="U9" s="2">
        <v>1080</v>
      </c>
      <c r="V9" s="6">
        <v>0</v>
      </c>
      <c r="W9" t="s">
        <v>31</v>
      </c>
      <c r="X9" t="s">
        <v>2245</v>
      </c>
      <c r="AB9">
        <v>22.4</v>
      </c>
      <c r="AC9">
        <v>10.4</v>
      </c>
      <c r="AF9">
        <v>94</v>
      </c>
      <c r="AG9">
        <v>27</v>
      </c>
      <c r="AJ9" s="41">
        <v>0</v>
      </c>
      <c r="AL9">
        <f t="shared" si="0"/>
        <v>1.8017321825027466</v>
      </c>
      <c r="AM9">
        <f t="shared" si="1"/>
        <v>5.9681481122970581</v>
      </c>
      <c r="AN9">
        <f t="shared" si="2"/>
        <v>5.3012299537658691</v>
      </c>
    </row>
    <row r="10" spans="1:40" s="11" customFormat="1" x14ac:dyDescent="0.2">
      <c r="A10" s="11">
        <v>1</v>
      </c>
      <c r="B10" s="11">
        <v>9</v>
      </c>
      <c r="F10" s="11" t="s">
        <v>1191</v>
      </c>
      <c r="G10" s="11" t="s">
        <v>1191</v>
      </c>
      <c r="H10" s="11" t="s">
        <v>1191</v>
      </c>
      <c r="I10" s="11">
        <v>5</v>
      </c>
      <c r="J10" s="11" t="s">
        <v>27</v>
      </c>
      <c r="K10" s="11">
        <v>2019</v>
      </c>
      <c r="L10" s="11" t="s">
        <v>34</v>
      </c>
      <c r="M10" s="11" t="s">
        <v>29</v>
      </c>
      <c r="S10" s="36">
        <v>34.097005000000003</v>
      </c>
      <c r="T10" s="37">
        <v>-118.654837</v>
      </c>
      <c r="U10" s="11">
        <v>1080</v>
      </c>
      <c r="V10" s="24">
        <v>0</v>
      </c>
      <c r="W10" s="11" t="s">
        <v>31</v>
      </c>
      <c r="X10" s="11" t="s">
        <v>2245</v>
      </c>
      <c r="Z10" s="11" t="s">
        <v>35</v>
      </c>
      <c r="AB10" s="11">
        <v>22.4</v>
      </c>
      <c r="AC10" s="11">
        <v>10.4</v>
      </c>
      <c r="AF10" s="11">
        <v>94</v>
      </c>
      <c r="AG10" s="11">
        <v>27</v>
      </c>
      <c r="AJ10" s="41">
        <v>0</v>
      </c>
      <c r="AL10">
        <f t="shared" si="0"/>
        <v>0</v>
      </c>
      <c r="AM10">
        <f t="shared" si="1"/>
        <v>0</v>
      </c>
      <c r="AN10">
        <f t="shared" si="2"/>
        <v>0</v>
      </c>
    </row>
    <row r="11" spans="1:40" s="11" customFormat="1" x14ac:dyDescent="0.2">
      <c r="A11" s="11">
        <v>1</v>
      </c>
      <c r="B11" s="11">
        <v>10</v>
      </c>
      <c r="F11" s="11" t="s">
        <v>1191</v>
      </c>
      <c r="G11" s="11" t="s">
        <v>1191</v>
      </c>
      <c r="H11" s="11" t="s">
        <v>1191</v>
      </c>
      <c r="I11" s="11">
        <v>5</v>
      </c>
      <c r="J11" s="11" t="s">
        <v>27</v>
      </c>
      <c r="K11" s="11">
        <v>2019</v>
      </c>
      <c r="L11" s="11" t="s">
        <v>34</v>
      </c>
      <c r="M11" s="11" t="s">
        <v>29</v>
      </c>
      <c r="S11" s="36">
        <v>34.097005000000003</v>
      </c>
      <c r="T11" s="37">
        <v>-118.654837</v>
      </c>
      <c r="U11" s="11">
        <v>1080</v>
      </c>
      <c r="V11" s="24">
        <v>0</v>
      </c>
      <c r="W11" s="11" t="s">
        <v>31</v>
      </c>
      <c r="X11" s="11" t="s">
        <v>2245</v>
      </c>
      <c r="Z11" s="11" t="s">
        <v>35</v>
      </c>
      <c r="AB11" s="11">
        <v>22.4</v>
      </c>
      <c r="AC11" s="11">
        <v>10.4</v>
      </c>
      <c r="AF11" s="11">
        <v>94</v>
      </c>
      <c r="AG11" s="11">
        <v>27</v>
      </c>
      <c r="AJ11" s="41">
        <v>0</v>
      </c>
      <c r="AL11">
        <f t="shared" si="0"/>
        <v>0</v>
      </c>
      <c r="AM11">
        <f t="shared" si="1"/>
        <v>0</v>
      </c>
      <c r="AN11">
        <f t="shared" si="2"/>
        <v>0</v>
      </c>
    </row>
    <row r="12" spans="1:40" x14ac:dyDescent="0.2">
      <c r="A12">
        <v>2</v>
      </c>
      <c r="B12" t="s">
        <v>1911</v>
      </c>
      <c r="C12" s="2">
        <v>0</v>
      </c>
      <c r="D12" s="2">
        <v>0</v>
      </c>
      <c r="E12" s="2">
        <v>0</v>
      </c>
      <c r="F12" t="s">
        <v>1186</v>
      </c>
      <c r="G12" t="s">
        <v>1186</v>
      </c>
      <c r="H12" t="s">
        <v>1191</v>
      </c>
      <c r="I12">
        <v>23</v>
      </c>
      <c r="J12" t="s">
        <v>27</v>
      </c>
      <c r="K12">
        <v>2019</v>
      </c>
      <c r="L12" t="s">
        <v>33</v>
      </c>
      <c r="M12" t="s">
        <v>36</v>
      </c>
      <c r="N12">
        <v>82</v>
      </c>
      <c r="O12">
        <v>78</v>
      </c>
      <c r="P12" t="s">
        <v>37</v>
      </c>
      <c r="Q12" t="s">
        <v>38</v>
      </c>
      <c r="R12" t="s">
        <v>39</v>
      </c>
      <c r="S12" s="4">
        <v>34.539439999999999</v>
      </c>
      <c r="T12" s="4">
        <v>-118.76139000000001</v>
      </c>
      <c r="U12">
        <v>1110</v>
      </c>
      <c r="V12" s="6">
        <v>338.32799999999997</v>
      </c>
      <c r="W12" t="s">
        <v>31</v>
      </c>
      <c r="X12" t="s">
        <v>2325</v>
      </c>
      <c r="AJ12" s="41">
        <v>0</v>
      </c>
      <c r="AL12">
        <f t="shared" si="0"/>
        <v>0</v>
      </c>
      <c r="AM12">
        <f t="shared" si="1"/>
        <v>0</v>
      </c>
      <c r="AN12">
        <f t="shared" si="2"/>
        <v>0</v>
      </c>
    </row>
    <row r="13" spans="1:40" x14ac:dyDescent="0.2">
      <c r="A13">
        <v>2</v>
      </c>
      <c r="B13" t="s">
        <v>1912</v>
      </c>
      <c r="C13" s="2">
        <v>0</v>
      </c>
      <c r="D13" s="2">
        <v>0</v>
      </c>
      <c r="E13" s="2">
        <v>0</v>
      </c>
      <c r="G13" t="s">
        <v>1186</v>
      </c>
      <c r="H13" t="s">
        <v>1191</v>
      </c>
      <c r="I13">
        <v>23</v>
      </c>
      <c r="J13" t="s">
        <v>27</v>
      </c>
      <c r="K13">
        <v>2019</v>
      </c>
      <c r="L13" t="s">
        <v>40</v>
      </c>
      <c r="M13" t="s">
        <v>36</v>
      </c>
      <c r="N13">
        <v>57.5</v>
      </c>
      <c r="O13">
        <v>31</v>
      </c>
      <c r="P13" t="s">
        <v>41</v>
      </c>
      <c r="Q13" t="s">
        <v>42</v>
      </c>
      <c r="R13" t="s">
        <v>39</v>
      </c>
      <c r="S13" s="4">
        <v>34.539439999999999</v>
      </c>
      <c r="T13" s="4">
        <v>-118.76139000000001</v>
      </c>
      <c r="U13">
        <v>1110</v>
      </c>
      <c r="V13" s="6">
        <v>338.32799999999997</v>
      </c>
      <c r="W13" t="s">
        <v>31</v>
      </c>
      <c r="X13" t="s">
        <v>2325</v>
      </c>
      <c r="AJ13" s="41">
        <v>0</v>
      </c>
      <c r="AL13">
        <f t="shared" si="0"/>
        <v>0</v>
      </c>
      <c r="AM13">
        <f t="shared" si="1"/>
        <v>0</v>
      </c>
      <c r="AN13">
        <f t="shared" si="2"/>
        <v>0</v>
      </c>
    </row>
    <row r="14" spans="1:40" x14ac:dyDescent="0.2">
      <c r="A14">
        <v>2</v>
      </c>
      <c r="B14" t="s">
        <v>1913</v>
      </c>
      <c r="C14" s="2">
        <v>3.1296167373657227</v>
      </c>
      <c r="D14" s="28">
        <v>3.7618550000000002</v>
      </c>
      <c r="E14">
        <v>3.1347715854644775</v>
      </c>
      <c r="F14" t="s">
        <v>1186</v>
      </c>
      <c r="G14" t="s">
        <v>1186</v>
      </c>
      <c r="H14" t="s">
        <v>1191</v>
      </c>
      <c r="I14">
        <v>23</v>
      </c>
      <c r="J14" t="s">
        <v>27</v>
      </c>
      <c r="K14">
        <v>2019</v>
      </c>
      <c r="L14" t="s">
        <v>32</v>
      </c>
      <c r="M14" t="s">
        <v>36</v>
      </c>
      <c r="O14">
        <v>8</v>
      </c>
      <c r="P14" t="s">
        <v>37</v>
      </c>
      <c r="Q14" t="s">
        <v>38</v>
      </c>
      <c r="R14" t="s">
        <v>39</v>
      </c>
      <c r="S14" s="4">
        <v>34.539439999999999</v>
      </c>
      <c r="T14" s="4">
        <v>-118.76139000000001</v>
      </c>
      <c r="U14">
        <v>1110</v>
      </c>
      <c r="V14" s="6">
        <v>338.32799999999997</v>
      </c>
      <c r="W14" t="s">
        <v>31</v>
      </c>
      <c r="X14" t="s">
        <v>2325</v>
      </c>
      <c r="AJ14" s="41">
        <v>0</v>
      </c>
      <c r="AL14">
        <f t="shared" si="0"/>
        <v>250.36933898925781</v>
      </c>
      <c r="AM14">
        <f t="shared" si="1"/>
        <v>300.94839999999999</v>
      </c>
      <c r="AN14">
        <f t="shared" si="2"/>
        <v>250.7817268371582</v>
      </c>
    </row>
    <row r="15" spans="1:40" x14ac:dyDescent="0.2">
      <c r="A15">
        <v>2</v>
      </c>
      <c r="B15" t="s">
        <v>1914</v>
      </c>
      <c r="C15" s="2">
        <v>0</v>
      </c>
      <c r="D15" s="2">
        <v>0</v>
      </c>
      <c r="E15" s="2">
        <v>0</v>
      </c>
      <c r="G15" t="s">
        <v>1186</v>
      </c>
      <c r="H15" t="s">
        <v>1191</v>
      </c>
      <c r="I15">
        <v>23</v>
      </c>
      <c r="J15" t="s">
        <v>27</v>
      </c>
      <c r="K15">
        <v>2019</v>
      </c>
      <c r="L15" t="s">
        <v>40</v>
      </c>
      <c r="M15" t="s">
        <v>36</v>
      </c>
      <c r="N15">
        <v>44.5</v>
      </c>
      <c r="O15">
        <v>5</v>
      </c>
      <c r="P15" t="s">
        <v>41</v>
      </c>
      <c r="R15" t="s">
        <v>89</v>
      </c>
      <c r="S15" s="4">
        <v>34.539439999999999</v>
      </c>
      <c r="T15" s="4">
        <v>-118.76139000000001</v>
      </c>
      <c r="U15">
        <v>1110</v>
      </c>
      <c r="V15" s="6">
        <v>338.32799999999997</v>
      </c>
      <c r="W15" t="s">
        <v>31</v>
      </c>
      <c r="X15" t="s">
        <v>2325</v>
      </c>
      <c r="AJ15" s="41">
        <v>0</v>
      </c>
      <c r="AL15">
        <f t="shared" si="0"/>
        <v>0</v>
      </c>
      <c r="AM15">
        <f t="shared" si="1"/>
        <v>0</v>
      </c>
      <c r="AN15">
        <f t="shared" si="2"/>
        <v>0</v>
      </c>
    </row>
    <row r="16" spans="1:40" s="11" customFormat="1" x14ac:dyDescent="0.2">
      <c r="A16" s="11">
        <v>2</v>
      </c>
      <c r="B16" s="11" t="s">
        <v>1915</v>
      </c>
      <c r="C16" s="11">
        <v>0.97672194242477417</v>
      </c>
      <c r="G16" s="11" t="s">
        <v>1186</v>
      </c>
      <c r="H16" s="11" t="s">
        <v>1191</v>
      </c>
      <c r="I16" s="11">
        <v>23</v>
      </c>
      <c r="J16" s="11" t="s">
        <v>27</v>
      </c>
      <c r="K16" s="11">
        <v>2019</v>
      </c>
      <c r="L16" s="11" t="s">
        <v>40</v>
      </c>
      <c r="M16" s="11" t="s">
        <v>36</v>
      </c>
      <c r="N16" s="11">
        <v>65</v>
      </c>
      <c r="O16" s="11">
        <v>37</v>
      </c>
      <c r="P16" s="11" t="s">
        <v>41</v>
      </c>
      <c r="Q16" s="11" t="s">
        <v>38</v>
      </c>
      <c r="R16" s="11" t="s">
        <v>39</v>
      </c>
      <c r="S16" s="23">
        <v>34.539439999999999</v>
      </c>
      <c r="T16" s="23">
        <v>-118.76139000000001</v>
      </c>
      <c r="U16" s="11">
        <v>1110</v>
      </c>
      <c r="V16" s="24">
        <v>338.32799999999997</v>
      </c>
      <c r="W16" s="11" t="s">
        <v>31</v>
      </c>
      <c r="X16" s="11" t="s">
        <v>2325</v>
      </c>
      <c r="AJ16" s="41">
        <v>0</v>
      </c>
      <c r="AL16">
        <f t="shared" si="0"/>
        <v>78.137755393981934</v>
      </c>
      <c r="AM16">
        <f t="shared" si="1"/>
        <v>0</v>
      </c>
      <c r="AN16">
        <f t="shared" si="2"/>
        <v>0</v>
      </c>
    </row>
    <row r="17" spans="1:40" x14ac:dyDescent="0.2">
      <c r="A17">
        <v>2</v>
      </c>
      <c r="B17" t="s">
        <v>1916</v>
      </c>
      <c r="C17" s="2">
        <v>0</v>
      </c>
      <c r="D17" s="2">
        <v>0</v>
      </c>
      <c r="E17" s="2">
        <v>0</v>
      </c>
      <c r="G17" t="s">
        <v>1186</v>
      </c>
      <c r="H17" t="s">
        <v>1191</v>
      </c>
      <c r="I17">
        <v>23</v>
      </c>
      <c r="J17" t="s">
        <v>27</v>
      </c>
      <c r="K17">
        <v>2019</v>
      </c>
      <c r="L17" t="s">
        <v>40</v>
      </c>
      <c r="M17" t="s">
        <v>36</v>
      </c>
      <c r="N17">
        <v>67</v>
      </c>
      <c r="O17">
        <v>40</v>
      </c>
      <c r="P17" t="s">
        <v>41</v>
      </c>
      <c r="Q17" t="s">
        <v>38</v>
      </c>
      <c r="R17" t="s">
        <v>39</v>
      </c>
      <c r="S17" s="4">
        <v>34.539439999999999</v>
      </c>
      <c r="T17" s="4">
        <v>-118.76139000000001</v>
      </c>
      <c r="U17">
        <v>1110</v>
      </c>
      <c r="V17" s="6">
        <v>338.32799999999997</v>
      </c>
      <c r="W17" t="s">
        <v>31</v>
      </c>
      <c r="X17" t="s">
        <v>2325</v>
      </c>
      <c r="AJ17" s="41">
        <v>0</v>
      </c>
      <c r="AL17">
        <f t="shared" si="0"/>
        <v>0</v>
      </c>
      <c r="AM17">
        <f t="shared" si="1"/>
        <v>0</v>
      </c>
      <c r="AN17">
        <f t="shared" si="2"/>
        <v>0</v>
      </c>
    </row>
    <row r="18" spans="1:40" x14ac:dyDescent="0.2">
      <c r="A18">
        <v>2</v>
      </c>
      <c r="B18" t="s">
        <v>1917</v>
      </c>
      <c r="C18" s="2" t="s">
        <v>1895</v>
      </c>
      <c r="G18" t="s">
        <v>1186</v>
      </c>
      <c r="H18" t="s">
        <v>1191</v>
      </c>
      <c r="I18">
        <v>23</v>
      </c>
      <c r="J18" t="s">
        <v>27</v>
      </c>
      <c r="K18">
        <v>2019</v>
      </c>
      <c r="L18" t="s">
        <v>40</v>
      </c>
      <c r="M18" t="s">
        <v>36</v>
      </c>
      <c r="N18">
        <v>65</v>
      </c>
      <c r="O18">
        <v>55</v>
      </c>
      <c r="P18" t="s">
        <v>41</v>
      </c>
      <c r="Q18" t="s">
        <v>42</v>
      </c>
      <c r="R18" t="s">
        <v>39</v>
      </c>
      <c r="S18" s="4">
        <v>34.539439999999999</v>
      </c>
      <c r="T18" s="4">
        <v>-118.76139000000001</v>
      </c>
      <c r="U18">
        <v>1110</v>
      </c>
      <c r="V18" s="6">
        <v>338.32799999999997</v>
      </c>
      <c r="W18" t="s">
        <v>31</v>
      </c>
      <c r="X18" t="s">
        <v>2325</v>
      </c>
      <c r="AJ18" s="41">
        <v>0</v>
      </c>
      <c r="AL18" t="e">
        <f t="shared" si="0"/>
        <v>#VALUE!</v>
      </c>
      <c r="AM18">
        <f t="shared" si="1"/>
        <v>0</v>
      </c>
      <c r="AN18">
        <f t="shared" si="2"/>
        <v>0</v>
      </c>
    </row>
    <row r="19" spans="1:40" s="11" customFormat="1" x14ac:dyDescent="0.2">
      <c r="A19" s="11">
        <v>2</v>
      </c>
      <c r="B19" s="11" t="s">
        <v>1918</v>
      </c>
      <c r="C19" s="11">
        <v>0.13632661104202271</v>
      </c>
      <c r="F19" s="11" t="s">
        <v>1186</v>
      </c>
      <c r="G19" s="11" t="s">
        <v>1186</v>
      </c>
      <c r="H19" s="11" t="s">
        <v>1191</v>
      </c>
      <c r="I19" s="11">
        <v>23</v>
      </c>
      <c r="J19" s="11" t="s">
        <v>27</v>
      </c>
      <c r="K19" s="11">
        <v>2019</v>
      </c>
      <c r="L19" s="11" t="s">
        <v>33</v>
      </c>
      <c r="M19" s="11" t="s">
        <v>36</v>
      </c>
      <c r="N19" s="11">
        <v>93</v>
      </c>
      <c r="O19" s="11">
        <v>87</v>
      </c>
      <c r="P19" s="11" t="s">
        <v>37</v>
      </c>
      <c r="Q19" s="11" t="s">
        <v>42</v>
      </c>
      <c r="R19" s="11" t="s">
        <v>39</v>
      </c>
      <c r="S19" s="23">
        <v>34.510829999999999</v>
      </c>
      <c r="T19" s="23">
        <v>-118.76056</v>
      </c>
      <c r="U19" s="11">
        <v>1110</v>
      </c>
      <c r="V19" s="24">
        <v>338.32799999999997</v>
      </c>
      <c r="W19" s="11" t="s">
        <v>31</v>
      </c>
      <c r="X19" s="11" t="s">
        <v>2325</v>
      </c>
      <c r="AJ19" s="41">
        <v>0</v>
      </c>
      <c r="AL19">
        <f t="shared" si="0"/>
        <v>10.906128883361816</v>
      </c>
      <c r="AM19">
        <f t="shared" si="1"/>
        <v>0</v>
      </c>
      <c r="AN19">
        <f t="shared" si="2"/>
        <v>0</v>
      </c>
    </row>
    <row r="20" spans="1:40" x14ac:dyDescent="0.2">
      <c r="A20">
        <v>2</v>
      </c>
      <c r="B20" t="s">
        <v>1919</v>
      </c>
      <c r="C20" s="2">
        <v>0</v>
      </c>
      <c r="D20" s="2">
        <v>0</v>
      </c>
      <c r="E20" s="2">
        <v>0</v>
      </c>
      <c r="F20" t="s">
        <v>1186</v>
      </c>
      <c r="G20" t="s">
        <v>1186</v>
      </c>
      <c r="H20" t="s">
        <v>1191</v>
      </c>
      <c r="I20">
        <v>23</v>
      </c>
      <c r="J20" t="s">
        <v>27</v>
      </c>
      <c r="K20">
        <v>2019</v>
      </c>
      <c r="L20" t="s">
        <v>33</v>
      </c>
      <c r="M20" t="s">
        <v>36</v>
      </c>
      <c r="N20">
        <v>94</v>
      </c>
      <c r="O20" t="s">
        <v>43</v>
      </c>
      <c r="P20" t="s">
        <v>37</v>
      </c>
      <c r="Q20" t="s">
        <v>42</v>
      </c>
      <c r="R20" t="s">
        <v>39</v>
      </c>
      <c r="S20" s="5">
        <v>34.510829999999999</v>
      </c>
      <c r="T20" s="5">
        <v>-118.76056</v>
      </c>
      <c r="U20">
        <v>1110</v>
      </c>
      <c r="V20" s="7">
        <v>338.32799999999997</v>
      </c>
      <c r="W20" t="s">
        <v>31</v>
      </c>
      <c r="X20" t="s">
        <v>2325</v>
      </c>
      <c r="AJ20" s="41">
        <v>0</v>
      </c>
      <c r="AL20">
        <f t="shared" si="0"/>
        <v>0</v>
      </c>
      <c r="AM20">
        <f t="shared" si="1"/>
        <v>0</v>
      </c>
      <c r="AN20">
        <f t="shared" si="2"/>
        <v>0</v>
      </c>
    </row>
    <row r="21" spans="1:40" x14ac:dyDescent="0.2">
      <c r="A21">
        <v>2</v>
      </c>
      <c r="B21" t="s">
        <v>1920</v>
      </c>
      <c r="C21" s="2">
        <v>0</v>
      </c>
      <c r="D21" s="2">
        <v>0</v>
      </c>
      <c r="E21" s="2">
        <v>0</v>
      </c>
      <c r="F21" s="11" t="s">
        <v>1211</v>
      </c>
      <c r="G21" s="11" t="s">
        <v>1212</v>
      </c>
      <c r="H21" t="s">
        <v>1191</v>
      </c>
      <c r="I21">
        <v>23</v>
      </c>
      <c r="J21" t="s">
        <v>27</v>
      </c>
      <c r="K21">
        <v>2019</v>
      </c>
      <c r="L21" t="s">
        <v>33</v>
      </c>
      <c r="M21" t="s">
        <v>36</v>
      </c>
      <c r="N21">
        <v>72</v>
      </c>
      <c r="O21">
        <v>51</v>
      </c>
      <c r="P21" t="s">
        <v>37</v>
      </c>
      <c r="Q21" t="s">
        <v>38</v>
      </c>
      <c r="R21" t="s">
        <v>39</v>
      </c>
      <c r="S21" s="4">
        <v>34.474440000000001</v>
      </c>
      <c r="T21" s="4">
        <v>-118.76472</v>
      </c>
      <c r="U21">
        <v>1200</v>
      </c>
      <c r="V21" s="6">
        <v>365.76</v>
      </c>
      <c r="W21" t="s">
        <v>31</v>
      </c>
      <c r="X21" t="s">
        <v>2325</v>
      </c>
      <c r="AJ21" s="41">
        <v>0</v>
      </c>
      <c r="AL21">
        <f t="shared" si="0"/>
        <v>0</v>
      </c>
      <c r="AM21">
        <f t="shared" si="1"/>
        <v>0</v>
      </c>
      <c r="AN21">
        <f t="shared" si="2"/>
        <v>0</v>
      </c>
    </row>
    <row r="22" spans="1:40" x14ac:dyDescent="0.2">
      <c r="A22">
        <v>2</v>
      </c>
      <c r="B22" t="s">
        <v>1921</v>
      </c>
      <c r="C22" s="2">
        <v>0</v>
      </c>
      <c r="D22" s="2">
        <v>0</v>
      </c>
      <c r="F22" t="s">
        <v>1186</v>
      </c>
      <c r="G22" t="s">
        <v>1186</v>
      </c>
      <c r="H22" t="s">
        <v>1191</v>
      </c>
      <c r="I22">
        <v>23</v>
      </c>
      <c r="J22" t="s">
        <v>27</v>
      </c>
      <c r="K22">
        <v>2019</v>
      </c>
      <c r="L22" t="s">
        <v>33</v>
      </c>
      <c r="M22" t="s">
        <v>36</v>
      </c>
      <c r="N22">
        <v>90</v>
      </c>
      <c r="O22" t="s">
        <v>43</v>
      </c>
      <c r="P22" t="s">
        <v>37</v>
      </c>
      <c r="Q22" t="s">
        <v>38</v>
      </c>
      <c r="R22" t="s">
        <v>39</v>
      </c>
      <c r="S22" s="4">
        <v>34.474719999999998</v>
      </c>
      <c r="T22" s="4">
        <v>-118.76472</v>
      </c>
      <c r="U22">
        <v>1040</v>
      </c>
      <c r="V22" s="6">
        <v>316.99200000000002</v>
      </c>
      <c r="W22" t="s">
        <v>31</v>
      </c>
      <c r="X22" t="s">
        <v>2325</v>
      </c>
      <c r="AJ22" s="41">
        <v>0</v>
      </c>
      <c r="AL22">
        <f t="shared" si="0"/>
        <v>0</v>
      </c>
      <c r="AM22">
        <f t="shared" si="1"/>
        <v>0</v>
      </c>
      <c r="AN22">
        <f t="shared" si="2"/>
        <v>0</v>
      </c>
    </row>
    <row r="23" spans="1:40" x14ac:dyDescent="0.2">
      <c r="A23">
        <v>2</v>
      </c>
      <c r="B23" t="s">
        <v>1922</v>
      </c>
      <c r="C23" s="2">
        <v>0</v>
      </c>
      <c r="D23" s="2">
        <v>0</v>
      </c>
      <c r="E23" s="2">
        <v>0</v>
      </c>
      <c r="F23" s="11" t="s">
        <v>1191</v>
      </c>
      <c r="G23" s="11" t="s">
        <v>1212</v>
      </c>
      <c r="H23" t="s">
        <v>3032</v>
      </c>
      <c r="I23">
        <v>23</v>
      </c>
      <c r="J23" t="s">
        <v>27</v>
      </c>
      <c r="K23">
        <v>2019</v>
      </c>
      <c r="L23" t="s">
        <v>33</v>
      </c>
      <c r="M23" t="s">
        <v>36</v>
      </c>
      <c r="N23">
        <v>86</v>
      </c>
      <c r="O23">
        <v>83.5</v>
      </c>
      <c r="P23" t="s">
        <v>37</v>
      </c>
      <c r="Q23" t="s">
        <v>42</v>
      </c>
      <c r="R23" t="s">
        <v>39</v>
      </c>
      <c r="S23" s="4">
        <v>34.474440000000001</v>
      </c>
      <c r="T23" s="4">
        <v>-118.76472</v>
      </c>
      <c r="U23">
        <v>1090</v>
      </c>
      <c r="V23" s="6">
        <v>332.23200000000003</v>
      </c>
      <c r="W23" t="s">
        <v>31</v>
      </c>
      <c r="X23" t="s">
        <v>2325</v>
      </c>
      <c r="AJ23" s="41">
        <v>0</v>
      </c>
      <c r="AL23">
        <f t="shared" si="0"/>
        <v>0</v>
      </c>
      <c r="AM23">
        <f t="shared" si="1"/>
        <v>0</v>
      </c>
      <c r="AN23">
        <f t="shared" si="2"/>
        <v>0</v>
      </c>
    </row>
    <row r="24" spans="1:40" x14ac:dyDescent="0.2">
      <c r="A24">
        <v>2</v>
      </c>
      <c r="B24" t="s">
        <v>1923</v>
      </c>
      <c r="C24" s="2">
        <v>0.73301440477371216</v>
      </c>
      <c r="D24" s="2">
        <v>0.75716394186019897</v>
      </c>
      <c r="E24">
        <v>0.68445926904678345</v>
      </c>
      <c r="F24" s="3" t="s">
        <v>1191</v>
      </c>
      <c r="G24" t="s">
        <v>1186</v>
      </c>
      <c r="H24" t="s">
        <v>1191</v>
      </c>
      <c r="I24">
        <v>23</v>
      </c>
      <c r="J24" t="s">
        <v>27</v>
      </c>
      <c r="K24">
        <v>2019</v>
      </c>
      <c r="L24" t="s">
        <v>33</v>
      </c>
      <c r="M24" t="s">
        <v>36</v>
      </c>
      <c r="N24">
        <v>79</v>
      </c>
      <c r="O24">
        <v>74</v>
      </c>
      <c r="P24" t="s">
        <v>37</v>
      </c>
      <c r="Q24" t="s">
        <v>42</v>
      </c>
      <c r="R24" t="s">
        <v>39</v>
      </c>
      <c r="S24" s="4">
        <v>34.474440000000001</v>
      </c>
      <c r="T24" s="4">
        <v>-118.76472</v>
      </c>
      <c r="U24">
        <v>1090</v>
      </c>
      <c r="V24" s="6">
        <v>332.23200000000003</v>
      </c>
      <c r="W24" t="s">
        <v>31</v>
      </c>
      <c r="X24" t="s">
        <v>2325</v>
      </c>
      <c r="AJ24" s="41">
        <v>0</v>
      </c>
      <c r="AL24">
        <f t="shared" si="0"/>
        <v>58.641152381896973</v>
      </c>
      <c r="AM24">
        <f t="shared" si="1"/>
        <v>60.573115348815918</v>
      </c>
      <c r="AN24">
        <f t="shared" si="2"/>
        <v>54.756741523742676</v>
      </c>
    </row>
    <row r="25" spans="1:40" s="2" customFormat="1" x14ac:dyDescent="0.2">
      <c r="A25" s="2">
        <v>3</v>
      </c>
      <c r="B25" s="2" t="s">
        <v>44</v>
      </c>
      <c r="C25" s="2">
        <v>0</v>
      </c>
      <c r="D25" s="2">
        <v>0</v>
      </c>
      <c r="E25" s="2">
        <v>0</v>
      </c>
      <c r="F25" s="2" t="s">
        <v>1186</v>
      </c>
      <c r="G25" s="2" t="s">
        <v>1186</v>
      </c>
      <c r="H25" s="2" t="s">
        <v>1191</v>
      </c>
      <c r="I25" s="2">
        <v>19</v>
      </c>
      <c r="J25" s="2" t="s">
        <v>45</v>
      </c>
      <c r="K25" s="2">
        <v>2019</v>
      </c>
      <c r="L25" s="2" t="s">
        <v>32</v>
      </c>
      <c r="M25" s="2" t="s">
        <v>46</v>
      </c>
      <c r="N25" s="2">
        <v>33</v>
      </c>
      <c r="O25" s="2">
        <v>2.5</v>
      </c>
      <c r="P25" s="2" t="s">
        <v>30</v>
      </c>
      <c r="Q25" s="2" t="s">
        <v>38</v>
      </c>
      <c r="R25" s="2" t="s">
        <v>39</v>
      </c>
      <c r="S25" s="5">
        <v>34.692929999999997</v>
      </c>
      <c r="T25" s="5">
        <v>-120.04261</v>
      </c>
      <c r="U25" s="2">
        <v>1095</v>
      </c>
      <c r="V25" s="7">
        <v>333.75599999999997</v>
      </c>
      <c r="W25" s="2" t="s">
        <v>2324</v>
      </c>
      <c r="X25" s="2" t="s">
        <v>2326</v>
      </c>
      <c r="Y25" s="2" t="s">
        <v>47</v>
      </c>
      <c r="AA25" s="2" t="s">
        <v>48</v>
      </c>
      <c r="AB25" s="2">
        <v>26.8</v>
      </c>
      <c r="AC25" s="2">
        <v>10.8</v>
      </c>
      <c r="AD25" s="2">
        <v>18.7</v>
      </c>
      <c r="AE25" s="2">
        <v>72</v>
      </c>
      <c r="AF25" s="2">
        <v>96</v>
      </c>
      <c r="AG25" s="2">
        <v>49</v>
      </c>
      <c r="AH25" s="2">
        <v>38.1</v>
      </c>
      <c r="AI25" s="2">
        <v>6.4</v>
      </c>
      <c r="AJ25" s="41">
        <v>0</v>
      </c>
      <c r="AL25">
        <f t="shared" si="0"/>
        <v>0</v>
      </c>
      <c r="AM25">
        <f t="shared" si="1"/>
        <v>0</v>
      </c>
      <c r="AN25">
        <f t="shared" si="2"/>
        <v>0</v>
      </c>
    </row>
    <row r="26" spans="1:40" s="2" customFormat="1" x14ac:dyDescent="0.2">
      <c r="A26" s="2">
        <v>3</v>
      </c>
      <c r="B26" s="2" t="s">
        <v>49</v>
      </c>
      <c r="C26" s="2">
        <v>0</v>
      </c>
      <c r="D26" s="2">
        <v>0</v>
      </c>
      <c r="E26" s="2">
        <v>0</v>
      </c>
      <c r="F26" s="2" t="s">
        <v>1186</v>
      </c>
      <c r="G26" s="2" t="s">
        <v>1186</v>
      </c>
      <c r="H26" s="2" t="s">
        <v>1191</v>
      </c>
      <c r="I26" s="2">
        <v>19</v>
      </c>
      <c r="J26" s="2" t="s">
        <v>45</v>
      </c>
      <c r="K26" s="2">
        <v>2019</v>
      </c>
      <c r="L26" s="2" t="s">
        <v>32</v>
      </c>
      <c r="M26" s="2" t="s">
        <v>46</v>
      </c>
      <c r="N26" s="2">
        <v>32</v>
      </c>
      <c r="O26" s="2">
        <v>2.5</v>
      </c>
      <c r="P26" s="2" t="s">
        <v>30</v>
      </c>
      <c r="Q26" s="2" t="s">
        <v>38</v>
      </c>
      <c r="R26" s="2" t="s">
        <v>39</v>
      </c>
      <c r="S26" s="5">
        <v>34.692929999999997</v>
      </c>
      <c r="T26" s="5">
        <v>-120.04261</v>
      </c>
      <c r="U26" s="2">
        <v>1095</v>
      </c>
      <c r="V26" s="7">
        <v>333.75599999999997</v>
      </c>
      <c r="W26" s="2" t="s">
        <v>2324</v>
      </c>
      <c r="X26" s="2" t="s">
        <v>2326</v>
      </c>
      <c r="Y26" s="2" t="s">
        <v>47</v>
      </c>
      <c r="Z26" s="2" t="s">
        <v>50</v>
      </c>
      <c r="AA26" s="2" t="s">
        <v>51</v>
      </c>
      <c r="AB26" s="2">
        <v>26.8</v>
      </c>
      <c r="AC26" s="2">
        <v>10.8</v>
      </c>
      <c r="AD26" s="2">
        <v>18.7</v>
      </c>
      <c r="AE26" s="2">
        <v>72</v>
      </c>
      <c r="AF26" s="2">
        <v>96</v>
      </c>
      <c r="AG26" s="2">
        <v>49</v>
      </c>
      <c r="AH26" s="2">
        <v>38.1</v>
      </c>
      <c r="AI26" s="2">
        <v>6.4</v>
      </c>
      <c r="AJ26" s="41">
        <v>0</v>
      </c>
      <c r="AL26">
        <f t="shared" si="0"/>
        <v>0</v>
      </c>
      <c r="AM26">
        <f t="shared" si="1"/>
        <v>0</v>
      </c>
      <c r="AN26">
        <f t="shared" si="2"/>
        <v>0</v>
      </c>
    </row>
    <row r="27" spans="1:40" s="2" customFormat="1" x14ac:dyDescent="0.2">
      <c r="A27" s="2">
        <v>3</v>
      </c>
      <c r="B27" s="2" t="s">
        <v>52</v>
      </c>
      <c r="C27" s="2">
        <v>3.7074759602546692E-2</v>
      </c>
      <c r="D27" s="2">
        <v>7.9875066876411438E-2</v>
      </c>
      <c r="E27" s="2">
        <v>2.2782031446695328E-2</v>
      </c>
      <c r="F27" s="2" t="s">
        <v>1186</v>
      </c>
      <c r="G27" s="2" t="s">
        <v>1186</v>
      </c>
      <c r="H27" s="2" t="s">
        <v>1191</v>
      </c>
      <c r="I27" s="2">
        <v>19</v>
      </c>
      <c r="J27" s="2" t="s">
        <v>45</v>
      </c>
      <c r="K27" s="2">
        <v>2019</v>
      </c>
      <c r="L27" s="2" t="s">
        <v>32</v>
      </c>
      <c r="M27" s="2" t="s">
        <v>46</v>
      </c>
      <c r="N27" s="2">
        <v>31.5</v>
      </c>
      <c r="O27" s="2">
        <v>3</v>
      </c>
      <c r="P27" s="2" t="s">
        <v>30</v>
      </c>
      <c r="Q27" s="2" t="s">
        <v>38</v>
      </c>
      <c r="R27" s="2" t="s">
        <v>39</v>
      </c>
      <c r="S27" s="5">
        <v>34.692929999999997</v>
      </c>
      <c r="T27" s="5">
        <v>-120.04261</v>
      </c>
      <c r="U27" s="2">
        <v>1095</v>
      </c>
      <c r="V27" s="7">
        <v>333.75599999999997</v>
      </c>
      <c r="W27" s="2" t="s">
        <v>2324</v>
      </c>
      <c r="X27" s="2" t="s">
        <v>2326</v>
      </c>
      <c r="Y27" s="2" t="s">
        <v>47</v>
      </c>
      <c r="AA27" s="2" t="s">
        <v>53</v>
      </c>
      <c r="AB27" s="2">
        <v>26.8</v>
      </c>
      <c r="AC27" s="2">
        <v>10.8</v>
      </c>
      <c r="AD27" s="2">
        <v>18.7</v>
      </c>
      <c r="AE27" s="2">
        <v>72</v>
      </c>
      <c r="AF27" s="2">
        <v>96</v>
      </c>
      <c r="AG27" s="2">
        <v>49</v>
      </c>
      <c r="AH27" s="2">
        <v>38.1</v>
      </c>
      <c r="AI27" s="2">
        <v>6.4</v>
      </c>
      <c r="AJ27" s="41">
        <v>0</v>
      </c>
      <c r="AL27">
        <f t="shared" si="0"/>
        <v>2.9659807682037354</v>
      </c>
      <c r="AM27">
        <f t="shared" si="1"/>
        <v>6.390005350112915</v>
      </c>
      <c r="AN27">
        <f t="shared" si="2"/>
        <v>1.8225625157356262</v>
      </c>
    </row>
    <row r="28" spans="1:40" s="11" customFormat="1" x14ac:dyDescent="0.2">
      <c r="A28" s="11">
        <v>3</v>
      </c>
      <c r="B28" s="11" t="s">
        <v>54</v>
      </c>
      <c r="F28" s="11" t="s">
        <v>1191</v>
      </c>
      <c r="G28" s="11" t="s">
        <v>1191</v>
      </c>
      <c r="H28" s="11" t="s">
        <v>1191</v>
      </c>
      <c r="I28" s="11">
        <v>19</v>
      </c>
      <c r="J28" s="11" t="s">
        <v>45</v>
      </c>
      <c r="K28" s="11">
        <v>2019</v>
      </c>
      <c r="L28" s="11" t="s">
        <v>55</v>
      </c>
      <c r="M28" s="11" t="s">
        <v>46</v>
      </c>
      <c r="S28" s="23">
        <v>34.693049999999999</v>
      </c>
      <c r="T28" s="23">
        <v>-120.04276</v>
      </c>
      <c r="U28" s="11">
        <v>1097</v>
      </c>
      <c r="V28" s="24">
        <v>334.36559999999997</v>
      </c>
      <c r="W28" s="11" t="s">
        <v>2324</v>
      </c>
      <c r="X28" s="11" t="s">
        <v>2327</v>
      </c>
      <c r="Y28" s="11" t="s">
        <v>56</v>
      </c>
      <c r="Z28" s="11" t="s">
        <v>740</v>
      </c>
      <c r="AB28" s="11">
        <v>26.8</v>
      </c>
      <c r="AC28" s="11">
        <v>10.8</v>
      </c>
      <c r="AD28" s="11">
        <v>18.7</v>
      </c>
      <c r="AE28" s="11">
        <v>72</v>
      </c>
      <c r="AF28" s="11">
        <v>96</v>
      </c>
      <c r="AG28" s="11">
        <v>49</v>
      </c>
      <c r="AH28" s="11">
        <v>38.1</v>
      </c>
      <c r="AI28" s="11">
        <v>6.4</v>
      </c>
      <c r="AJ28" s="41">
        <v>0</v>
      </c>
      <c r="AL28">
        <f t="shared" si="0"/>
        <v>0</v>
      </c>
      <c r="AM28">
        <f t="shared" si="1"/>
        <v>0</v>
      </c>
      <c r="AN28">
        <f t="shared" si="2"/>
        <v>0</v>
      </c>
    </row>
    <row r="29" spans="1:40" s="2" customFormat="1" x14ac:dyDescent="0.2">
      <c r="A29" s="2">
        <v>3</v>
      </c>
      <c r="B29" s="2" t="s">
        <v>57</v>
      </c>
      <c r="C29" s="2">
        <v>3.0813232064247131E-2</v>
      </c>
      <c r="D29" s="2">
        <v>0</v>
      </c>
      <c r="E29" s="2">
        <v>0</v>
      </c>
      <c r="F29" s="2" t="s">
        <v>1186</v>
      </c>
      <c r="G29" s="2" t="s">
        <v>1186</v>
      </c>
      <c r="H29" s="2" t="s">
        <v>1191</v>
      </c>
      <c r="I29" s="2">
        <v>19</v>
      </c>
      <c r="J29" s="2" t="s">
        <v>45</v>
      </c>
      <c r="K29" s="2">
        <v>2019</v>
      </c>
      <c r="L29" s="2" t="s">
        <v>33</v>
      </c>
      <c r="M29" s="2" t="s">
        <v>46</v>
      </c>
      <c r="N29" s="2">
        <v>83</v>
      </c>
      <c r="O29" s="2" t="s">
        <v>43</v>
      </c>
      <c r="P29" s="2" t="s">
        <v>30</v>
      </c>
      <c r="Q29" s="2" t="s">
        <v>38</v>
      </c>
      <c r="R29" s="2" t="s">
        <v>39</v>
      </c>
      <c r="S29" s="5">
        <v>34.693049999999999</v>
      </c>
      <c r="T29" s="5">
        <v>-120.04276</v>
      </c>
      <c r="U29" s="2">
        <v>1097</v>
      </c>
      <c r="V29" s="7">
        <v>0</v>
      </c>
      <c r="W29" s="2" t="s">
        <v>2329</v>
      </c>
      <c r="X29" s="2" t="s">
        <v>2328</v>
      </c>
      <c r="Y29" s="2" t="s">
        <v>56</v>
      </c>
      <c r="AA29" s="2" t="s">
        <v>58</v>
      </c>
      <c r="AB29" s="2">
        <v>26.8</v>
      </c>
      <c r="AC29" s="2">
        <v>10.8</v>
      </c>
      <c r="AD29" s="2">
        <v>18.7</v>
      </c>
      <c r="AE29" s="2">
        <v>72</v>
      </c>
      <c r="AF29" s="2">
        <v>96</v>
      </c>
      <c r="AG29" s="2">
        <v>49</v>
      </c>
      <c r="AH29" s="2">
        <v>38.1</v>
      </c>
      <c r="AI29" s="2">
        <v>6.4</v>
      </c>
      <c r="AJ29" s="41">
        <v>0</v>
      </c>
      <c r="AL29">
        <f t="shared" si="0"/>
        <v>2.4650585651397705</v>
      </c>
      <c r="AM29">
        <f t="shared" si="1"/>
        <v>0</v>
      </c>
      <c r="AN29">
        <f t="shared" si="2"/>
        <v>0</v>
      </c>
    </row>
    <row r="30" spans="1:40" s="11" customFormat="1" x14ac:dyDescent="0.2">
      <c r="A30" s="11">
        <v>3</v>
      </c>
      <c r="B30" s="11" t="s">
        <v>59</v>
      </c>
      <c r="F30" s="11" t="s">
        <v>1191</v>
      </c>
      <c r="G30" s="11" t="s">
        <v>1191</v>
      </c>
      <c r="H30" s="11" t="s">
        <v>1191</v>
      </c>
      <c r="I30" s="11">
        <v>19</v>
      </c>
      <c r="J30" s="11" t="s">
        <v>45</v>
      </c>
      <c r="K30" s="11">
        <v>2019</v>
      </c>
      <c r="L30" s="11" t="s">
        <v>55</v>
      </c>
      <c r="M30" s="11" t="s">
        <v>46</v>
      </c>
      <c r="S30" s="23">
        <v>34.693280000000001</v>
      </c>
      <c r="T30" s="23">
        <v>-120.03928999999999</v>
      </c>
      <c r="U30" s="11">
        <v>1086</v>
      </c>
      <c r="V30" s="24">
        <v>331.01280000000003</v>
      </c>
      <c r="W30" s="11" t="s">
        <v>2255</v>
      </c>
      <c r="X30" s="11" t="s">
        <v>2330</v>
      </c>
      <c r="Y30" s="11" t="s">
        <v>61</v>
      </c>
      <c r="Z30" s="11" t="s">
        <v>740</v>
      </c>
      <c r="AB30" s="11">
        <v>26.8</v>
      </c>
      <c r="AC30" s="11">
        <v>10.8</v>
      </c>
      <c r="AD30" s="11">
        <v>16.8</v>
      </c>
      <c r="AE30" s="11">
        <v>78</v>
      </c>
      <c r="AF30" s="11">
        <v>96</v>
      </c>
      <c r="AG30" s="11">
        <v>49</v>
      </c>
      <c r="AH30" s="11">
        <v>38.1</v>
      </c>
      <c r="AI30" s="11">
        <v>6.4</v>
      </c>
      <c r="AJ30" s="41">
        <v>0</v>
      </c>
      <c r="AL30">
        <f t="shared" si="0"/>
        <v>0</v>
      </c>
      <c r="AM30">
        <f t="shared" si="1"/>
        <v>0</v>
      </c>
      <c r="AN30">
        <f t="shared" si="2"/>
        <v>0</v>
      </c>
    </row>
    <row r="31" spans="1:40" s="11" customFormat="1" x14ac:dyDescent="0.2">
      <c r="A31" s="11">
        <v>3</v>
      </c>
      <c r="B31" s="11" t="s">
        <v>62</v>
      </c>
      <c r="F31" s="11" t="s">
        <v>1191</v>
      </c>
      <c r="G31" s="11" t="s">
        <v>1191</v>
      </c>
      <c r="H31" s="11" t="s">
        <v>1191</v>
      </c>
      <c r="I31" s="11">
        <v>19</v>
      </c>
      <c r="J31" s="11" t="s">
        <v>45</v>
      </c>
      <c r="K31" s="11">
        <v>2019</v>
      </c>
      <c r="L31" s="11" t="s">
        <v>55</v>
      </c>
      <c r="M31" s="11" t="s">
        <v>46</v>
      </c>
      <c r="S31" s="23">
        <v>34.693309999999997</v>
      </c>
      <c r="T31" s="23">
        <v>-120.03901999999999</v>
      </c>
      <c r="U31" s="11">
        <v>1082</v>
      </c>
      <c r="V31" s="24">
        <v>329.79360000000003</v>
      </c>
      <c r="W31" s="11" t="s">
        <v>2255</v>
      </c>
      <c r="X31" s="11" t="s">
        <v>2330</v>
      </c>
      <c r="Y31" s="11" t="s">
        <v>63</v>
      </c>
      <c r="Z31" s="11" t="s">
        <v>740</v>
      </c>
      <c r="AB31" s="11">
        <v>26.8</v>
      </c>
      <c r="AC31" s="11">
        <v>10.8</v>
      </c>
      <c r="AD31" s="11">
        <v>16.8</v>
      </c>
      <c r="AE31" s="11">
        <v>78</v>
      </c>
      <c r="AF31" s="11">
        <v>96</v>
      </c>
      <c r="AG31" s="11">
        <v>49</v>
      </c>
      <c r="AH31" s="11">
        <v>38.1</v>
      </c>
      <c r="AI31" s="11">
        <v>6.4</v>
      </c>
      <c r="AJ31" s="41">
        <v>0</v>
      </c>
      <c r="AL31">
        <f t="shared" si="0"/>
        <v>0</v>
      </c>
      <c r="AM31">
        <f t="shared" si="1"/>
        <v>0</v>
      </c>
      <c r="AN31">
        <f t="shared" si="2"/>
        <v>0</v>
      </c>
    </row>
    <row r="32" spans="1:40" s="11" customFormat="1" x14ac:dyDescent="0.2">
      <c r="A32" s="11">
        <v>3</v>
      </c>
      <c r="B32" s="11" t="s">
        <v>64</v>
      </c>
      <c r="F32" s="11" t="s">
        <v>1191</v>
      </c>
      <c r="G32" s="11" t="s">
        <v>1191</v>
      </c>
      <c r="H32" s="11" t="s">
        <v>1191</v>
      </c>
      <c r="I32" s="11">
        <v>19</v>
      </c>
      <c r="J32" s="11" t="s">
        <v>45</v>
      </c>
      <c r="K32" s="11">
        <v>2019</v>
      </c>
      <c r="L32" s="11" t="s">
        <v>55</v>
      </c>
      <c r="M32" s="11" t="s">
        <v>46</v>
      </c>
      <c r="S32" s="23">
        <v>34.693309999999997</v>
      </c>
      <c r="T32" s="23">
        <v>-120.03901999999999</v>
      </c>
      <c r="U32" s="11">
        <v>1082</v>
      </c>
      <c r="V32" s="24">
        <v>329.79360000000003</v>
      </c>
      <c r="W32" s="11" t="s">
        <v>2255</v>
      </c>
      <c r="X32" s="11" t="s">
        <v>2330</v>
      </c>
      <c r="Y32" s="11" t="s">
        <v>65</v>
      </c>
      <c r="Z32" s="11" t="s">
        <v>740</v>
      </c>
      <c r="AB32" s="11">
        <v>26.8</v>
      </c>
      <c r="AC32" s="11">
        <v>10.8</v>
      </c>
      <c r="AD32" s="11">
        <v>16.8</v>
      </c>
      <c r="AE32" s="11">
        <v>78</v>
      </c>
      <c r="AF32" s="11">
        <v>96</v>
      </c>
      <c r="AG32" s="11">
        <v>49</v>
      </c>
      <c r="AH32" s="11">
        <v>38.1</v>
      </c>
      <c r="AI32" s="11">
        <v>6.4</v>
      </c>
      <c r="AJ32" s="41">
        <v>0</v>
      </c>
      <c r="AL32">
        <f t="shared" si="0"/>
        <v>0</v>
      </c>
      <c r="AM32">
        <f t="shared" si="1"/>
        <v>0</v>
      </c>
      <c r="AN32">
        <f t="shared" si="2"/>
        <v>0</v>
      </c>
    </row>
    <row r="33" spans="1:40" s="2" customFormat="1" x14ac:dyDescent="0.2">
      <c r="A33" s="2">
        <v>3</v>
      </c>
      <c r="B33" s="2" t="s">
        <v>66</v>
      </c>
      <c r="C33">
        <v>0.34310856461524963</v>
      </c>
      <c r="D33">
        <v>0.56783193349838257</v>
      </c>
      <c r="E33">
        <v>0.23520174622535706</v>
      </c>
      <c r="F33" s="2" t="s">
        <v>1186</v>
      </c>
      <c r="G33" s="2" t="s">
        <v>1186</v>
      </c>
      <c r="H33" s="2" t="s">
        <v>1191</v>
      </c>
      <c r="I33" s="2">
        <v>19</v>
      </c>
      <c r="J33" s="2" t="s">
        <v>45</v>
      </c>
      <c r="K33" s="2">
        <v>2019</v>
      </c>
      <c r="L33" s="2" t="s">
        <v>32</v>
      </c>
      <c r="M33" s="2" t="s">
        <v>46</v>
      </c>
      <c r="N33" s="2">
        <v>32.5</v>
      </c>
      <c r="O33" s="2">
        <v>2</v>
      </c>
      <c r="P33" s="2" t="s">
        <v>30</v>
      </c>
      <c r="Q33" s="2" t="s">
        <v>38</v>
      </c>
      <c r="R33" s="2" t="s">
        <v>39</v>
      </c>
      <c r="S33" s="5">
        <v>34.693309999999997</v>
      </c>
      <c r="T33" s="5">
        <v>-120.03914</v>
      </c>
      <c r="U33" s="2">
        <v>1079</v>
      </c>
      <c r="V33" s="7">
        <v>328.87920000000003</v>
      </c>
      <c r="W33" s="2" t="s">
        <v>2255</v>
      </c>
      <c r="X33" s="2" t="s">
        <v>2330</v>
      </c>
      <c r="Y33" s="2" t="s">
        <v>67</v>
      </c>
      <c r="AA33" s="2" t="s">
        <v>68</v>
      </c>
      <c r="AB33" s="2">
        <v>26.8</v>
      </c>
      <c r="AC33" s="2">
        <v>10.8</v>
      </c>
      <c r="AD33" s="2">
        <v>16.8</v>
      </c>
      <c r="AE33" s="2">
        <v>78</v>
      </c>
      <c r="AF33" s="2">
        <v>96</v>
      </c>
      <c r="AG33" s="2">
        <v>49</v>
      </c>
      <c r="AH33" s="2">
        <v>38.1</v>
      </c>
      <c r="AI33" s="2">
        <v>6.4</v>
      </c>
      <c r="AJ33" s="41">
        <v>0</v>
      </c>
      <c r="AL33">
        <f t="shared" si="0"/>
        <v>27.448685169219971</v>
      </c>
      <c r="AM33">
        <f t="shared" si="1"/>
        <v>45.426554679870605</v>
      </c>
      <c r="AN33">
        <f t="shared" si="2"/>
        <v>18.816139698028564</v>
      </c>
    </row>
    <row r="34" spans="1:40" s="2" customFormat="1" x14ac:dyDescent="0.2">
      <c r="A34" s="2">
        <v>3</v>
      </c>
      <c r="B34" s="2" t="s">
        <v>69</v>
      </c>
      <c r="C34" s="2">
        <v>0.14121323823928833</v>
      </c>
      <c r="D34" s="2">
        <v>0.23871622979640961</v>
      </c>
      <c r="E34" s="27">
        <v>6.8795999999999996E-2</v>
      </c>
      <c r="F34" s="2" t="s">
        <v>1186</v>
      </c>
      <c r="G34" s="2" t="s">
        <v>1186</v>
      </c>
      <c r="H34" s="2" t="s">
        <v>1191</v>
      </c>
      <c r="I34" s="2">
        <v>19</v>
      </c>
      <c r="J34" s="2" t="s">
        <v>45</v>
      </c>
      <c r="K34" s="2">
        <v>2019</v>
      </c>
      <c r="L34" s="2" t="s">
        <v>33</v>
      </c>
      <c r="M34" s="2" t="s">
        <v>46</v>
      </c>
      <c r="N34" s="2">
        <v>78</v>
      </c>
      <c r="O34" s="2">
        <v>60.5</v>
      </c>
      <c r="P34" s="2" t="s">
        <v>30</v>
      </c>
      <c r="Q34" s="2" t="s">
        <v>38</v>
      </c>
      <c r="R34" s="2" t="s">
        <v>39</v>
      </c>
      <c r="S34" s="5">
        <v>34.69332</v>
      </c>
      <c r="T34" s="5">
        <v>-120.03903</v>
      </c>
      <c r="U34" s="2">
        <v>1076</v>
      </c>
      <c r="V34" s="7">
        <v>327.96480000000003</v>
      </c>
      <c r="W34" s="2" t="s">
        <v>2255</v>
      </c>
      <c r="X34" s="2" t="s">
        <v>2330</v>
      </c>
      <c r="Y34" s="2" t="s">
        <v>70</v>
      </c>
      <c r="AA34" s="2" t="s">
        <v>71</v>
      </c>
      <c r="AB34" s="2">
        <v>26.8</v>
      </c>
      <c r="AC34" s="2">
        <v>10.8</v>
      </c>
      <c r="AD34" s="2">
        <v>16.8</v>
      </c>
      <c r="AE34" s="2">
        <v>78</v>
      </c>
      <c r="AF34" s="2">
        <v>96</v>
      </c>
      <c r="AG34" s="2">
        <v>49</v>
      </c>
      <c r="AH34" s="2">
        <v>38.1</v>
      </c>
      <c r="AI34" s="2">
        <v>6.4</v>
      </c>
      <c r="AJ34" s="41">
        <v>0</v>
      </c>
      <c r="AL34">
        <f t="shared" si="0"/>
        <v>11.297059059143066</v>
      </c>
      <c r="AM34">
        <f t="shared" si="1"/>
        <v>19.097298383712769</v>
      </c>
      <c r="AN34">
        <f t="shared" si="2"/>
        <v>5.5036799999999992</v>
      </c>
    </row>
    <row r="35" spans="1:40" s="2" customFormat="1" x14ac:dyDescent="0.2">
      <c r="A35" s="2">
        <v>3</v>
      </c>
      <c r="B35" s="2" t="s">
        <v>72</v>
      </c>
      <c r="C35" s="2">
        <v>0</v>
      </c>
      <c r="D35" s="2">
        <v>0</v>
      </c>
      <c r="E35" s="2">
        <v>0</v>
      </c>
      <c r="F35" s="2" t="s">
        <v>1186</v>
      </c>
      <c r="G35" s="2" t="s">
        <v>1186</v>
      </c>
      <c r="H35" s="2" t="s">
        <v>1191</v>
      </c>
      <c r="I35" s="2">
        <v>19</v>
      </c>
      <c r="J35" s="2" t="s">
        <v>45</v>
      </c>
      <c r="K35" s="2">
        <v>2019</v>
      </c>
      <c r="L35" s="2" t="s">
        <v>33</v>
      </c>
      <c r="M35" s="2" t="s">
        <v>46</v>
      </c>
      <c r="N35" s="2">
        <v>101</v>
      </c>
      <c r="O35" s="2" t="s">
        <v>43</v>
      </c>
      <c r="P35" s="2" t="s">
        <v>30</v>
      </c>
      <c r="Q35" s="2" t="s">
        <v>38</v>
      </c>
      <c r="R35" s="2" t="s">
        <v>39</v>
      </c>
      <c r="S35" s="5">
        <v>34.693390000000001</v>
      </c>
      <c r="T35" s="5">
        <v>-120.0391</v>
      </c>
      <c r="U35" s="2">
        <v>1078</v>
      </c>
      <c r="V35" s="7">
        <v>328.57440000000003</v>
      </c>
      <c r="W35" s="2" t="s">
        <v>2255</v>
      </c>
      <c r="X35" s="2" t="s">
        <v>2330</v>
      </c>
      <c r="Y35" s="2" t="s">
        <v>73</v>
      </c>
      <c r="AA35" s="2" t="s">
        <v>74</v>
      </c>
      <c r="AB35" s="2">
        <v>26.8</v>
      </c>
      <c r="AC35" s="2">
        <v>10.8</v>
      </c>
      <c r="AD35" s="2">
        <v>16.8</v>
      </c>
      <c r="AE35" s="2">
        <v>78</v>
      </c>
      <c r="AF35" s="2">
        <v>96</v>
      </c>
      <c r="AG35" s="2">
        <v>49</v>
      </c>
      <c r="AH35" s="2">
        <v>38.1</v>
      </c>
      <c r="AI35" s="2">
        <v>6.4</v>
      </c>
      <c r="AJ35" s="41">
        <v>0</v>
      </c>
      <c r="AL35">
        <f t="shared" si="0"/>
        <v>0</v>
      </c>
      <c r="AM35">
        <f t="shared" si="1"/>
        <v>0</v>
      </c>
      <c r="AN35">
        <f t="shared" si="2"/>
        <v>0</v>
      </c>
    </row>
    <row r="36" spans="1:40" s="2" customFormat="1" x14ac:dyDescent="0.2">
      <c r="A36" s="2">
        <v>3</v>
      </c>
      <c r="B36" s="2" t="s">
        <v>75</v>
      </c>
      <c r="C36" s="2">
        <v>0.1965991557</v>
      </c>
      <c r="D36" s="2">
        <v>1.3161423619999999E-2</v>
      </c>
      <c r="E36" s="2">
        <v>0.19588579240000001</v>
      </c>
      <c r="F36" s="2" t="s">
        <v>1186</v>
      </c>
      <c r="G36" s="2" t="s">
        <v>1186</v>
      </c>
      <c r="H36" s="2" t="s">
        <v>1191</v>
      </c>
      <c r="I36" s="2">
        <v>19</v>
      </c>
      <c r="J36" s="2" t="s">
        <v>45</v>
      </c>
      <c r="K36" s="2">
        <v>2019</v>
      </c>
      <c r="L36" s="2" t="s">
        <v>32</v>
      </c>
      <c r="M36" s="2" t="s">
        <v>46</v>
      </c>
      <c r="N36" s="2">
        <v>29</v>
      </c>
      <c r="O36" s="2">
        <v>7</v>
      </c>
      <c r="P36" s="2" t="s">
        <v>37</v>
      </c>
      <c r="Q36" s="2" t="s">
        <v>38</v>
      </c>
      <c r="R36" s="2" t="s">
        <v>39</v>
      </c>
      <c r="S36" s="5">
        <v>34.693330000000003</v>
      </c>
      <c r="T36" s="5">
        <v>120.0391</v>
      </c>
      <c r="U36" s="2">
        <v>1079</v>
      </c>
      <c r="V36" s="7">
        <v>328.87920000000003</v>
      </c>
      <c r="W36" s="2" t="s">
        <v>2255</v>
      </c>
      <c r="X36" s="2" t="s">
        <v>2330</v>
      </c>
      <c r="Y36" s="2" t="s">
        <v>76</v>
      </c>
      <c r="AA36" s="2" t="s">
        <v>77</v>
      </c>
      <c r="AB36" s="2">
        <v>26.8</v>
      </c>
      <c r="AC36" s="2">
        <v>10.8</v>
      </c>
      <c r="AD36" s="2">
        <v>16.8</v>
      </c>
      <c r="AE36" s="2">
        <v>78</v>
      </c>
      <c r="AF36" s="2">
        <v>96</v>
      </c>
      <c r="AG36" s="2">
        <v>49</v>
      </c>
      <c r="AH36" s="2">
        <v>38.1</v>
      </c>
      <c r="AI36" s="2">
        <v>6.4</v>
      </c>
      <c r="AJ36" s="41">
        <v>0</v>
      </c>
      <c r="AL36">
        <f t="shared" si="0"/>
        <v>15.727932456</v>
      </c>
      <c r="AM36">
        <f t="shared" si="1"/>
        <v>1.0529138895999999</v>
      </c>
      <c r="AN36">
        <f t="shared" si="2"/>
        <v>15.670863392000001</v>
      </c>
    </row>
    <row r="37" spans="1:40" s="2" customFormat="1" x14ac:dyDescent="0.2">
      <c r="A37" s="2">
        <v>3</v>
      </c>
      <c r="B37" s="2" t="s">
        <v>78</v>
      </c>
      <c r="C37" s="2">
        <v>1.127920628</v>
      </c>
      <c r="D37" s="2">
        <v>0.20158335569999999</v>
      </c>
      <c r="E37" s="2">
        <v>2.082890511</v>
      </c>
      <c r="F37" s="2" t="s">
        <v>1186</v>
      </c>
      <c r="G37" s="2" t="s">
        <v>1186</v>
      </c>
      <c r="H37" s="2" t="s">
        <v>1191</v>
      </c>
      <c r="I37" s="2">
        <v>19</v>
      </c>
      <c r="J37" s="2" t="s">
        <v>45</v>
      </c>
      <c r="K37" s="2">
        <v>2019</v>
      </c>
      <c r="L37" s="2" t="s">
        <v>33</v>
      </c>
      <c r="M37" s="2" t="s">
        <v>46</v>
      </c>
      <c r="N37" s="2">
        <v>93</v>
      </c>
      <c r="O37" s="2" t="s">
        <v>43</v>
      </c>
      <c r="P37" s="2" t="s">
        <v>30</v>
      </c>
      <c r="Q37" s="2" t="s">
        <v>38</v>
      </c>
      <c r="R37" s="2" t="s">
        <v>39</v>
      </c>
      <c r="S37" s="5">
        <v>34.693440000000002</v>
      </c>
      <c r="T37" s="5">
        <v>-120.03921</v>
      </c>
      <c r="U37" s="2">
        <v>1076</v>
      </c>
      <c r="V37" s="7">
        <v>327.96480000000003</v>
      </c>
      <c r="W37" s="2" t="s">
        <v>2255</v>
      </c>
      <c r="X37" s="2" t="s">
        <v>2330</v>
      </c>
      <c r="Y37" s="2" t="s">
        <v>79</v>
      </c>
      <c r="AA37" s="2" t="s">
        <v>80</v>
      </c>
      <c r="AB37" s="2">
        <v>26.8</v>
      </c>
      <c r="AC37" s="2">
        <v>10.8</v>
      </c>
      <c r="AD37" s="2">
        <v>16.8</v>
      </c>
      <c r="AE37" s="2">
        <v>78</v>
      </c>
      <c r="AF37" s="2">
        <v>96</v>
      </c>
      <c r="AG37" s="2">
        <v>49</v>
      </c>
      <c r="AH37" s="2">
        <v>38.1</v>
      </c>
      <c r="AI37" s="2">
        <v>6.4</v>
      </c>
      <c r="AJ37" s="41">
        <v>0</v>
      </c>
      <c r="AL37">
        <f t="shared" si="0"/>
        <v>90.233650240000003</v>
      </c>
      <c r="AM37">
        <f t="shared" si="1"/>
        <v>16.126668456000001</v>
      </c>
      <c r="AN37">
        <f t="shared" si="2"/>
        <v>166.63124088000001</v>
      </c>
    </row>
    <row r="38" spans="1:40" s="11" customFormat="1" x14ac:dyDescent="0.2">
      <c r="A38" s="11">
        <v>3</v>
      </c>
      <c r="B38" s="11" t="s">
        <v>81</v>
      </c>
      <c r="F38" s="11" t="s">
        <v>1191</v>
      </c>
      <c r="G38" s="11" t="s">
        <v>1191</v>
      </c>
      <c r="H38" s="11" t="s">
        <v>1191</v>
      </c>
      <c r="I38" s="11">
        <v>19</v>
      </c>
      <c r="J38" s="11" t="s">
        <v>45</v>
      </c>
      <c r="K38" s="11">
        <v>2019</v>
      </c>
      <c r="L38" s="11" t="s">
        <v>55</v>
      </c>
      <c r="M38" s="11" t="s">
        <v>46</v>
      </c>
      <c r="S38" s="23">
        <v>34.693330000000003</v>
      </c>
      <c r="T38" s="23">
        <v>-120.03913</v>
      </c>
      <c r="U38" s="11">
        <v>1077</v>
      </c>
      <c r="V38" s="24">
        <v>328.26960000000003</v>
      </c>
      <c r="W38" s="11" t="s">
        <v>2255</v>
      </c>
      <c r="X38" s="11" t="s">
        <v>2330</v>
      </c>
      <c r="Y38" s="11" t="s">
        <v>79</v>
      </c>
      <c r="Z38" s="11" t="s">
        <v>740</v>
      </c>
      <c r="AB38" s="11">
        <v>26.8</v>
      </c>
      <c r="AC38" s="11">
        <v>10.8</v>
      </c>
      <c r="AD38" s="11">
        <v>16.8</v>
      </c>
      <c r="AE38" s="11">
        <v>78</v>
      </c>
      <c r="AF38" s="11">
        <v>96</v>
      </c>
      <c r="AG38" s="11">
        <v>49</v>
      </c>
      <c r="AH38" s="11">
        <v>38.1</v>
      </c>
      <c r="AI38" s="11">
        <v>6.4</v>
      </c>
      <c r="AJ38" s="41">
        <v>0</v>
      </c>
      <c r="AL38">
        <f t="shared" si="0"/>
        <v>0</v>
      </c>
      <c r="AM38">
        <f t="shared" si="1"/>
        <v>0</v>
      </c>
      <c r="AN38">
        <f t="shared" si="2"/>
        <v>0</v>
      </c>
    </row>
    <row r="39" spans="1:40" s="2" customFormat="1" x14ac:dyDescent="0.2">
      <c r="A39" s="2">
        <v>3</v>
      </c>
      <c r="B39" s="2" t="s">
        <v>82</v>
      </c>
      <c r="C39" s="2">
        <v>0</v>
      </c>
      <c r="D39" s="2">
        <v>0</v>
      </c>
      <c r="E39" s="2">
        <v>0</v>
      </c>
      <c r="F39" s="2" t="s">
        <v>1186</v>
      </c>
      <c r="G39" s="2" t="s">
        <v>1186</v>
      </c>
      <c r="H39" s="2" t="s">
        <v>1191</v>
      </c>
      <c r="I39" s="2">
        <v>19</v>
      </c>
      <c r="J39" s="2" t="s">
        <v>45</v>
      </c>
      <c r="K39" s="2">
        <v>2019</v>
      </c>
      <c r="L39" s="2" t="s">
        <v>32</v>
      </c>
      <c r="M39" s="2" t="s">
        <v>46</v>
      </c>
      <c r="N39" s="2">
        <v>43</v>
      </c>
      <c r="O39" s="2">
        <v>6.5</v>
      </c>
      <c r="P39" s="2" t="s">
        <v>30</v>
      </c>
      <c r="Q39" s="2" t="s">
        <v>42</v>
      </c>
      <c r="R39" s="2" t="s">
        <v>39</v>
      </c>
      <c r="S39" s="5">
        <v>34.693399999999997</v>
      </c>
      <c r="T39" s="5">
        <v>-120.0391</v>
      </c>
      <c r="U39" s="2">
        <v>1079</v>
      </c>
      <c r="V39" s="7">
        <v>328.87920000000003</v>
      </c>
      <c r="W39" s="2" t="s">
        <v>2255</v>
      </c>
      <c r="X39" s="2" t="s">
        <v>2330</v>
      </c>
      <c r="Y39" s="2" t="s">
        <v>84</v>
      </c>
      <c r="AA39" s="2" t="s">
        <v>85</v>
      </c>
      <c r="AB39" s="2">
        <v>26.8</v>
      </c>
      <c r="AC39" s="2">
        <v>10.8</v>
      </c>
      <c r="AD39" s="2">
        <v>16.8</v>
      </c>
      <c r="AE39" s="2">
        <v>78</v>
      </c>
      <c r="AF39" s="2">
        <v>96</v>
      </c>
      <c r="AG39" s="2">
        <v>49</v>
      </c>
      <c r="AH39" s="2">
        <v>38.1</v>
      </c>
      <c r="AI39" s="2">
        <v>6.4</v>
      </c>
      <c r="AJ39" s="41">
        <v>0</v>
      </c>
      <c r="AL39">
        <f t="shared" si="0"/>
        <v>0</v>
      </c>
      <c r="AM39">
        <f t="shared" si="1"/>
        <v>0</v>
      </c>
      <c r="AN39">
        <f t="shared" si="2"/>
        <v>0</v>
      </c>
    </row>
    <row r="40" spans="1:40" s="11" customFormat="1" x14ac:dyDescent="0.2">
      <c r="A40" s="11">
        <v>3</v>
      </c>
      <c r="B40" s="11" t="s">
        <v>86</v>
      </c>
      <c r="F40" s="11" t="s">
        <v>1191</v>
      </c>
      <c r="G40" s="11" t="s">
        <v>1191</v>
      </c>
      <c r="H40" s="11" t="s">
        <v>1191</v>
      </c>
      <c r="I40" s="11">
        <v>19</v>
      </c>
      <c r="J40" s="11" t="s">
        <v>45</v>
      </c>
      <c r="K40" s="11">
        <v>2019</v>
      </c>
      <c r="L40" s="11" t="s">
        <v>55</v>
      </c>
      <c r="M40" s="11" t="s">
        <v>46</v>
      </c>
      <c r="S40" s="23">
        <v>34.693330000000003</v>
      </c>
      <c r="T40" s="23">
        <v>-120.03914</v>
      </c>
      <c r="U40" s="11">
        <v>1079</v>
      </c>
      <c r="V40" s="24">
        <v>328.87920000000003</v>
      </c>
      <c r="W40" s="11" t="s">
        <v>2255</v>
      </c>
      <c r="X40" s="11" t="s">
        <v>2330</v>
      </c>
      <c r="Y40" s="11" t="s">
        <v>87</v>
      </c>
      <c r="Z40" s="11" t="s">
        <v>740</v>
      </c>
      <c r="AB40" s="11">
        <v>26.8</v>
      </c>
      <c r="AC40" s="11">
        <v>10.8</v>
      </c>
      <c r="AD40" s="11">
        <v>16.8</v>
      </c>
      <c r="AE40" s="11">
        <v>78</v>
      </c>
      <c r="AF40" s="11">
        <v>96</v>
      </c>
      <c r="AG40" s="11">
        <v>49</v>
      </c>
      <c r="AH40" s="11">
        <v>38.1</v>
      </c>
      <c r="AI40" s="11">
        <v>6.4</v>
      </c>
      <c r="AJ40" s="41">
        <v>0</v>
      </c>
      <c r="AL40">
        <f t="shared" si="0"/>
        <v>0</v>
      </c>
      <c r="AM40">
        <f t="shared" si="1"/>
        <v>0</v>
      </c>
      <c r="AN40">
        <f t="shared" si="2"/>
        <v>0</v>
      </c>
    </row>
    <row r="41" spans="1:40" s="2" customFormat="1" x14ac:dyDescent="0.2">
      <c r="A41" s="2">
        <v>4</v>
      </c>
      <c r="B41" s="2" t="s">
        <v>88</v>
      </c>
      <c r="C41" s="2">
        <v>0</v>
      </c>
      <c r="D41" s="2">
        <v>0</v>
      </c>
      <c r="E41" s="2">
        <v>0</v>
      </c>
      <c r="F41" s="2" t="s">
        <v>1186</v>
      </c>
      <c r="G41" s="2" t="s">
        <v>1186</v>
      </c>
      <c r="H41" s="2" t="s">
        <v>1191</v>
      </c>
      <c r="I41" s="2">
        <v>20</v>
      </c>
      <c r="J41" s="2" t="s">
        <v>45</v>
      </c>
      <c r="K41" s="2">
        <v>2019</v>
      </c>
      <c r="L41" s="2" t="s">
        <v>33</v>
      </c>
      <c r="M41" s="2" t="s">
        <v>46</v>
      </c>
      <c r="N41" s="2">
        <v>25</v>
      </c>
      <c r="O41" s="2">
        <v>0.5</v>
      </c>
      <c r="P41" s="2" t="s">
        <v>30</v>
      </c>
      <c r="R41" s="2" t="s">
        <v>89</v>
      </c>
      <c r="S41" s="5">
        <v>34.694659999999999</v>
      </c>
      <c r="T41" s="5">
        <v>-120.04181</v>
      </c>
      <c r="U41" s="2">
        <v>1135</v>
      </c>
      <c r="V41" s="7">
        <v>345.94799999999998</v>
      </c>
      <c r="W41" s="2" t="s">
        <v>2331</v>
      </c>
      <c r="X41" s="2" t="s">
        <v>2332</v>
      </c>
      <c r="Y41" s="2" t="s">
        <v>90</v>
      </c>
      <c r="AA41" s="2" t="s">
        <v>91</v>
      </c>
      <c r="AB41" s="2">
        <v>24.2</v>
      </c>
      <c r="AC41" s="2">
        <v>11.5</v>
      </c>
      <c r="AD41" s="13">
        <v>16.100000000000001</v>
      </c>
      <c r="AE41" s="13">
        <v>82</v>
      </c>
      <c r="AF41" s="2">
        <v>99</v>
      </c>
      <c r="AG41" s="2">
        <v>54</v>
      </c>
      <c r="AH41" s="2">
        <v>38.1</v>
      </c>
      <c r="AI41" s="2">
        <v>6.4</v>
      </c>
      <c r="AJ41" s="41">
        <v>0</v>
      </c>
      <c r="AL41">
        <f t="shared" si="0"/>
        <v>0</v>
      </c>
      <c r="AM41">
        <f t="shared" si="1"/>
        <v>0</v>
      </c>
      <c r="AN41">
        <f t="shared" si="2"/>
        <v>0</v>
      </c>
    </row>
    <row r="42" spans="1:40" s="2" customFormat="1" x14ac:dyDescent="0.2">
      <c r="A42" s="2">
        <v>4</v>
      </c>
      <c r="B42" s="2" t="s">
        <v>92</v>
      </c>
      <c r="C42" s="15">
        <v>0</v>
      </c>
      <c r="D42" s="15">
        <v>0</v>
      </c>
      <c r="E42" s="15">
        <v>0</v>
      </c>
      <c r="F42" s="2" t="s">
        <v>1186</v>
      </c>
      <c r="G42" s="2" t="s">
        <v>1186</v>
      </c>
      <c r="H42" s="2" t="s">
        <v>1191</v>
      </c>
      <c r="I42" s="2">
        <v>20</v>
      </c>
      <c r="J42" s="2" t="s">
        <v>45</v>
      </c>
      <c r="K42" s="2">
        <v>2019</v>
      </c>
      <c r="L42" s="2" t="s">
        <v>33</v>
      </c>
      <c r="M42" s="2" t="s">
        <v>46</v>
      </c>
      <c r="N42" s="2">
        <v>21.5</v>
      </c>
      <c r="O42" s="2">
        <v>0.5</v>
      </c>
      <c r="P42" s="2" t="s">
        <v>30</v>
      </c>
      <c r="R42" s="2" t="s">
        <v>89</v>
      </c>
      <c r="S42" s="5">
        <v>34.694589999999998</v>
      </c>
      <c r="T42" s="5">
        <v>-120.04173</v>
      </c>
      <c r="U42" s="2">
        <v>1132</v>
      </c>
      <c r="V42" s="7">
        <v>345.03359999999998</v>
      </c>
      <c r="W42" s="2" t="s">
        <v>2331</v>
      </c>
      <c r="X42" s="2" t="s">
        <v>2332</v>
      </c>
      <c r="Y42" s="2" t="s">
        <v>93</v>
      </c>
      <c r="AA42" s="2" t="s">
        <v>94</v>
      </c>
      <c r="AB42" s="2">
        <v>24.2</v>
      </c>
      <c r="AC42" s="2">
        <v>11.5</v>
      </c>
      <c r="AD42" s="13">
        <v>16.100000000000001</v>
      </c>
      <c r="AE42" s="13">
        <v>82</v>
      </c>
      <c r="AF42" s="2">
        <v>99</v>
      </c>
      <c r="AG42" s="2">
        <v>54</v>
      </c>
      <c r="AH42" s="2">
        <v>38.1</v>
      </c>
      <c r="AI42" s="2">
        <v>6.4</v>
      </c>
      <c r="AJ42" s="41">
        <v>0</v>
      </c>
      <c r="AL42">
        <f t="shared" si="0"/>
        <v>0</v>
      </c>
      <c r="AM42">
        <f t="shared" si="1"/>
        <v>0</v>
      </c>
      <c r="AN42">
        <f t="shared" si="2"/>
        <v>0</v>
      </c>
    </row>
    <row r="43" spans="1:40" s="2" customFormat="1" x14ac:dyDescent="0.2">
      <c r="A43" s="2">
        <v>4</v>
      </c>
      <c r="B43" s="2" t="s">
        <v>95</v>
      </c>
      <c r="C43" s="2">
        <v>0</v>
      </c>
      <c r="D43" s="2">
        <v>0</v>
      </c>
      <c r="E43" s="2">
        <v>0</v>
      </c>
      <c r="F43" s="2" t="s">
        <v>1186</v>
      </c>
      <c r="G43" s="2" t="s">
        <v>1186</v>
      </c>
      <c r="H43" s="2" t="s">
        <v>1191</v>
      </c>
      <c r="I43" s="2">
        <v>20</v>
      </c>
      <c r="J43" s="2" t="s">
        <v>45</v>
      </c>
      <c r="K43" s="2">
        <v>2019</v>
      </c>
      <c r="L43" s="2" t="s">
        <v>33</v>
      </c>
      <c r="M43" s="2" t="s">
        <v>46</v>
      </c>
      <c r="N43" s="2">
        <v>24.5</v>
      </c>
      <c r="O43" s="2">
        <v>1.5</v>
      </c>
      <c r="P43" s="2" t="s">
        <v>30</v>
      </c>
      <c r="R43" s="2" t="s">
        <v>89</v>
      </c>
      <c r="S43" s="5">
        <v>34.694479999999999</v>
      </c>
      <c r="T43" s="5">
        <v>-120.04165</v>
      </c>
      <c r="U43" s="2">
        <v>1129</v>
      </c>
      <c r="V43" s="7">
        <v>344.11919999999998</v>
      </c>
      <c r="W43" s="2" t="s">
        <v>2331</v>
      </c>
      <c r="X43" s="2" t="s">
        <v>2332</v>
      </c>
      <c r="Y43" s="2" t="s">
        <v>96</v>
      </c>
      <c r="AA43" s="2" t="s">
        <v>97</v>
      </c>
      <c r="AB43" s="2">
        <v>24.2</v>
      </c>
      <c r="AC43" s="2">
        <v>11.5</v>
      </c>
      <c r="AD43" s="13">
        <v>16.100000000000001</v>
      </c>
      <c r="AE43" s="13">
        <v>82</v>
      </c>
      <c r="AF43" s="2">
        <v>99</v>
      </c>
      <c r="AG43" s="2">
        <v>54</v>
      </c>
      <c r="AH43" s="2">
        <v>38.1</v>
      </c>
      <c r="AI43" s="2">
        <v>6.4</v>
      </c>
      <c r="AJ43" s="41">
        <v>0</v>
      </c>
      <c r="AL43">
        <f t="shared" si="0"/>
        <v>0</v>
      </c>
      <c r="AM43">
        <f t="shared" si="1"/>
        <v>0</v>
      </c>
      <c r="AN43">
        <f t="shared" si="2"/>
        <v>0</v>
      </c>
    </row>
    <row r="44" spans="1:40" s="2" customFormat="1" x14ac:dyDescent="0.2">
      <c r="A44" s="2">
        <v>4</v>
      </c>
      <c r="B44" s="2" t="s">
        <v>98</v>
      </c>
      <c r="C44" s="2">
        <v>0</v>
      </c>
      <c r="D44" s="15">
        <v>0</v>
      </c>
      <c r="E44" s="15">
        <v>0</v>
      </c>
      <c r="F44" s="2" t="s">
        <v>1186</v>
      </c>
      <c r="G44" s="2" t="s">
        <v>1186</v>
      </c>
      <c r="H44" s="2" t="s">
        <v>1191</v>
      </c>
      <c r="I44" s="2">
        <v>20</v>
      </c>
      <c r="J44" s="2" t="s">
        <v>45</v>
      </c>
      <c r="K44" s="2">
        <v>2019</v>
      </c>
      <c r="L44" s="2" t="s">
        <v>33</v>
      </c>
      <c r="M44" s="2" t="s">
        <v>46</v>
      </c>
      <c r="N44" s="2">
        <v>105</v>
      </c>
      <c r="O44" s="2" t="s">
        <v>43</v>
      </c>
      <c r="P44" s="2" t="s">
        <v>30</v>
      </c>
      <c r="Q44" s="45"/>
      <c r="R44" s="2" t="s">
        <v>39</v>
      </c>
      <c r="S44" s="5">
        <v>34.694400000000002</v>
      </c>
      <c r="T44" s="5">
        <v>-120.04154</v>
      </c>
      <c r="U44" s="2">
        <v>1106</v>
      </c>
      <c r="V44" s="7">
        <v>337.10879999999997</v>
      </c>
      <c r="W44" s="2" t="s">
        <v>2331</v>
      </c>
      <c r="X44" s="2" t="s">
        <v>2332</v>
      </c>
      <c r="Y44" s="2" t="s">
        <v>73</v>
      </c>
      <c r="AA44" s="2" t="s">
        <v>99</v>
      </c>
      <c r="AB44" s="2">
        <v>24.2</v>
      </c>
      <c r="AC44" s="2">
        <v>11.5</v>
      </c>
      <c r="AD44" s="13">
        <v>15.3</v>
      </c>
      <c r="AE44" s="13">
        <v>86</v>
      </c>
      <c r="AF44" s="2">
        <v>99</v>
      </c>
      <c r="AG44" s="2">
        <v>54</v>
      </c>
      <c r="AH44" s="2">
        <v>38.1</v>
      </c>
      <c r="AI44" s="2">
        <v>6.4</v>
      </c>
      <c r="AJ44" s="41">
        <v>0</v>
      </c>
      <c r="AL44">
        <f t="shared" si="0"/>
        <v>0</v>
      </c>
      <c r="AM44">
        <f t="shared" si="1"/>
        <v>0</v>
      </c>
      <c r="AN44">
        <f t="shared" si="2"/>
        <v>0</v>
      </c>
    </row>
    <row r="45" spans="1:40" s="2" customFormat="1" x14ac:dyDescent="0.2">
      <c r="A45" s="2">
        <v>4</v>
      </c>
      <c r="B45" s="2" t="s">
        <v>100</v>
      </c>
      <c r="C45" s="2">
        <v>1.814112067E-2</v>
      </c>
      <c r="D45" s="2">
        <v>0</v>
      </c>
      <c r="E45" s="2">
        <v>0</v>
      </c>
      <c r="F45" s="2" t="s">
        <v>1186</v>
      </c>
      <c r="G45" s="2" t="s">
        <v>1186</v>
      </c>
      <c r="H45" s="2" t="s">
        <v>1191</v>
      </c>
      <c r="I45" s="2">
        <v>20</v>
      </c>
      <c r="J45" s="2" t="s">
        <v>45</v>
      </c>
      <c r="K45" s="2">
        <v>2019</v>
      </c>
      <c r="L45" s="2" t="s">
        <v>33</v>
      </c>
      <c r="M45" s="2" t="s">
        <v>46</v>
      </c>
      <c r="N45" s="2">
        <v>29.5</v>
      </c>
      <c r="O45" s="2">
        <v>3</v>
      </c>
      <c r="P45" s="2" t="s">
        <v>30</v>
      </c>
      <c r="R45" s="2" t="s">
        <v>89</v>
      </c>
      <c r="S45" s="5">
        <v>34.694400000000002</v>
      </c>
      <c r="T45" s="5">
        <v>-120.04154</v>
      </c>
      <c r="U45" s="2">
        <v>1106</v>
      </c>
      <c r="V45" s="7">
        <v>337.10879999999997</v>
      </c>
      <c r="W45" s="2" t="s">
        <v>2331</v>
      </c>
      <c r="X45" s="2" t="s">
        <v>2332</v>
      </c>
      <c r="Y45" s="2" t="s">
        <v>101</v>
      </c>
      <c r="AA45" s="2" t="s">
        <v>102</v>
      </c>
      <c r="AB45" s="2">
        <v>24.2</v>
      </c>
      <c r="AC45" s="2">
        <v>11.5</v>
      </c>
      <c r="AD45" s="13">
        <v>15.3</v>
      </c>
      <c r="AE45" s="13">
        <v>86</v>
      </c>
      <c r="AF45" s="2">
        <v>99</v>
      </c>
      <c r="AG45" s="2">
        <v>54</v>
      </c>
      <c r="AH45" s="2">
        <v>38.1</v>
      </c>
      <c r="AI45" s="2">
        <v>6.4</v>
      </c>
      <c r="AJ45" s="41">
        <v>0</v>
      </c>
      <c r="AL45">
        <f t="shared" si="0"/>
        <v>1.4512896536</v>
      </c>
      <c r="AM45">
        <f t="shared" si="1"/>
        <v>0</v>
      </c>
      <c r="AN45">
        <f t="shared" si="2"/>
        <v>0</v>
      </c>
    </row>
    <row r="46" spans="1:40" s="2" customFormat="1" x14ac:dyDescent="0.2">
      <c r="A46" s="2">
        <v>4</v>
      </c>
      <c r="B46" s="2" t="s">
        <v>103</v>
      </c>
      <c r="C46" s="2">
        <v>0</v>
      </c>
      <c r="D46" s="15">
        <v>0</v>
      </c>
      <c r="E46" s="15">
        <v>0</v>
      </c>
      <c r="F46" s="2" t="s">
        <v>1186</v>
      </c>
      <c r="G46" s="2" t="s">
        <v>1186</v>
      </c>
      <c r="H46" s="2" t="s">
        <v>1191</v>
      </c>
      <c r="I46" s="2">
        <v>20</v>
      </c>
      <c r="J46" s="2" t="s">
        <v>45</v>
      </c>
      <c r="K46" s="2">
        <v>2019</v>
      </c>
      <c r="L46" s="2" t="s">
        <v>33</v>
      </c>
      <c r="M46" s="2" t="s">
        <v>46</v>
      </c>
      <c r="N46" s="2">
        <v>28</v>
      </c>
      <c r="O46" s="2">
        <v>2</v>
      </c>
      <c r="P46" s="2" t="s">
        <v>30</v>
      </c>
      <c r="R46" s="2" t="s">
        <v>89</v>
      </c>
      <c r="S46" s="5">
        <v>34.69502</v>
      </c>
      <c r="T46" s="5">
        <v>-120.04206000000001</v>
      </c>
      <c r="U46" s="2">
        <v>1112</v>
      </c>
      <c r="V46" s="7">
        <v>338.93759999999997</v>
      </c>
      <c r="W46" s="2" t="s">
        <v>2331</v>
      </c>
      <c r="X46" s="2" t="s">
        <v>2332</v>
      </c>
      <c r="Y46" s="2" t="s">
        <v>104</v>
      </c>
      <c r="AA46" s="2" t="s">
        <v>105</v>
      </c>
      <c r="AB46" s="2">
        <v>24.2</v>
      </c>
      <c r="AC46" s="2">
        <v>11.5</v>
      </c>
      <c r="AD46" s="13">
        <v>15.3</v>
      </c>
      <c r="AE46" s="13">
        <v>86</v>
      </c>
      <c r="AF46" s="2">
        <v>99</v>
      </c>
      <c r="AG46" s="2">
        <v>54</v>
      </c>
      <c r="AH46" s="2">
        <v>38.1</v>
      </c>
      <c r="AI46" s="2">
        <v>6.4</v>
      </c>
      <c r="AJ46" s="41">
        <v>0</v>
      </c>
      <c r="AL46">
        <f t="shared" si="0"/>
        <v>0</v>
      </c>
      <c r="AM46">
        <f t="shared" si="1"/>
        <v>0</v>
      </c>
      <c r="AN46">
        <f t="shared" si="2"/>
        <v>0</v>
      </c>
    </row>
    <row r="47" spans="1:40" s="2" customFormat="1" x14ac:dyDescent="0.2">
      <c r="A47" s="2">
        <v>4</v>
      </c>
      <c r="B47" s="2" t="s">
        <v>106</v>
      </c>
      <c r="C47" s="2">
        <v>0</v>
      </c>
      <c r="D47" s="2">
        <v>0</v>
      </c>
      <c r="E47" s="2">
        <v>0</v>
      </c>
      <c r="F47" s="2" t="s">
        <v>1186</v>
      </c>
      <c r="G47" s="2" t="s">
        <v>1186</v>
      </c>
      <c r="H47" s="2" t="s">
        <v>1191</v>
      </c>
      <c r="I47" s="2">
        <v>20</v>
      </c>
      <c r="J47" s="2" t="s">
        <v>45</v>
      </c>
      <c r="K47" s="2">
        <v>2019</v>
      </c>
      <c r="L47" s="2" t="s">
        <v>33</v>
      </c>
      <c r="M47" s="2" t="s">
        <v>46</v>
      </c>
      <c r="N47" s="2">
        <v>97.5</v>
      </c>
      <c r="O47" s="2" t="s">
        <v>43</v>
      </c>
      <c r="P47" s="2" t="s">
        <v>30</v>
      </c>
      <c r="R47" s="2" t="s">
        <v>39</v>
      </c>
      <c r="S47" s="5">
        <v>34.692610000000002</v>
      </c>
      <c r="T47" s="5">
        <v>-120.04106</v>
      </c>
      <c r="U47" s="2">
        <v>1087</v>
      </c>
      <c r="V47" s="7">
        <v>331.31760000000003</v>
      </c>
      <c r="W47" s="2" t="s">
        <v>2331</v>
      </c>
      <c r="X47" s="2" t="s">
        <v>2333</v>
      </c>
      <c r="Y47" s="2" t="s">
        <v>107</v>
      </c>
      <c r="AA47" s="2" t="s">
        <v>108</v>
      </c>
      <c r="AB47" s="2">
        <v>24.2</v>
      </c>
      <c r="AC47" s="2">
        <v>11.5</v>
      </c>
      <c r="AD47" s="13">
        <v>14.5</v>
      </c>
      <c r="AE47" s="13">
        <v>93</v>
      </c>
      <c r="AF47" s="2">
        <v>99</v>
      </c>
      <c r="AG47" s="2">
        <v>54</v>
      </c>
      <c r="AH47" s="2">
        <v>38.1</v>
      </c>
      <c r="AI47" s="2">
        <v>6.4</v>
      </c>
      <c r="AJ47" s="41">
        <v>0</v>
      </c>
      <c r="AL47">
        <f t="shared" si="0"/>
        <v>0</v>
      </c>
      <c r="AM47">
        <f t="shared" si="1"/>
        <v>0</v>
      </c>
      <c r="AN47">
        <f t="shared" si="2"/>
        <v>0</v>
      </c>
    </row>
    <row r="48" spans="1:40" s="2" customFormat="1" x14ac:dyDescent="0.2">
      <c r="A48" s="2">
        <v>4</v>
      </c>
      <c r="B48" s="2" t="s">
        <v>109</v>
      </c>
      <c r="C48" s="2">
        <v>0</v>
      </c>
      <c r="D48" s="15">
        <v>0</v>
      </c>
      <c r="E48" s="15">
        <v>0</v>
      </c>
      <c r="F48" s="2" t="s">
        <v>1191</v>
      </c>
      <c r="G48" s="2" t="s">
        <v>1186</v>
      </c>
      <c r="H48" s="2" t="s">
        <v>1191</v>
      </c>
      <c r="I48" s="2">
        <v>20</v>
      </c>
      <c r="J48" s="2" t="s">
        <v>45</v>
      </c>
      <c r="K48" s="2">
        <v>2019</v>
      </c>
      <c r="L48" s="2" t="s">
        <v>33</v>
      </c>
      <c r="M48" s="2" t="s">
        <v>46</v>
      </c>
      <c r="N48" s="2">
        <v>89</v>
      </c>
      <c r="O48" s="2" t="s">
        <v>43</v>
      </c>
      <c r="P48" s="2" t="s">
        <v>30</v>
      </c>
      <c r="Q48" s="2" t="s">
        <v>38</v>
      </c>
      <c r="R48" s="2" t="s">
        <v>39</v>
      </c>
      <c r="S48" s="5">
        <v>34.68976</v>
      </c>
      <c r="T48" s="5">
        <v>-120.04496</v>
      </c>
      <c r="U48" s="2">
        <v>1136</v>
      </c>
      <c r="V48" s="7">
        <v>346.25279999999998</v>
      </c>
      <c r="W48" s="2" t="s">
        <v>2331</v>
      </c>
      <c r="X48" s="2" t="s">
        <v>2334</v>
      </c>
      <c r="Y48" s="2" t="s">
        <v>110</v>
      </c>
      <c r="AA48" s="2" t="s">
        <v>111</v>
      </c>
      <c r="AB48" s="2">
        <v>24.2</v>
      </c>
      <c r="AC48" s="2">
        <v>11.5</v>
      </c>
      <c r="AD48" s="13">
        <v>14.5</v>
      </c>
      <c r="AE48" s="13">
        <v>93</v>
      </c>
      <c r="AF48" s="2">
        <v>99</v>
      </c>
      <c r="AG48" s="2">
        <v>54</v>
      </c>
      <c r="AH48" s="2">
        <v>38.1</v>
      </c>
      <c r="AI48" s="2">
        <v>6.4</v>
      </c>
      <c r="AJ48" s="41">
        <v>0</v>
      </c>
      <c r="AL48">
        <f t="shared" si="0"/>
        <v>0</v>
      </c>
      <c r="AM48">
        <f t="shared" si="1"/>
        <v>0</v>
      </c>
      <c r="AN48">
        <f t="shared" si="2"/>
        <v>0</v>
      </c>
    </row>
    <row r="49" spans="1:40" s="2" customFormat="1" x14ac:dyDescent="0.2">
      <c r="A49" s="2">
        <v>4</v>
      </c>
      <c r="B49" s="2" t="s">
        <v>112</v>
      </c>
      <c r="C49" s="2">
        <v>0</v>
      </c>
      <c r="D49" s="2">
        <v>0</v>
      </c>
      <c r="E49" s="2">
        <v>0</v>
      </c>
      <c r="F49" s="2" t="s">
        <v>1186</v>
      </c>
      <c r="G49" s="2" t="s">
        <v>1186</v>
      </c>
      <c r="H49" s="2" t="s">
        <v>1191</v>
      </c>
      <c r="I49" s="2">
        <v>20</v>
      </c>
      <c r="J49" s="2" t="s">
        <v>45</v>
      </c>
      <c r="K49" s="2">
        <v>2019</v>
      </c>
      <c r="L49" s="2" t="s">
        <v>33</v>
      </c>
      <c r="M49" s="2" t="s">
        <v>46</v>
      </c>
      <c r="N49" s="2">
        <v>24</v>
      </c>
      <c r="O49" s="2">
        <v>71</v>
      </c>
      <c r="P49" s="2" t="s">
        <v>30</v>
      </c>
      <c r="R49" s="45" t="s">
        <v>89</v>
      </c>
      <c r="S49" s="5">
        <v>34.689109999999999</v>
      </c>
      <c r="T49" s="5">
        <v>-120.04564999999999</v>
      </c>
      <c r="U49" s="2">
        <v>1225</v>
      </c>
      <c r="V49" s="7">
        <v>373.38</v>
      </c>
      <c r="W49" s="2" t="s">
        <v>2324</v>
      </c>
      <c r="X49" s="2" t="s">
        <v>2335</v>
      </c>
      <c r="Y49" s="2" t="s">
        <v>113</v>
      </c>
      <c r="AA49" s="2" t="s">
        <v>114</v>
      </c>
      <c r="AB49" s="2">
        <v>24.2</v>
      </c>
      <c r="AC49" s="2">
        <v>11.5</v>
      </c>
      <c r="AD49" s="13">
        <v>14.3</v>
      </c>
      <c r="AE49" s="13">
        <v>95</v>
      </c>
      <c r="AF49" s="2">
        <v>99</v>
      </c>
      <c r="AG49" s="2">
        <v>54</v>
      </c>
      <c r="AH49" s="2">
        <v>38.1</v>
      </c>
      <c r="AI49" s="2">
        <v>6.4</v>
      </c>
      <c r="AJ49" s="41">
        <v>0</v>
      </c>
      <c r="AL49">
        <f t="shared" si="0"/>
        <v>0</v>
      </c>
      <c r="AM49">
        <f t="shared" si="1"/>
        <v>0</v>
      </c>
      <c r="AN49">
        <f t="shared" si="2"/>
        <v>0</v>
      </c>
    </row>
    <row r="50" spans="1:40" s="2" customFormat="1" x14ac:dyDescent="0.2">
      <c r="A50" s="2">
        <v>4</v>
      </c>
      <c r="B50" s="2" t="s">
        <v>115</v>
      </c>
      <c r="C50" s="2">
        <v>0</v>
      </c>
      <c r="D50" s="15">
        <v>0</v>
      </c>
      <c r="E50" s="15">
        <v>0</v>
      </c>
      <c r="F50" s="2" t="s">
        <v>1186</v>
      </c>
      <c r="G50" s="2" t="s">
        <v>1186</v>
      </c>
      <c r="H50" s="2" t="s">
        <v>1191</v>
      </c>
      <c r="I50" s="2">
        <v>20</v>
      </c>
      <c r="J50" s="2" t="s">
        <v>45</v>
      </c>
      <c r="K50" s="2">
        <v>2019</v>
      </c>
      <c r="L50" s="2" t="s">
        <v>33</v>
      </c>
      <c r="M50" s="2" t="s">
        <v>46</v>
      </c>
      <c r="N50" s="45">
        <v>92</v>
      </c>
      <c r="O50" s="45" t="s">
        <v>43</v>
      </c>
      <c r="P50" s="2" t="s">
        <v>30</v>
      </c>
      <c r="Q50" s="45" t="s">
        <v>38</v>
      </c>
      <c r="R50" s="2" t="s">
        <v>39</v>
      </c>
      <c r="S50" s="5">
        <v>34.689109999999999</v>
      </c>
      <c r="T50" s="5">
        <v>-120.04564999999999</v>
      </c>
      <c r="U50" s="2">
        <v>1225</v>
      </c>
      <c r="V50" s="7">
        <v>373.38</v>
      </c>
      <c r="W50" s="2" t="s">
        <v>2324</v>
      </c>
      <c r="X50" s="2" t="s">
        <v>2335</v>
      </c>
      <c r="Y50" s="2" t="s">
        <v>113</v>
      </c>
      <c r="AA50" s="2" t="s">
        <v>116</v>
      </c>
      <c r="AB50" s="2">
        <v>24.2</v>
      </c>
      <c r="AC50" s="2">
        <v>11.5</v>
      </c>
      <c r="AD50" s="13">
        <v>16.100000000000001</v>
      </c>
      <c r="AE50" s="13">
        <v>82</v>
      </c>
      <c r="AF50" s="2">
        <v>99</v>
      </c>
      <c r="AG50" s="2">
        <v>54</v>
      </c>
      <c r="AH50" s="2">
        <v>38.1</v>
      </c>
      <c r="AI50" s="2">
        <v>6.4</v>
      </c>
      <c r="AJ50" s="41">
        <v>0</v>
      </c>
      <c r="AL50">
        <f t="shared" si="0"/>
        <v>0</v>
      </c>
      <c r="AM50">
        <f t="shared" si="1"/>
        <v>0</v>
      </c>
      <c r="AN50">
        <f t="shared" si="2"/>
        <v>0</v>
      </c>
    </row>
    <row r="51" spans="1:40" s="2" customFormat="1" x14ac:dyDescent="0.2">
      <c r="A51" s="2">
        <v>5</v>
      </c>
      <c r="B51" s="2" t="s">
        <v>117</v>
      </c>
      <c r="C51" s="2">
        <v>0</v>
      </c>
      <c r="D51" s="2">
        <v>0</v>
      </c>
      <c r="E51" s="2">
        <v>0</v>
      </c>
      <c r="F51" s="2" t="s">
        <v>1186</v>
      </c>
      <c r="G51" s="2" t="s">
        <v>1186</v>
      </c>
      <c r="H51" s="2" t="s">
        <v>1191</v>
      </c>
      <c r="I51" s="2">
        <v>21</v>
      </c>
      <c r="J51" s="2" t="s">
        <v>45</v>
      </c>
      <c r="K51" s="2">
        <v>2019</v>
      </c>
      <c r="L51" s="2" t="s">
        <v>33</v>
      </c>
      <c r="M51" s="2" t="s">
        <v>46</v>
      </c>
      <c r="N51" s="2">
        <v>87.5</v>
      </c>
      <c r="O51" s="2" t="s">
        <v>43</v>
      </c>
      <c r="P51" s="2" t="s">
        <v>30</v>
      </c>
      <c r="Q51" s="2" t="s">
        <v>42</v>
      </c>
      <c r="R51" s="2" t="s">
        <v>39</v>
      </c>
      <c r="S51" s="5">
        <v>34.691940000000002</v>
      </c>
      <c r="T51" s="5">
        <v>-120.04058000000001</v>
      </c>
      <c r="U51" s="2">
        <v>1076</v>
      </c>
      <c r="V51" s="7">
        <v>327.96480000000003</v>
      </c>
      <c r="W51" s="2" t="s">
        <v>2331</v>
      </c>
      <c r="X51" s="2" t="s">
        <v>2336</v>
      </c>
      <c r="Y51" s="2" t="s">
        <v>118</v>
      </c>
      <c r="AA51" s="2" t="s">
        <v>119</v>
      </c>
      <c r="AB51" s="2">
        <v>23.2</v>
      </c>
      <c r="AC51" s="2">
        <v>8.6999999999999993</v>
      </c>
      <c r="AD51" s="15">
        <v>14.3</v>
      </c>
      <c r="AE51" s="15">
        <v>83</v>
      </c>
      <c r="AF51" s="2">
        <v>97</v>
      </c>
      <c r="AG51" s="2">
        <v>56</v>
      </c>
      <c r="AH51" s="2">
        <v>38.1</v>
      </c>
      <c r="AI51" s="2">
        <v>6.4</v>
      </c>
      <c r="AJ51" s="41">
        <v>0</v>
      </c>
      <c r="AL51">
        <f t="shared" si="0"/>
        <v>0</v>
      </c>
      <c r="AM51">
        <f t="shared" si="1"/>
        <v>0</v>
      </c>
      <c r="AN51">
        <f t="shared" si="2"/>
        <v>0</v>
      </c>
    </row>
    <row r="52" spans="1:40" s="2" customFormat="1" x14ac:dyDescent="0.2">
      <c r="A52" s="2">
        <v>5</v>
      </c>
      <c r="B52" s="2" t="s">
        <v>120</v>
      </c>
      <c r="C52" s="2">
        <v>0</v>
      </c>
      <c r="D52" s="15">
        <v>0</v>
      </c>
      <c r="E52" s="15">
        <v>0</v>
      </c>
      <c r="F52" s="2" t="s">
        <v>1186</v>
      </c>
      <c r="G52" s="2" t="s">
        <v>1186</v>
      </c>
      <c r="H52" s="2" t="s">
        <v>1191</v>
      </c>
      <c r="I52" s="2">
        <v>21</v>
      </c>
      <c r="J52" s="2" t="s">
        <v>45</v>
      </c>
      <c r="K52" s="2">
        <v>2019</v>
      </c>
      <c r="L52" s="2" t="s">
        <v>32</v>
      </c>
      <c r="M52" s="2" t="s">
        <v>46</v>
      </c>
      <c r="N52" s="2">
        <v>30</v>
      </c>
      <c r="O52" s="2">
        <v>2.5</v>
      </c>
      <c r="P52" s="2" t="s">
        <v>37</v>
      </c>
      <c r="Q52" s="45"/>
      <c r="R52" s="45" t="s">
        <v>39</v>
      </c>
      <c r="S52" s="5">
        <v>34.692100000000003</v>
      </c>
      <c r="T52" s="5">
        <v>-120.04089</v>
      </c>
      <c r="U52" s="2">
        <v>1071</v>
      </c>
      <c r="V52" s="7">
        <v>326.44080000000002</v>
      </c>
      <c r="W52" s="2" t="s">
        <v>2338</v>
      </c>
      <c r="X52" s="2" t="s">
        <v>2337</v>
      </c>
      <c r="Y52" s="2" t="s">
        <v>121</v>
      </c>
      <c r="Z52" s="2" t="s">
        <v>122</v>
      </c>
      <c r="AA52" s="2" t="s">
        <v>123</v>
      </c>
      <c r="AB52" s="2">
        <v>23.2</v>
      </c>
      <c r="AC52" s="2">
        <v>8.6999999999999993</v>
      </c>
      <c r="AD52" s="15">
        <v>14.3</v>
      </c>
      <c r="AE52" s="15">
        <v>83</v>
      </c>
      <c r="AF52" s="2">
        <v>97</v>
      </c>
      <c r="AG52" s="2">
        <v>56</v>
      </c>
      <c r="AH52" s="2">
        <v>38.1</v>
      </c>
      <c r="AI52" s="2">
        <v>6.4</v>
      </c>
      <c r="AJ52" s="41">
        <v>0</v>
      </c>
      <c r="AL52">
        <f t="shared" si="0"/>
        <v>0</v>
      </c>
      <c r="AM52">
        <f t="shared" si="1"/>
        <v>0</v>
      </c>
      <c r="AN52">
        <f t="shared" si="2"/>
        <v>0</v>
      </c>
    </row>
    <row r="53" spans="1:40" s="2" customFormat="1" x14ac:dyDescent="0.2">
      <c r="A53" s="2">
        <v>5</v>
      </c>
      <c r="B53" s="2" t="s">
        <v>124</v>
      </c>
      <c r="C53" s="2">
        <v>0.46423983569999999</v>
      </c>
      <c r="D53" s="2">
        <v>0.31497356300000001</v>
      </c>
      <c r="E53" s="2">
        <v>0.74088281389999999</v>
      </c>
      <c r="F53" s="2" t="s">
        <v>1186</v>
      </c>
      <c r="G53" s="2" t="s">
        <v>1186</v>
      </c>
      <c r="H53" s="2" t="s">
        <v>1191</v>
      </c>
      <c r="I53" s="2">
        <v>21</v>
      </c>
      <c r="J53" s="2" t="s">
        <v>45</v>
      </c>
      <c r="K53" s="2">
        <v>2019</v>
      </c>
      <c r="L53" s="2" t="s">
        <v>32</v>
      </c>
      <c r="M53" s="2" t="s">
        <v>46</v>
      </c>
      <c r="N53" s="2">
        <v>16</v>
      </c>
      <c r="O53" s="2">
        <v>0.5</v>
      </c>
      <c r="P53" s="2" t="s">
        <v>37</v>
      </c>
      <c r="R53" s="2" t="s">
        <v>89</v>
      </c>
      <c r="S53" s="5">
        <v>34.693359999999998</v>
      </c>
      <c r="T53" s="5">
        <v>-120.03912</v>
      </c>
      <c r="U53" s="2">
        <v>1092</v>
      </c>
      <c r="V53" s="7">
        <v>332.84160000000003</v>
      </c>
      <c r="W53" s="2" t="s">
        <v>898</v>
      </c>
      <c r="X53" s="2" t="s">
        <v>2330</v>
      </c>
      <c r="Y53" s="2" t="s">
        <v>125</v>
      </c>
      <c r="AA53" s="2" t="s">
        <v>126</v>
      </c>
      <c r="AB53" s="2">
        <v>23.2</v>
      </c>
      <c r="AC53" s="2">
        <v>8.6999999999999993</v>
      </c>
      <c r="AD53" s="15">
        <v>12.1</v>
      </c>
      <c r="AE53" s="15">
        <v>88</v>
      </c>
      <c r="AF53" s="2">
        <v>97</v>
      </c>
      <c r="AG53" s="2">
        <v>56</v>
      </c>
      <c r="AH53" s="2">
        <v>38.1</v>
      </c>
      <c r="AI53" s="2">
        <v>6.4</v>
      </c>
      <c r="AJ53" s="41">
        <v>0</v>
      </c>
      <c r="AL53">
        <f t="shared" si="0"/>
        <v>37.139186856000002</v>
      </c>
      <c r="AM53">
        <f t="shared" si="1"/>
        <v>25.197885040000003</v>
      </c>
      <c r="AN53">
        <f t="shared" si="2"/>
        <v>59.270625111999998</v>
      </c>
    </row>
    <row r="54" spans="1:40" s="2" customFormat="1" x14ac:dyDescent="0.2">
      <c r="A54" s="2">
        <v>5</v>
      </c>
      <c r="B54" s="2" t="s">
        <v>127</v>
      </c>
      <c r="C54" s="2">
        <v>4.021847621E-2</v>
      </c>
      <c r="D54" s="2">
        <v>1.059610024E-2</v>
      </c>
      <c r="E54" s="2">
        <v>4.8564277590000003E-2</v>
      </c>
      <c r="F54" s="2" t="s">
        <v>1186</v>
      </c>
      <c r="G54" s="2" t="s">
        <v>1186</v>
      </c>
      <c r="H54" s="2" t="s">
        <v>1191</v>
      </c>
      <c r="I54" s="2">
        <v>21</v>
      </c>
      <c r="J54" s="2" t="s">
        <v>45</v>
      </c>
      <c r="K54" s="2">
        <v>2019</v>
      </c>
      <c r="L54" s="2" t="s">
        <v>32</v>
      </c>
      <c r="M54" s="2" t="s">
        <v>46</v>
      </c>
      <c r="N54" s="2">
        <v>32</v>
      </c>
      <c r="O54" s="2">
        <v>4</v>
      </c>
      <c r="P54" s="2" t="s">
        <v>37</v>
      </c>
      <c r="Q54" s="2" t="s">
        <v>38</v>
      </c>
      <c r="R54" s="2" t="s">
        <v>39</v>
      </c>
      <c r="S54" s="5">
        <v>34.693359999999998</v>
      </c>
      <c r="T54" s="5">
        <v>-120.03912</v>
      </c>
      <c r="U54" s="2">
        <v>1092</v>
      </c>
      <c r="V54" s="7">
        <v>332.84160000000003</v>
      </c>
      <c r="W54" s="2" t="s">
        <v>898</v>
      </c>
      <c r="X54" s="2" t="s">
        <v>2330</v>
      </c>
      <c r="Y54" s="2" t="s">
        <v>128</v>
      </c>
      <c r="Z54" s="2" t="s">
        <v>129</v>
      </c>
      <c r="AA54" s="2" t="s">
        <v>130</v>
      </c>
      <c r="AB54" s="2">
        <v>23.2</v>
      </c>
      <c r="AC54" s="2">
        <v>8.6999999999999993</v>
      </c>
      <c r="AD54" s="15">
        <v>12.1</v>
      </c>
      <c r="AE54" s="15">
        <v>88</v>
      </c>
      <c r="AF54" s="2">
        <v>97</v>
      </c>
      <c r="AG54" s="2">
        <v>56</v>
      </c>
      <c r="AH54" s="2">
        <v>38.1</v>
      </c>
      <c r="AI54" s="2">
        <v>6.4</v>
      </c>
      <c r="AJ54" s="41">
        <v>0</v>
      </c>
      <c r="AL54">
        <f t="shared" si="0"/>
        <v>3.2174780967999999</v>
      </c>
      <c r="AM54">
        <f t="shared" si="1"/>
        <v>0.84768801920000003</v>
      </c>
      <c r="AN54">
        <f t="shared" si="2"/>
        <v>3.8851422072000004</v>
      </c>
    </row>
    <row r="55" spans="1:40" x14ac:dyDescent="0.2">
      <c r="A55">
        <v>6</v>
      </c>
      <c r="B55" t="s">
        <v>131</v>
      </c>
      <c r="C55">
        <v>3.1769167631864548E-2</v>
      </c>
      <c r="D55">
        <v>4.3954355642199516E-3</v>
      </c>
      <c r="E55" s="2">
        <v>0</v>
      </c>
      <c r="F55" t="s">
        <v>1186</v>
      </c>
      <c r="G55" s="14" t="s">
        <v>1186</v>
      </c>
      <c r="H55" s="2" t="s">
        <v>1191</v>
      </c>
      <c r="I55">
        <v>25</v>
      </c>
      <c r="J55" t="s">
        <v>45</v>
      </c>
      <c r="K55">
        <v>2019</v>
      </c>
      <c r="L55" t="s">
        <v>33</v>
      </c>
      <c r="M55" t="s">
        <v>132</v>
      </c>
      <c r="N55">
        <v>33</v>
      </c>
      <c r="P55" t="s">
        <v>30</v>
      </c>
      <c r="R55" t="s">
        <v>89</v>
      </c>
      <c r="S55" s="4">
        <v>37.396509999999999</v>
      </c>
      <c r="T55" s="4">
        <v>-120.35545</v>
      </c>
      <c r="U55">
        <v>273</v>
      </c>
      <c r="V55" s="6">
        <v>83.210400000000007</v>
      </c>
      <c r="W55" s="2" t="s">
        <v>898</v>
      </c>
      <c r="X55" t="s">
        <v>2339</v>
      </c>
      <c r="Y55" t="s">
        <v>133</v>
      </c>
      <c r="Z55" t="s">
        <v>134</v>
      </c>
      <c r="AA55" t="s">
        <v>135</v>
      </c>
      <c r="AB55" s="40"/>
      <c r="AC55" s="40"/>
      <c r="AD55" s="40"/>
      <c r="AE55" s="40"/>
      <c r="AF55" s="40"/>
      <c r="AG55" s="40"/>
      <c r="AJ55" s="41">
        <v>0</v>
      </c>
      <c r="AL55">
        <f t="shared" si="0"/>
        <v>2.5415334105491638</v>
      </c>
      <c r="AM55">
        <f t="shared" si="1"/>
        <v>0.35163484513759613</v>
      </c>
      <c r="AN55">
        <f t="shared" si="2"/>
        <v>0</v>
      </c>
    </row>
    <row r="56" spans="1:40" x14ac:dyDescent="0.2">
      <c r="A56">
        <v>6</v>
      </c>
      <c r="B56" t="s">
        <v>136</v>
      </c>
      <c r="C56" s="2">
        <v>0</v>
      </c>
      <c r="D56" s="2">
        <v>0</v>
      </c>
      <c r="E56" s="2">
        <v>0</v>
      </c>
      <c r="F56" t="s">
        <v>1186</v>
      </c>
      <c r="G56" s="14" t="s">
        <v>1186</v>
      </c>
      <c r="H56" s="2" t="s">
        <v>1191</v>
      </c>
      <c r="I56">
        <v>25</v>
      </c>
      <c r="J56" t="s">
        <v>45</v>
      </c>
      <c r="K56">
        <v>2019</v>
      </c>
      <c r="L56" t="s">
        <v>137</v>
      </c>
      <c r="M56" t="s">
        <v>132</v>
      </c>
      <c r="N56">
        <v>22</v>
      </c>
      <c r="P56" t="s">
        <v>37</v>
      </c>
      <c r="Q56" s="2"/>
      <c r="R56" s="45" t="s">
        <v>39</v>
      </c>
      <c r="S56" s="4">
        <v>37.396509999999999</v>
      </c>
      <c r="T56" s="4">
        <v>-120.35545</v>
      </c>
      <c r="U56">
        <v>273</v>
      </c>
      <c r="V56" s="6">
        <v>83.210400000000007</v>
      </c>
      <c r="W56" s="2" t="s">
        <v>898</v>
      </c>
      <c r="X56" t="s">
        <v>2339</v>
      </c>
      <c r="Y56" t="s">
        <v>133</v>
      </c>
      <c r="Z56" t="s">
        <v>134</v>
      </c>
      <c r="AA56" t="s">
        <v>138</v>
      </c>
      <c r="AB56" s="40"/>
      <c r="AC56" s="40"/>
      <c r="AD56" s="40"/>
      <c r="AE56" s="40"/>
      <c r="AF56" s="40"/>
      <c r="AG56" s="40"/>
      <c r="AJ56" s="41">
        <v>0</v>
      </c>
      <c r="AL56">
        <f t="shared" si="0"/>
        <v>0</v>
      </c>
      <c r="AM56">
        <f t="shared" si="1"/>
        <v>0</v>
      </c>
      <c r="AN56">
        <f t="shared" si="2"/>
        <v>0</v>
      </c>
    </row>
    <row r="57" spans="1:40" x14ac:dyDescent="0.2">
      <c r="A57">
        <v>6</v>
      </c>
      <c r="B57" t="s">
        <v>139</v>
      </c>
      <c r="C57" s="2">
        <v>0</v>
      </c>
      <c r="D57" s="2">
        <v>0</v>
      </c>
      <c r="E57" s="2">
        <v>0</v>
      </c>
      <c r="F57" t="s">
        <v>1186</v>
      </c>
      <c r="G57" s="14" t="s">
        <v>1186</v>
      </c>
      <c r="H57" s="2" t="s">
        <v>1191</v>
      </c>
      <c r="I57">
        <v>25</v>
      </c>
      <c r="J57" t="s">
        <v>45</v>
      </c>
      <c r="K57">
        <v>2019</v>
      </c>
      <c r="L57" t="s">
        <v>137</v>
      </c>
      <c r="M57" t="s">
        <v>132</v>
      </c>
      <c r="N57">
        <v>26</v>
      </c>
      <c r="P57" t="s">
        <v>30</v>
      </c>
      <c r="Q57" t="s">
        <v>42</v>
      </c>
      <c r="R57" t="s">
        <v>39</v>
      </c>
      <c r="S57" s="4">
        <v>37.396509999999999</v>
      </c>
      <c r="T57" s="4">
        <v>-120.35545</v>
      </c>
      <c r="U57">
        <v>273</v>
      </c>
      <c r="V57" s="6">
        <v>83.210400000000007</v>
      </c>
      <c r="W57" s="2" t="s">
        <v>898</v>
      </c>
      <c r="X57" t="s">
        <v>2339</v>
      </c>
      <c r="Y57" t="s">
        <v>140</v>
      </c>
      <c r="Z57" t="s">
        <v>134</v>
      </c>
      <c r="AA57" t="s">
        <v>141</v>
      </c>
      <c r="AB57" s="40"/>
      <c r="AC57" s="40"/>
      <c r="AD57" s="40"/>
      <c r="AE57" s="40"/>
      <c r="AF57" s="40"/>
      <c r="AG57" s="40"/>
      <c r="AJ57" s="41">
        <v>0</v>
      </c>
      <c r="AL57">
        <f t="shared" si="0"/>
        <v>0</v>
      </c>
      <c r="AM57">
        <f t="shared" si="1"/>
        <v>0</v>
      </c>
      <c r="AN57">
        <f t="shared" si="2"/>
        <v>0</v>
      </c>
    </row>
    <row r="58" spans="1:40" x14ac:dyDescent="0.2">
      <c r="A58">
        <v>6</v>
      </c>
      <c r="B58" t="s">
        <v>142</v>
      </c>
      <c r="C58" s="2">
        <v>0</v>
      </c>
      <c r="D58" s="2">
        <v>0</v>
      </c>
      <c r="E58" s="2">
        <v>0</v>
      </c>
      <c r="F58" t="s">
        <v>1186</v>
      </c>
      <c r="G58" s="14" t="s">
        <v>1186</v>
      </c>
      <c r="H58" s="2" t="s">
        <v>1191</v>
      </c>
      <c r="I58">
        <v>25</v>
      </c>
      <c r="J58" t="s">
        <v>45</v>
      </c>
      <c r="K58">
        <v>2019</v>
      </c>
      <c r="L58" t="s">
        <v>137</v>
      </c>
      <c r="M58" t="s">
        <v>132</v>
      </c>
      <c r="N58">
        <v>24</v>
      </c>
      <c r="P58" t="s">
        <v>37</v>
      </c>
      <c r="Q58" s="2"/>
      <c r="R58" s="45" t="s">
        <v>39</v>
      </c>
      <c r="S58" s="4">
        <v>37.396509999999999</v>
      </c>
      <c r="T58" s="4">
        <v>-120.35545</v>
      </c>
      <c r="U58">
        <v>273</v>
      </c>
      <c r="V58" s="6">
        <v>83.210400000000007</v>
      </c>
      <c r="W58" s="2" t="s">
        <v>898</v>
      </c>
      <c r="X58" t="s">
        <v>2339</v>
      </c>
      <c r="Y58" t="s">
        <v>143</v>
      </c>
      <c r="Z58" t="s">
        <v>134</v>
      </c>
      <c r="AA58" t="s">
        <v>144</v>
      </c>
      <c r="AB58" s="40"/>
      <c r="AC58" s="40"/>
      <c r="AD58" s="40"/>
      <c r="AE58" s="40"/>
      <c r="AF58" s="40"/>
      <c r="AG58" s="40"/>
      <c r="AJ58" s="41">
        <v>0</v>
      </c>
      <c r="AL58">
        <f t="shared" si="0"/>
        <v>0</v>
      </c>
      <c r="AM58">
        <f t="shared" si="1"/>
        <v>0</v>
      </c>
      <c r="AN58">
        <f t="shared" si="2"/>
        <v>0</v>
      </c>
    </row>
    <row r="59" spans="1:40" x14ac:dyDescent="0.2">
      <c r="A59">
        <v>6</v>
      </c>
      <c r="B59" t="s">
        <v>145</v>
      </c>
      <c r="C59" s="2">
        <v>0</v>
      </c>
      <c r="D59" s="2">
        <v>0</v>
      </c>
      <c r="E59" s="2">
        <v>0</v>
      </c>
      <c r="F59" s="9" t="s">
        <v>1186</v>
      </c>
      <c r="G59" s="14" t="s">
        <v>1186</v>
      </c>
      <c r="H59" s="2" t="s">
        <v>1191</v>
      </c>
      <c r="I59">
        <v>25</v>
      </c>
      <c r="J59" t="s">
        <v>45</v>
      </c>
      <c r="K59">
        <v>2019</v>
      </c>
      <c r="L59" t="s">
        <v>137</v>
      </c>
      <c r="M59" t="s">
        <v>132</v>
      </c>
      <c r="N59">
        <v>21</v>
      </c>
      <c r="P59" t="s">
        <v>30</v>
      </c>
      <c r="Q59" s="45"/>
      <c r="R59" s="45" t="s">
        <v>39</v>
      </c>
      <c r="S59" s="4">
        <v>37.396509999999999</v>
      </c>
      <c r="T59" s="4">
        <v>-120.35545</v>
      </c>
      <c r="U59">
        <v>273</v>
      </c>
      <c r="V59" s="6">
        <v>83.210400000000007</v>
      </c>
      <c r="W59" s="2" t="s">
        <v>898</v>
      </c>
      <c r="X59" t="s">
        <v>2339</v>
      </c>
      <c r="Y59" t="s">
        <v>146</v>
      </c>
      <c r="Z59" t="s">
        <v>134</v>
      </c>
      <c r="AA59" t="s">
        <v>147</v>
      </c>
      <c r="AB59" s="40"/>
      <c r="AC59" s="40"/>
      <c r="AD59" s="40"/>
      <c r="AE59" s="40"/>
      <c r="AF59" s="40"/>
      <c r="AG59" s="40"/>
      <c r="AJ59" s="41">
        <v>0</v>
      </c>
      <c r="AL59">
        <f t="shared" si="0"/>
        <v>0</v>
      </c>
      <c r="AM59">
        <f t="shared" si="1"/>
        <v>0</v>
      </c>
      <c r="AN59">
        <f t="shared" si="2"/>
        <v>0</v>
      </c>
    </row>
    <row r="60" spans="1:40" x14ac:dyDescent="0.2">
      <c r="A60">
        <v>6</v>
      </c>
      <c r="B60" t="s">
        <v>148</v>
      </c>
      <c r="C60" s="2">
        <v>0</v>
      </c>
      <c r="D60" s="2">
        <v>0</v>
      </c>
      <c r="E60" s="2">
        <v>0</v>
      </c>
      <c r="F60" t="s">
        <v>1186</v>
      </c>
      <c r="G60" s="14" t="s">
        <v>1186</v>
      </c>
      <c r="H60" s="2" t="s">
        <v>1191</v>
      </c>
      <c r="I60">
        <v>25</v>
      </c>
      <c r="J60" t="s">
        <v>45</v>
      </c>
      <c r="K60">
        <v>2019</v>
      </c>
      <c r="L60" t="s">
        <v>33</v>
      </c>
      <c r="M60" t="s">
        <v>132</v>
      </c>
      <c r="N60">
        <v>27</v>
      </c>
      <c r="P60" t="s">
        <v>30</v>
      </c>
      <c r="R60" t="s">
        <v>89</v>
      </c>
      <c r="S60" s="4">
        <v>37.396509999999999</v>
      </c>
      <c r="T60" s="4">
        <v>-120.35545</v>
      </c>
      <c r="U60">
        <v>273</v>
      </c>
      <c r="V60" s="6">
        <v>83.210400000000007</v>
      </c>
      <c r="W60" s="2" t="s">
        <v>898</v>
      </c>
      <c r="X60" t="s">
        <v>2339</v>
      </c>
      <c r="Y60" t="s">
        <v>149</v>
      </c>
      <c r="Z60" t="s">
        <v>134</v>
      </c>
      <c r="AA60" t="s">
        <v>150</v>
      </c>
      <c r="AB60" s="40"/>
      <c r="AC60" s="40"/>
      <c r="AD60" s="40"/>
      <c r="AE60" s="40"/>
      <c r="AF60" s="40"/>
      <c r="AG60" s="40"/>
      <c r="AJ60" s="41">
        <v>0</v>
      </c>
      <c r="AL60">
        <f t="shared" si="0"/>
        <v>0</v>
      </c>
      <c r="AM60">
        <f t="shared" si="1"/>
        <v>0</v>
      </c>
      <c r="AN60">
        <f t="shared" si="2"/>
        <v>0</v>
      </c>
    </row>
    <row r="61" spans="1:40" x14ac:dyDescent="0.2">
      <c r="A61">
        <v>6</v>
      </c>
      <c r="B61" t="s">
        <v>151</v>
      </c>
      <c r="C61" s="2">
        <v>0</v>
      </c>
      <c r="D61" s="2">
        <v>0</v>
      </c>
      <c r="E61" s="2">
        <v>0</v>
      </c>
      <c r="F61" t="s">
        <v>1186</v>
      </c>
      <c r="G61" s="14" t="s">
        <v>1186</v>
      </c>
      <c r="H61" s="2" t="s">
        <v>1191</v>
      </c>
      <c r="I61">
        <v>25</v>
      </c>
      <c r="J61" t="s">
        <v>45</v>
      </c>
      <c r="K61">
        <v>2019</v>
      </c>
      <c r="L61" t="s">
        <v>137</v>
      </c>
      <c r="M61" t="s">
        <v>132</v>
      </c>
      <c r="N61">
        <v>24</v>
      </c>
      <c r="P61" t="s">
        <v>37</v>
      </c>
      <c r="Q61" s="2"/>
      <c r="R61" s="45" t="s">
        <v>39</v>
      </c>
      <c r="S61" s="4">
        <v>37.396509999999999</v>
      </c>
      <c r="T61" s="4">
        <v>-120.35545</v>
      </c>
      <c r="U61">
        <v>273</v>
      </c>
      <c r="V61" s="6">
        <v>83.210400000000007</v>
      </c>
      <c r="W61" s="2" t="s">
        <v>898</v>
      </c>
      <c r="X61" t="s">
        <v>2339</v>
      </c>
      <c r="Y61" t="s">
        <v>152</v>
      </c>
      <c r="Z61" t="s">
        <v>134</v>
      </c>
      <c r="AA61" t="s">
        <v>153</v>
      </c>
      <c r="AB61" s="40"/>
      <c r="AC61" s="40"/>
      <c r="AD61" s="40"/>
      <c r="AE61" s="40"/>
      <c r="AF61" s="40"/>
      <c r="AG61" s="40"/>
      <c r="AJ61" s="41">
        <v>0</v>
      </c>
      <c r="AL61">
        <f t="shared" si="0"/>
        <v>0</v>
      </c>
      <c r="AM61">
        <f t="shared" si="1"/>
        <v>0</v>
      </c>
      <c r="AN61">
        <f t="shared" si="2"/>
        <v>0</v>
      </c>
    </row>
    <row r="62" spans="1:40" x14ac:dyDescent="0.2">
      <c r="A62">
        <v>6</v>
      </c>
      <c r="B62" t="s">
        <v>154</v>
      </c>
      <c r="C62" s="2">
        <v>0</v>
      </c>
      <c r="D62" s="2">
        <v>0</v>
      </c>
      <c r="E62" s="2">
        <v>0</v>
      </c>
      <c r="F62" t="s">
        <v>1186</v>
      </c>
      <c r="G62" s="14" t="s">
        <v>1186</v>
      </c>
      <c r="H62" s="2" t="s">
        <v>1191</v>
      </c>
      <c r="I62">
        <v>25</v>
      </c>
      <c r="J62" t="s">
        <v>45</v>
      </c>
      <c r="K62">
        <v>2019</v>
      </c>
      <c r="L62" t="s">
        <v>137</v>
      </c>
      <c r="M62" t="s">
        <v>132</v>
      </c>
      <c r="N62">
        <v>22</v>
      </c>
      <c r="P62" t="s">
        <v>30</v>
      </c>
      <c r="Q62" s="2"/>
      <c r="R62" s="45" t="s">
        <v>39</v>
      </c>
      <c r="S62" s="4">
        <v>37.396509999999999</v>
      </c>
      <c r="T62" s="4">
        <v>-120.35545</v>
      </c>
      <c r="U62">
        <v>273</v>
      </c>
      <c r="V62" s="6">
        <v>83.210400000000007</v>
      </c>
      <c r="W62" s="2" t="s">
        <v>898</v>
      </c>
      <c r="X62" t="s">
        <v>2339</v>
      </c>
      <c r="Y62" t="s">
        <v>152</v>
      </c>
      <c r="Z62" t="s">
        <v>134</v>
      </c>
      <c r="AA62" t="s">
        <v>155</v>
      </c>
      <c r="AB62" s="40"/>
      <c r="AC62" s="40"/>
      <c r="AD62" s="40"/>
      <c r="AE62" s="40"/>
      <c r="AF62" s="40"/>
      <c r="AG62" s="40"/>
      <c r="AJ62" s="41">
        <v>0</v>
      </c>
      <c r="AL62">
        <f t="shared" si="0"/>
        <v>0</v>
      </c>
      <c r="AM62">
        <f t="shared" si="1"/>
        <v>0</v>
      </c>
      <c r="AN62">
        <f t="shared" si="2"/>
        <v>0</v>
      </c>
    </row>
    <row r="63" spans="1:40" x14ac:dyDescent="0.2">
      <c r="A63">
        <v>6</v>
      </c>
      <c r="B63" t="s">
        <v>156</v>
      </c>
      <c r="C63" s="2">
        <v>0</v>
      </c>
      <c r="D63" s="2">
        <v>0</v>
      </c>
      <c r="E63" s="2">
        <v>0</v>
      </c>
      <c r="F63" t="s">
        <v>1186</v>
      </c>
      <c r="G63" s="14" t="s">
        <v>1186</v>
      </c>
      <c r="H63" s="2" t="s">
        <v>1191</v>
      </c>
      <c r="I63">
        <v>25</v>
      </c>
      <c r="J63" t="s">
        <v>45</v>
      </c>
      <c r="K63">
        <v>2019</v>
      </c>
      <c r="L63" t="s">
        <v>137</v>
      </c>
      <c r="M63" t="s">
        <v>132</v>
      </c>
      <c r="N63">
        <v>22.5</v>
      </c>
      <c r="P63" t="s">
        <v>30</v>
      </c>
      <c r="Q63" s="2"/>
      <c r="R63" s="45" t="s">
        <v>39</v>
      </c>
      <c r="S63" s="4">
        <v>37.396509999999999</v>
      </c>
      <c r="T63" s="4">
        <v>-120.35545</v>
      </c>
      <c r="U63">
        <v>273</v>
      </c>
      <c r="V63" s="6">
        <v>83.210400000000007</v>
      </c>
      <c r="W63" s="2" t="s">
        <v>898</v>
      </c>
      <c r="X63" t="s">
        <v>2339</v>
      </c>
      <c r="Y63" t="s">
        <v>152</v>
      </c>
      <c r="Z63" t="s">
        <v>134</v>
      </c>
      <c r="AA63" t="s">
        <v>157</v>
      </c>
      <c r="AB63" s="40"/>
      <c r="AC63" s="40"/>
      <c r="AD63" s="40"/>
      <c r="AE63" s="40"/>
      <c r="AF63" s="40"/>
      <c r="AG63" s="40"/>
      <c r="AJ63" s="41">
        <v>0</v>
      </c>
      <c r="AL63">
        <f t="shared" si="0"/>
        <v>0</v>
      </c>
      <c r="AM63">
        <f t="shared" si="1"/>
        <v>0</v>
      </c>
      <c r="AN63">
        <f t="shared" si="2"/>
        <v>0</v>
      </c>
    </row>
    <row r="64" spans="1:40" x14ac:dyDescent="0.2">
      <c r="A64">
        <v>6</v>
      </c>
      <c r="B64" t="s">
        <v>158</v>
      </c>
      <c r="C64" s="2">
        <v>0</v>
      </c>
      <c r="D64" s="2">
        <v>0</v>
      </c>
      <c r="E64" s="2">
        <v>0</v>
      </c>
      <c r="F64" t="s">
        <v>1186</v>
      </c>
      <c r="G64" s="14" t="s">
        <v>1186</v>
      </c>
      <c r="H64" s="2" t="s">
        <v>1191</v>
      </c>
      <c r="I64">
        <v>25</v>
      </c>
      <c r="J64" t="s">
        <v>45</v>
      </c>
      <c r="K64">
        <v>2019</v>
      </c>
      <c r="L64" t="s">
        <v>33</v>
      </c>
      <c r="M64" t="s">
        <v>132</v>
      </c>
      <c r="N64">
        <v>27</v>
      </c>
      <c r="P64" t="s">
        <v>30</v>
      </c>
      <c r="R64" t="s">
        <v>89</v>
      </c>
      <c r="S64" s="4">
        <v>37.396509999999999</v>
      </c>
      <c r="T64" s="4">
        <v>-120.35545</v>
      </c>
      <c r="U64">
        <v>273</v>
      </c>
      <c r="V64" s="6">
        <v>83.210400000000007</v>
      </c>
      <c r="W64" s="2" t="s">
        <v>898</v>
      </c>
      <c r="X64" t="s">
        <v>2339</v>
      </c>
      <c r="Y64" t="s">
        <v>159</v>
      </c>
      <c r="Z64" t="s">
        <v>160</v>
      </c>
      <c r="AA64" t="s">
        <v>161</v>
      </c>
      <c r="AB64" s="40"/>
      <c r="AC64" s="40"/>
      <c r="AD64" s="40"/>
      <c r="AE64" s="40"/>
      <c r="AF64" s="40"/>
      <c r="AG64" s="40"/>
      <c r="AJ64" s="41">
        <v>0</v>
      </c>
      <c r="AL64">
        <f t="shared" si="0"/>
        <v>0</v>
      </c>
      <c r="AM64">
        <f t="shared" si="1"/>
        <v>0</v>
      </c>
      <c r="AN64">
        <f t="shared" si="2"/>
        <v>0</v>
      </c>
    </row>
    <row r="65" spans="1:40" x14ac:dyDescent="0.2">
      <c r="A65">
        <v>6</v>
      </c>
      <c r="B65" t="s">
        <v>162</v>
      </c>
      <c r="C65" s="2">
        <v>0</v>
      </c>
      <c r="D65" s="2">
        <v>0</v>
      </c>
      <c r="E65" s="2">
        <v>0</v>
      </c>
      <c r="F65" t="s">
        <v>1186</v>
      </c>
      <c r="G65" s="14" t="s">
        <v>1186</v>
      </c>
      <c r="H65" s="2" t="s">
        <v>1191</v>
      </c>
      <c r="I65">
        <v>25</v>
      </c>
      <c r="J65" t="s">
        <v>45</v>
      </c>
      <c r="K65">
        <v>2019</v>
      </c>
      <c r="L65" t="s">
        <v>33</v>
      </c>
      <c r="M65" t="s">
        <v>132</v>
      </c>
      <c r="N65">
        <v>29</v>
      </c>
      <c r="P65" t="s">
        <v>30</v>
      </c>
      <c r="R65" t="s">
        <v>89</v>
      </c>
      <c r="S65" s="4">
        <v>37.396509999999999</v>
      </c>
      <c r="T65" s="4">
        <v>-120.35545</v>
      </c>
      <c r="U65">
        <v>273</v>
      </c>
      <c r="V65" s="6">
        <v>83.210400000000007</v>
      </c>
      <c r="W65" s="2" t="s">
        <v>898</v>
      </c>
      <c r="X65" t="s">
        <v>2339</v>
      </c>
      <c r="Y65" t="s">
        <v>159</v>
      </c>
      <c r="Z65" t="s">
        <v>134</v>
      </c>
      <c r="AA65" t="s">
        <v>163</v>
      </c>
      <c r="AB65" s="40"/>
      <c r="AC65" s="40"/>
      <c r="AD65" s="40"/>
      <c r="AE65" s="40"/>
      <c r="AF65" s="40"/>
      <c r="AG65" s="40"/>
      <c r="AJ65" s="41">
        <v>0</v>
      </c>
      <c r="AL65">
        <f t="shared" si="0"/>
        <v>0</v>
      </c>
      <c r="AM65">
        <f t="shared" si="1"/>
        <v>0</v>
      </c>
      <c r="AN65">
        <f t="shared" si="2"/>
        <v>0</v>
      </c>
    </row>
    <row r="66" spans="1:40" x14ac:dyDescent="0.2">
      <c r="A66">
        <v>6</v>
      </c>
      <c r="B66" t="s">
        <v>164</v>
      </c>
      <c r="C66" s="2">
        <v>0</v>
      </c>
      <c r="D66" s="2">
        <v>0</v>
      </c>
      <c r="E66" s="2">
        <v>0</v>
      </c>
      <c r="F66" t="s">
        <v>1186</v>
      </c>
      <c r="G66" s="14" t="s">
        <v>1186</v>
      </c>
      <c r="H66" s="2" t="s">
        <v>1191</v>
      </c>
      <c r="I66">
        <v>25</v>
      </c>
      <c r="J66" t="s">
        <v>45</v>
      </c>
      <c r="K66">
        <v>2019</v>
      </c>
      <c r="L66" t="s">
        <v>33</v>
      </c>
      <c r="M66" t="s">
        <v>132</v>
      </c>
      <c r="N66">
        <v>26.5</v>
      </c>
      <c r="P66" t="s">
        <v>30</v>
      </c>
      <c r="R66" t="s">
        <v>89</v>
      </c>
      <c r="S66" s="4">
        <v>37.396509999999999</v>
      </c>
      <c r="T66" s="4">
        <v>-120.35545</v>
      </c>
      <c r="U66">
        <v>273</v>
      </c>
      <c r="V66" s="6">
        <v>83.210400000000007</v>
      </c>
      <c r="W66" s="2" t="s">
        <v>898</v>
      </c>
      <c r="X66" t="s">
        <v>2339</v>
      </c>
      <c r="Y66" t="s">
        <v>165</v>
      </c>
      <c r="Z66" t="s">
        <v>2497</v>
      </c>
      <c r="AA66" t="s">
        <v>166</v>
      </c>
      <c r="AB66" s="40"/>
      <c r="AC66" s="40"/>
      <c r="AD66" s="40"/>
      <c r="AE66" s="40"/>
      <c r="AF66" s="40"/>
      <c r="AG66" s="40"/>
      <c r="AJ66" s="41">
        <v>0</v>
      </c>
      <c r="AL66">
        <f t="shared" si="0"/>
        <v>0</v>
      </c>
      <c r="AM66">
        <f t="shared" si="1"/>
        <v>0</v>
      </c>
      <c r="AN66">
        <f t="shared" si="2"/>
        <v>0</v>
      </c>
    </row>
    <row r="67" spans="1:40" x14ac:dyDescent="0.2">
      <c r="A67">
        <v>6</v>
      </c>
      <c r="B67" t="s">
        <v>167</v>
      </c>
      <c r="C67" s="2">
        <v>0</v>
      </c>
      <c r="D67" s="2">
        <v>0</v>
      </c>
      <c r="E67" s="2">
        <v>0</v>
      </c>
      <c r="F67" t="s">
        <v>1186</v>
      </c>
      <c r="G67" s="14" t="s">
        <v>1186</v>
      </c>
      <c r="H67" s="2" t="s">
        <v>1191</v>
      </c>
      <c r="I67">
        <v>25</v>
      </c>
      <c r="J67" t="s">
        <v>45</v>
      </c>
      <c r="K67">
        <v>2019</v>
      </c>
      <c r="L67" t="s">
        <v>33</v>
      </c>
      <c r="M67" t="s">
        <v>132</v>
      </c>
      <c r="N67">
        <v>34</v>
      </c>
      <c r="P67" t="s">
        <v>30</v>
      </c>
      <c r="R67" t="s">
        <v>89</v>
      </c>
      <c r="S67" s="4">
        <v>37.396509999999999</v>
      </c>
      <c r="T67" s="4">
        <v>-120.35545</v>
      </c>
      <c r="U67">
        <v>273</v>
      </c>
      <c r="V67" s="6">
        <v>83.210400000000007</v>
      </c>
      <c r="W67" s="2" t="s">
        <v>898</v>
      </c>
      <c r="X67" t="s">
        <v>2339</v>
      </c>
      <c r="Y67" t="s">
        <v>168</v>
      </c>
      <c r="Z67" t="s">
        <v>134</v>
      </c>
      <c r="AA67" t="s">
        <v>169</v>
      </c>
      <c r="AB67" s="40"/>
      <c r="AC67" s="40"/>
      <c r="AD67" s="40"/>
      <c r="AE67" s="40"/>
      <c r="AF67" s="40"/>
      <c r="AG67" s="40"/>
      <c r="AJ67" s="41">
        <v>0</v>
      </c>
      <c r="AL67">
        <f t="shared" ref="AL67:AL130" si="3">C67*80</f>
        <v>0</v>
      </c>
      <c r="AM67">
        <f t="shared" ref="AM67:AM130" si="4">D67*80</f>
        <v>0</v>
      </c>
      <c r="AN67">
        <f t="shared" ref="AN67:AN130" si="5">E67*80</f>
        <v>0</v>
      </c>
    </row>
    <row r="68" spans="1:40" x14ac:dyDescent="0.2">
      <c r="A68">
        <v>6</v>
      </c>
      <c r="B68" t="s">
        <v>170</v>
      </c>
      <c r="C68" s="2">
        <v>0</v>
      </c>
      <c r="D68" s="2">
        <v>0</v>
      </c>
      <c r="E68" s="2">
        <v>0</v>
      </c>
      <c r="F68" t="s">
        <v>1186</v>
      </c>
      <c r="G68" s="14" t="s">
        <v>1186</v>
      </c>
      <c r="H68" s="2" t="s">
        <v>1191</v>
      </c>
      <c r="I68">
        <v>25</v>
      </c>
      <c r="J68" t="s">
        <v>45</v>
      </c>
      <c r="K68">
        <v>2019</v>
      </c>
      <c r="L68" t="s">
        <v>33</v>
      </c>
      <c r="M68" t="s">
        <v>132</v>
      </c>
      <c r="N68">
        <v>33</v>
      </c>
      <c r="P68" t="s">
        <v>37</v>
      </c>
      <c r="R68" t="s">
        <v>89</v>
      </c>
      <c r="S68" s="4">
        <v>37.396509999999999</v>
      </c>
      <c r="T68" s="4">
        <v>-120.35545</v>
      </c>
      <c r="U68">
        <v>273</v>
      </c>
      <c r="V68" s="6">
        <v>83.210400000000007</v>
      </c>
      <c r="W68" s="2" t="s">
        <v>898</v>
      </c>
      <c r="X68" t="s">
        <v>2339</v>
      </c>
      <c r="Y68" t="s">
        <v>171</v>
      </c>
      <c r="Z68" t="s">
        <v>134</v>
      </c>
      <c r="AA68" t="s">
        <v>172</v>
      </c>
      <c r="AB68" s="40"/>
      <c r="AC68" s="40"/>
      <c r="AD68" s="40"/>
      <c r="AE68" s="40"/>
      <c r="AF68" s="40"/>
      <c r="AG68" s="40"/>
      <c r="AJ68" s="41">
        <v>0</v>
      </c>
      <c r="AL68">
        <f t="shared" si="3"/>
        <v>0</v>
      </c>
      <c r="AM68">
        <f t="shared" si="4"/>
        <v>0</v>
      </c>
      <c r="AN68">
        <f t="shared" si="5"/>
        <v>0</v>
      </c>
    </row>
    <row r="69" spans="1:40" x14ac:dyDescent="0.2">
      <c r="A69">
        <v>6</v>
      </c>
      <c r="B69" t="s">
        <v>173</v>
      </c>
      <c r="C69" s="2">
        <v>0</v>
      </c>
      <c r="D69" s="2">
        <v>0</v>
      </c>
      <c r="E69" s="2">
        <v>0</v>
      </c>
      <c r="F69" t="s">
        <v>1186</v>
      </c>
      <c r="G69" s="14" t="s">
        <v>1186</v>
      </c>
      <c r="H69" s="2" t="s">
        <v>1191</v>
      </c>
      <c r="I69">
        <v>25</v>
      </c>
      <c r="J69" t="s">
        <v>45</v>
      </c>
      <c r="K69">
        <v>2019</v>
      </c>
      <c r="L69" t="s">
        <v>33</v>
      </c>
      <c r="M69" t="s">
        <v>132</v>
      </c>
      <c r="N69">
        <v>30</v>
      </c>
      <c r="P69" t="s">
        <v>30</v>
      </c>
      <c r="R69" t="s">
        <v>89</v>
      </c>
      <c r="S69" s="4">
        <v>37.396509999999999</v>
      </c>
      <c r="T69" s="4">
        <v>-120.35545</v>
      </c>
      <c r="U69">
        <v>273</v>
      </c>
      <c r="V69" s="6">
        <v>83.210400000000007</v>
      </c>
      <c r="W69" s="2" t="s">
        <v>898</v>
      </c>
      <c r="X69" t="s">
        <v>2339</v>
      </c>
      <c r="Y69" t="s">
        <v>174</v>
      </c>
      <c r="Z69" t="s">
        <v>134</v>
      </c>
      <c r="AA69" t="s">
        <v>175</v>
      </c>
      <c r="AB69" s="40"/>
      <c r="AC69" s="40"/>
      <c r="AD69" s="40"/>
      <c r="AE69" s="40"/>
      <c r="AF69" s="40"/>
      <c r="AG69" s="40"/>
      <c r="AJ69" s="41">
        <v>0</v>
      </c>
      <c r="AL69">
        <f t="shared" si="3"/>
        <v>0</v>
      </c>
      <c r="AM69">
        <f t="shared" si="4"/>
        <v>0</v>
      </c>
      <c r="AN69">
        <f t="shared" si="5"/>
        <v>0</v>
      </c>
    </row>
    <row r="70" spans="1:40" x14ac:dyDescent="0.2">
      <c r="A70">
        <v>6</v>
      </c>
      <c r="B70" t="s">
        <v>176</v>
      </c>
      <c r="C70" s="2">
        <v>0</v>
      </c>
      <c r="D70" s="2">
        <v>0</v>
      </c>
      <c r="E70" s="2">
        <v>0</v>
      </c>
      <c r="F70" t="s">
        <v>1186</v>
      </c>
      <c r="G70" s="14" t="s">
        <v>1186</v>
      </c>
      <c r="H70" s="2" t="s">
        <v>1191</v>
      </c>
      <c r="I70">
        <v>25</v>
      </c>
      <c r="J70" t="s">
        <v>45</v>
      </c>
      <c r="K70">
        <v>2019</v>
      </c>
      <c r="L70" s="45" t="s">
        <v>137</v>
      </c>
      <c r="M70" t="s">
        <v>132</v>
      </c>
      <c r="N70">
        <v>25</v>
      </c>
      <c r="P70" t="s">
        <v>37</v>
      </c>
      <c r="Q70" s="45"/>
      <c r="R70" s="45" t="s">
        <v>39</v>
      </c>
      <c r="S70" s="4">
        <v>37.396509999999999</v>
      </c>
      <c r="T70" s="4">
        <v>-120.35545</v>
      </c>
      <c r="U70">
        <v>273</v>
      </c>
      <c r="V70" s="6">
        <v>83.210400000000007</v>
      </c>
      <c r="W70" s="2" t="s">
        <v>898</v>
      </c>
      <c r="X70" t="s">
        <v>2339</v>
      </c>
      <c r="Y70" t="s">
        <v>177</v>
      </c>
      <c r="Z70" t="s">
        <v>134</v>
      </c>
      <c r="AA70" s="45" t="s">
        <v>178</v>
      </c>
      <c r="AB70" s="40"/>
      <c r="AC70" s="40"/>
      <c r="AD70" s="40"/>
      <c r="AE70" s="40"/>
      <c r="AF70" s="40"/>
      <c r="AG70" s="40"/>
      <c r="AJ70" s="41">
        <v>0</v>
      </c>
      <c r="AL70">
        <f t="shared" si="3"/>
        <v>0</v>
      </c>
      <c r="AM70">
        <f t="shared" si="4"/>
        <v>0</v>
      </c>
      <c r="AN70">
        <f t="shared" si="5"/>
        <v>0</v>
      </c>
    </row>
    <row r="71" spans="1:40" x14ac:dyDescent="0.2">
      <c r="A71">
        <v>6</v>
      </c>
      <c r="B71" t="s">
        <v>179</v>
      </c>
      <c r="C71" s="2">
        <v>0</v>
      </c>
      <c r="D71" s="2">
        <v>0</v>
      </c>
      <c r="E71" s="2">
        <v>0</v>
      </c>
      <c r="F71" t="s">
        <v>1186</v>
      </c>
      <c r="G71" s="14" t="s">
        <v>1186</v>
      </c>
      <c r="H71" s="2" t="s">
        <v>1191</v>
      </c>
      <c r="I71">
        <v>25</v>
      </c>
      <c r="J71" t="s">
        <v>45</v>
      </c>
      <c r="K71">
        <v>2019</v>
      </c>
      <c r="L71" t="s">
        <v>137</v>
      </c>
      <c r="M71" t="s">
        <v>132</v>
      </c>
      <c r="N71">
        <v>26.5</v>
      </c>
      <c r="P71" t="s">
        <v>37</v>
      </c>
      <c r="Q71" s="2"/>
      <c r="R71" s="45" t="s">
        <v>39</v>
      </c>
      <c r="S71" s="4">
        <v>37.396509999999999</v>
      </c>
      <c r="T71" s="4">
        <v>-120.35545</v>
      </c>
      <c r="U71">
        <v>273</v>
      </c>
      <c r="V71" s="6">
        <v>83.210400000000007</v>
      </c>
      <c r="W71" s="2" t="s">
        <v>898</v>
      </c>
      <c r="X71" t="s">
        <v>2339</v>
      </c>
      <c r="Y71" t="s">
        <v>177</v>
      </c>
      <c r="Z71" t="s">
        <v>134</v>
      </c>
      <c r="AA71" t="s">
        <v>180</v>
      </c>
      <c r="AB71" s="40"/>
      <c r="AC71" s="40"/>
      <c r="AD71" s="40"/>
      <c r="AE71" s="40"/>
      <c r="AF71" s="40"/>
      <c r="AG71" s="40"/>
      <c r="AJ71" s="41">
        <v>0</v>
      </c>
      <c r="AL71">
        <f t="shared" si="3"/>
        <v>0</v>
      </c>
      <c r="AM71">
        <f t="shared" si="4"/>
        <v>0</v>
      </c>
      <c r="AN71">
        <f t="shared" si="5"/>
        <v>0</v>
      </c>
    </row>
    <row r="72" spans="1:40" x14ac:dyDescent="0.2">
      <c r="A72">
        <v>6</v>
      </c>
      <c r="B72" t="s">
        <v>181</v>
      </c>
      <c r="C72" s="2">
        <v>0</v>
      </c>
      <c r="D72" s="2">
        <v>0</v>
      </c>
      <c r="E72" s="2">
        <v>0</v>
      </c>
      <c r="F72" t="s">
        <v>1186</v>
      </c>
      <c r="G72" s="14" t="s">
        <v>1186</v>
      </c>
      <c r="H72" s="2" t="s">
        <v>1191</v>
      </c>
      <c r="I72">
        <v>25</v>
      </c>
      <c r="J72" t="s">
        <v>45</v>
      </c>
      <c r="K72">
        <v>2019</v>
      </c>
      <c r="L72" t="s">
        <v>137</v>
      </c>
      <c r="M72" t="s">
        <v>132</v>
      </c>
      <c r="N72">
        <v>23</v>
      </c>
      <c r="P72" t="s">
        <v>37</v>
      </c>
      <c r="Q72" s="2"/>
      <c r="R72" s="45" t="s">
        <v>39</v>
      </c>
      <c r="S72" s="4">
        <v>37.396509999999999</v>
      </c>
      <c r="T72" s="4">
        <v>-120.35545</v>
      </c>
      <c r="U72">
        <v>273</v>
      </c>
      <c r="V72" s="6">
        <v>83.210400000000007</v>
      </c>
      <c r="W72" s="2" t="s">
        <v>898</v>
      </c>
      <c r="X72" t="s">
        <v>2339</v>
      </c>
      <c r="Y72" t="s">
        <v>182</v>
      </c>
      <c r="Z72" t="s">
        <v>134</v>
      </c>
      <c r="AA72" t="s">
        <v>183</v>
      </c>
      <c r="AB72" s="40"/>
      <c r="AC72" s="40"/>
      <c r="AD72" s="40"/>
      <c r="AE72" s="40"/>
      <c r="AF72" s="40"/>
      <c r="AG72" s="40"/>
      <c r="AJ72" s="41">
        <v>0</v>
      </c>
      <c r="AL72">
        <f t="shared" si="3"/>
        <v>0</v>
      </c>
      <c r="AM72">
        <f t="shared" si="4"/>
        <v>0</v>
      </c>
      <c r="AN72">
        <f t="shared" si="5"/>
        <v>0</v>
      </c>
    </row>
    <row r="73" spans="1:40" x14ac:dyDescent="0.2">
      <c r="A73">
        <v>6</v>
      </c>
      <c r="B73" t="s">
        <v>184</v>
      </c>
      <c r="C73" s="2">
        <v>0</v>
      </c>
      <c r="D73" s="2">
        <v>0</v>
      </c>
      <c r="E73" s="2">
        <v>0</v>
      </c>
      <c r="F73" t="s">
        <v>1186</v>
      </c>
      <c r="G73" s="14" t="s">
        <v>1186</v>
      </c>
      <c r="H73" s="2" t="s">
        <v>1191</v>
      </c>
      <c r="I73">
        <v>25</v>
      </c>
      <c r="J73" t="s">
        <v>45</v>
      </c>
      <c r="K73">
        <v>2019</v>
      </c>
      <c r="L73" t="s">
        <v>33</v>
      </c>
      <c r="M73" t="s">
        <v>132</v>
      </c>
      <c r="N73">
        <v>23</v>
      </c>
      <c r="P73" t="s">
        <v>30</v>
      </c>
      <c r="R73" t="s">
        <v>89</v>
      </c>
      <c r="S73" s="4">
        <v>37.396509999999999</v>
      </c>
      <c r="T73" s="4">
        <v>-120.35545</v>
      </c>
      <c r="U73">
        <v>273</v>
      </c>
      <c r="V73" s="6">
        <v>83.210400000000007</v>
      </c>
      <c r="W73" s="2" t="s">
        <v>898</v>
      </c>
      <c r="X73" t="s">
        <v>2339</v>
      </c>
      <c r="Y73" t="s">
        <v>182</v>
      </c>
      <c r="Z73" t="s">
        <v>134</v>
      </c>
      <c r="AA73" t="s">
        <v>185</v>
      </c>
      <c r="AB73" s="40"/>
      <c r="AC73" s="40"/>
      <c r="AD73" s="40"/>
      <c r="AE73" s="40"/>
      <c r="AF73" s="40"/>
      <c r="AG73" s="40"/>
      <c r="AJ73" s="41">
        <v>0</v>
      </c>
      <c r="AL73">
        <f t="shared" si="3"/>
        <v>0</v>
      </c>
      <c r="AM73">
        <f t="shared" si="4"/>
        <v>0</v>
      </c>
      <c r="AN73">
        <f t="shared" si="5"/>
        <v>0</v>
      </c>
    </row>
    <row r="74" spans="1:40" x14ac:dyDescent="0.2">
      <c r="A74">
        <v>6</v>
      </c>
      <c r="B74" t="s">
        <v>186</v>
      </c>
      <c r="C74" s="2">
        <v>0</v>
      </c>
      <c r="D74" s="2">
        <v>0</v>
      </c>
      <c r="E74" s="2">
        <v>0</v>
      </c>
      <c r="F74" t="s">
        <v>1186</v>
      </c>
      <c r="G74" s="14" t="s">
        <v>1186</v>
      </c>
      <c r="H74" s="2" t="s">
        <v>1191</v>
      </c>
      <c r="I74">
        <v>25</v>
      </c>
      <c r="J74" t="s">
        <v>45</v>
      </c>
      <c r="K74">
        <v>2019</v>
      </c>
      <c r="L74" t="s">
        <v>33</v>
      </c>
      <c r="M74" t="s">
        <v>132</v>
      </c>
      <c r="N74">
        <v>29</v>
      </c>
      <c r="P74" t="s">
        <v>30</v>
      </c>
      <c r="R74" t="s">
        <v>89</v>
      </c>
      <c r="S74" s="4">
        <v>37.396509999999999</v>
      </c>
      <c r="T74" s="4">
        <v>-120.35545</v>
      </c>
      <c r="U74">
        <v>273</v>
      </c>
      <c r="V74" s="6">
        <v>83.210400000000007</v>
      </c>
      <c r="W74" s="2" t="s">
        <v>898</v>
      </c>
      <c r="X74" t="s">
        <v>2339</v>
      </c>
      <c r="Y74" t="s">
        <v>187</v>
      </c>
      <c r="Z74" t="s">
        <v>134</v>
      </c>
      <c r="AA74" t="s">
        <v>188</v>
      </c>
      <c r="AB74" s="40"/>
      <c r="AC74" s="40"/>
      <c r="AD74" s="40"/>
      <c r="AE74" s="40"/>
      <c r="AF74" s="40"/>
      <c r="AG74" s="40"/>
      <c r="AJ74" s="41">
        <v>0</v>
      </c>
      <c r="AL74">
        <f t="shared" si="3"/>
        <v>0</v>
      </c>
      <c r="AM74">
        <f t="shared" si="4"/>
        <v>0</v>
      </c>
      <c r="AN74">
        <f t="shared" si="5"/>
        <v>0</v>
      </c>
    </row>
    <row r="75" spans="1:40" x14ac:dyDescent="0.2">
      <c r="A75">
        <v>6</v>
      </c>
      <c r="B75" t="s">
        <v>189</v>
      </c>
      <c r="C75" s="2">
        <v>0</v>
      </c>
      <c r="D75" s="2">
        <v>0</v>
      </c>
      <c r="E75" s="2">
        <v>0</v>
      </c>
      <c r="F75" t="s">
        <v>1186</v>
      </c>
      <c r="G75" s="14" t="s">
        <v>1186</v>
      </c>
      <c r="H75" s="2" t="s">
        <v>1191</v>
      </c>
      <c r="I75">
        <v>25</v>
      </c>
      <c r="J75" t="s">
        <v>45</v>
      </c>
      <c r="K75">
        <v>2019</v>
      </c>
      <c r="L75" t="s">
        <v>137</v>
      </c>
      <c r="M75" t="s">
        <v>132</v>
      </c>
      <c r="N75">
        <v>23</v>
      </c>
      <c r="P75" t="s">
        <v>37</v>
      </c>
      <c r="Q75" s="2"/>
      <c r="R75" s="45" t="s">
        <v>39</v>
      </c>
      <c r="S75" s="4">
        <v>37.396509999999999</v>
      </c>
      <c r="T75" s="4">
        <v>-120.35545</v>
      </c>
      <c r="U75">
        <v>273</v>
      </c>
      <c r="V75" s="6">
        <v>83.210400000000007</v>
      </c>
      <c r="W75" s="2" t="s">
        <v>898</v>
      </c>
      <c r="X75" t="s">
        <v>2339</v>
      </c>
      <c r="Y75" t="s">
        <v>190</v>
      </c>
      <c r="Z75" t="s">
        <v>134</v>
      </c>
      <c r="AA75" t="s">
        <v>191</v>
      </c>
      <c r="AB75" s="40"/>
      <c r="AC75" s="40"/>
      <c r="AD75" s="40"/>
      <c r="AE75" s="40"/>
      <c r="AF75" s="40"/>
      <c r="AG75" s="40"/>
      <c r="AJ75" s="41">
        <v>0</v>
      </c>
      <c r="AL75">
        <f t="shared" si="3"/>
        <v>0</v>
      </c>
      <c r="AM75">
        <f t="shared" si="4"/>
        <v>0</v>
      </c>
      <c r="AN75">
        <f t="shared" si="5"/>
        <v>0</v>
      </c>
    </row>
    <row r="76" spans="1:40" x14ac:dyDescent="0.2">
      <c r="A76">
        <v>6</v>
      </c>
      <c r="B76" t="s">
        <v>192</v>
      </c>
      <c r="C76" s="2">
        <v>0</v>
      </c>
      <c r="D76" s="2">
        <v>0</v>
      </c>
      <c r="E76" s="2">
        <v>0</v>
      </c>
      <c r="F76" t="s">
        <v>1186</v>
      </c>
      <c r="G76" s="14" t="s">
        <v>1186</v>
      </c>
      <c r="H76" s="2" t="s">
        <v>1191</v>
      </c>
      <c r="I76">
        <v>25</v>
      </c>
      <c r="J76" t="s">
        <v>45</v>
      </c>
      <c r="K76">
        <v>2019</v>
      </c>
      <c r="L76" t="s">
        <v>33</v>
      </c>
      <c r="M76" t="s">
        <v>132</v>
      </c>
      <c r="N76">
        <v>27</v>
      </c>
      <c r="P76" t="s">
        <v>37</v>
      </c>
      <c r="R76" t="s">
        <v>89</v>
      </c>
      <c r="S76" s="4">
        <v>37.396509999999999</v>
      </c>
      <c r="T76" s="4">
        <v>-120.35545</v>
      </c>
      <c r="U76">
        <v>273</v>
      </c>
      <c r="V76" s="6">
        <v>83.210400000000007</v>
      </c>
      <c r="W76" s="2" t="s">
        <v>898</v>
      </c>
      <c r="X76" t="s">
        <v>2339</v>
      </c>
      <c r="Y76" t="s">
        <v>193</v>
      </c>
      <c r="Z76" t="s">
        <v>134</v>
      </c>
      <c r="AA76" t="s">
        <v>194</v>
      </c>
      <c r="AB76" s="40"/>
      <c r="AC76" s="40"/>
      <c r="AD76" s="40"/>
      <c r="AE76" s="40"/>
      <c r="AF76" s="40"/>
      <c r="AG76" s="40"/>
      <c r="AJ76" s="41">
        <v>0</v>
      </c>
      <c r="AL76">
        <f t="shared" si="3"/>
        <v>0</v>
      </c>
      <c r="AM76">
        <f t="shared" si="4"/>
        <v>0</v>
      </c>
      <c r="AN76">
        <f t="shared" si="5"/>
        <v>0</v>
      </c>
    </row>
    <row r="77" spans="1:40" x14ac:dyDescent="0.2">
      <c r="A77">
        <v>7</v>
      </c>
      <c r="B77" t="s">
        <v>195</v>
      </c>
      <c r="C77" s="2">
        <v>0</v>
      </c>
      <c r="D77" s="2">
        <v>0</v>
      </c>
      <c r="E77" s="2">
        <v>0</v>
      </c>
      <c r="F77" t="s">
        <v>1186</v>
      </c>
      <c r="G77" s="14" t="s">
        <v>1186</v>
      </c>
      <c r="H77" s="2" t="s">
        <v>1191</v>
      </c>
      <c r="I77">
        <v>26</v>
      </c>
      <c r="J77" t="s">
        <v>45</v>
      </c>
      <c r="K77">
        <v>2019</v>
      </c>
      <c r="L77" t="s">
        <v>33</v>
      </c>
      <c r="M77" t="s">
        <v>132</v>
      </c>
      <c r="N77">
        <v>26</v>
      </c>
      <c r="P77" t="s">
        <v>37</v>
      </c>
      <c r="R77" t="s">
        <v>89</v>
      </c>
      <c r="S77" s="4">
        <v>37.39667</v>
      </c>
      <c r="T77" s="4">
        <v>-120.35590000000001</v>
      </c>
      <c r="U77">
        <v>270</v>
      </c>
      <c r="V77" s="6">
        <v>82.296000000000006</v>
      </c>
      <c r="W77" s="2" t="s">
        <v>898</v>
      </c>
      <c r="X77" t="s">
        <v>2340</v>
      </c>
      <c r="Y77" t="s">
        <v>143</v>
      </c>
      <c r="Z77" t="s">
        <v>134</v>
      </c>
      <c r="AA77" t="s">
        <v>196</v>
      </c>
      <c r="AJ77" s="41">
        <v>0</v>
      </c>
      <c r="AL77">
        <f t="shared" si="3"/>
        <v>0</v>
      </c>
      <c r="AM77">
        <f t="shared" si="4"/>
        <v>0</v>
      </c>
      <c r="AN77">
        <f t="shared" si="5"/>
        <v>0</v>
      </c>
    </row>
    <row r="78" spans="1:40" x14ac:dyDescent="0.2">
      <c r="A78">
        <v>7</v>
      </c>
      <c r="B78" t="s">
        <v>197</v>
      </c>
      <c r="C78" s="2">
        <v>0</v>
      </c>
      <c r="D78" s="2">
        <v>0</v>
      </c>
      <c r="E78" s="2">
        <v>0</v>
      </c>
      <c r="F78" t="s">
        <v>1186</v>
      </c>
      <c r="G78" s="14" t="s">
        <v>1186</v>
      </c>
      <c r="H78" s="2" t="s">
        <v>1191</v>
      </c>
      <c r="I78">
        <v>26</v>
      </c>
      <c r="J78" t="s">
        <v>45</v>
      </c>
      <c r="K78">
        <v>2019</v>
      </c>
      <c r="L78" t="s">
        <v>33</v>
      </c>
      <c r="M78" t="s">
        <v>132</v>
      </c>
      <c r="N78">
        <v>26</v>
      </c>
      <c r="P78" t="s">
        <v>37</v>
      </c>
      <c r="R78" t="s">
        <v>89</v>
      </c>
      <c r="S78" s="4">
        <v>37.39667</v>
      </c>
      <c r="T78" s="4">
        <v>-120.35590000000001</v>
      </c>
      <c r="U78">
        <v>270</v>
      </c>
      <c r="V78" s="6">
        <v>82.296000000000006</v>
      </c>
      <c r="W78" s="2" t="s">
        <v>898</v>
      </c>
      <c r="X78" t="s">
        <v>2340</v>
      </c>
      <c r="Y78" t="s">
        <v>198</v>
      </c>
      <c r="Z78" t="s">
        <v>134</v>
      </c>
      <c r="AA78" t="s">
        <v>199</v>
      </c>
      <c r="AJ78" s="41">
        <v>0</v>
      </c>
      <c r="AL78">
        <f t="shared" si="3"/>
        <v>0</v>
      </c>
      <c r="AM78">
        <f t="shared" si="4"/>
        <v>0</v>
      </c>
      <c r="AN78">
        <f t="shared" si="5"/>
        <v>0</v>
      </c>
    </row>
    <row r="79" spans="1:40" x14ac:dyDescent="0.2">
      <c r="A79">
        <v>7</v>
      </c>
      <c r="B79" t="s">
        <v>200</v>
      </c>
      <c r="C79" s="2">
        <v>4.1698057199999999E-2</v>
      </c>
      <c r="D79" s="2">
        <v>0</v>
      </c>
      <c r="E79" s="2">
        <v>0</v>
      </c>
      <c r="F79" t="s">
        <v>1186</v>
      </c>
      <c r="G79" s="14" t="s">
        <v>1186</v>
      </c>
      <c r="H79" s="2" t="s">
        <v>1191</v>
      </c>
      <c r="I79">
        <v>26</v>
      </c>
      <c r="J79" t="s">
        <v>45</v>
      </c>
      <c r="K79">
        <v>2019</v>
      </c>
      <c r="L79" t="s">
        <v>33</v>
      </c>
      <c r="M79" t="s">
        <v>132</v>
      </c>
      <c r="N79">
        <v>26</v>
      </c>
      <c r="P79" t="s">
        <v>30</v>
      </c>
      <c r="R79" t="s">
        <v>89</v>
      </c>
      <c r="S79" s="4">
        <v>37.39667</v>
      </c>
      <c r="T79" s="4">
        <v>-120.35590000000001</v>
      </c>
      <c r="U79">
        <v>270</v>
      </c>
      <c r="V79" s="6">
        <v>82.296000000000006</v>
      </c>
      <c r="W79" s="2" t="s">
        <v>898</v>
      </c>
      <c r="X79" t="s">
        <v>2340</v>
      </c>
      <c r="Y79" t="s">
        <v>201</v>
      </c>
      <c r="Z79" t="s">
        <v>134</v>
      </c>
      <c r="AA79" t="s">
        <v>202</v>
      </c>
      <c r="AJ79" s="41">
        <v>0</v>
      </c>
      <c r="AL79">
        <f t="shared" si="3"/>
        <v>3.335844576</v>
      </c>
      <c r="AM79">
        <f t="shared" si="4"/>
        <v>0</v>
      </c>
      <c r="AN79">
        <f t="shared" si="5"/>
        <v>0</v>
      </c>
    </row>
    <row r="80" spans="1:40" x14ac:dyDescent="0.2">
      <c r="A80">
        <v>7</v>
      </c>
      <c r="B80" t="s">
        <v>203</v>
      </c>
      <c r="C80" s="2">
        <v>0</v>
      </c>
      <c r="D80" s="2">
        <v>0</v>
      </c>
      <c r="E80" s="2">
        <v>0</v>
      </c>
      <c r="F80" t="s">
        <v>1186</v>
      </c>
      <c r="G80" s="14" t="s">
        <v>1186</v>
      </c>
      <c r="H80" s="2" t="s">
        <v>1191</v>
      </c>
      <c r="I80">
        <v>26</v>
      </c>
      <c r="J80" t="s">
        <v>45</v>
      </c>
      <c r="K80">
        <v>2019</v>
      </c>
      <c r="L80" t="s">
        <v>137</v>
      </c>
      <c r="M80" t="s">
        <v>132</v>
      </c>
      <c r="N80">
        <v>23</v>
      </c>
      <c r="P80" t="s">
        <v>37</v>
      </c>
      <c r="Q80" s="45"/>
      <c r="R80" s="45" t="s">
        <v>39</v>
      </c>
      <c r="S80" s="4">
        <v>37.39667</v>
      </c>
      <c r="T80" s="4">
        <v>-120.35590000000001</v>
      </c>
      <c r="U80">
        <v>270</v>
      </c>
      <c r="V80" s="6">
        <v>82.296000000000006</v>
      </c>
      <c r="W80" s="2" t="s">
        <v>898</v>
      </c>
      <c r="X80" t="s">
        <v>2340</v>
      </c>
      <c r="Y80" t="s">
        <v>152</v>
      </c>
      <c r="Z80" t="s">
        <v>134</v>
      </c>
      <c r="AA80" t="s">
        <v>204</v>
      </c>
      <c r="AJ80" s="41">
        <v>0</v>
      </c>
      <c r="AL80">
        <f t="shared" si="3"/>
        <v>0</v>
      </c>
      <c r="AM80">
        <f t="shared" si="4"/>
        <v>0</v>
      </c>
      <c r="AN80">
        <f t="shared" si="5"/>
        <v>0</v>
      </c>
    </row>
    <row r="81" spans="1:40" x14ac:dyDescent="0.2">
      <c r="A81">
        <v>7</v>
      </c>
      <c r="B81" t="s">
        <v>205</v>
      </c>
      <c r="C81" s="2">
        <v>0</v>
      </c>
      <c r="D81" s="2">
        <v>0</v>
      </c>
      <c r="E81" s="2">
        <v>0</v>
      </c>
      <c r="F81" t="s">
        <v>1186</v>
      </c>
      <c r="G81" s="14" t="s">
        <v>1186</v>
      </c>
      <c r="H81" s="2" t="s">
        <v>1191</v>
      </c>
      <c r="I81">
        <v>26</v>
      </c>
      <c r="J81" t="s">
        <v>45</v>
      </c>
      <c r="K81">
        <v>2019</v>
      </c>
      <c r="L81" t="s">
        <v>33</v>
      </c>
      <c r="M81" t="s">
        <v>132</v>
      </c>
      <c r="N81">
        <v>30</v>
      </c>
      <c r="P81" t="s">
        <v>37</v>
      </c>
      <c r="R81" t="s">
        <v>89</v>
      </c>
      <c r="S81" s="4">
        <v>37.39667</v>
      </c>
      <c r="T81" s="4">
        <v>-120.35590000000001</v>
      </c>
      <c r="U81">
        <v>270</v>
      </c>
      <c r="V81" s="6">
        <v>82.296000000000006</v>
      </c>
      <c r="W81" s="2" t="s">
        <v>898</v>
      </c>
      <c r="X81" t="s">
        <v>2340</v>
      </c>
      <c r="Y81" t="s">
        <v>159</v>
      </c>
      <c r="Z81" t="s">
        <v>134</v>
      </c>
      <c r="AA81" t="s">
        <v>206</v>
      </c>
      <c r="AJ81" s="41">
        <v>0</v>
      </c>
      <c r="AL81">
        <f t="shared" si="3"/>
        <v>0</v>
      </c>
      <c r="AM81">
        <f t="shared" si="4"/>
        <v>0</v>
      </c>
      <c r="AN81">
        <f t="shared" si="5"/>
        <v>0</v>
      </c>
    </row>
    <row r="82" spans="1:40" x14ac:dyDescent="0.2">
      <c r="A82">
        <v>7</v>
      </c>
      <c r="B82" t="s">
        <v>207</v>
      </c>
      <c r="C82" s="2">
        <v>0</v>
      </c>
      <c r="D82" s="2">
        <v>0</v>
      </c>
      <c r="E82" s="2">
        <v>0</v>
      </c>
      <c r="F82" t="s">
        <v>1186</v>
      </c>
      <c r="G82" s="14" t="s">
        <v>1186</v>
      </c>
      <c r="H82" s="2" t="s">
        <v>1191</v>
      </c>
      <c r="I82">
        <v>26</v>
      </c>
      <c r="J82" t="s">
        <v>45</v>
      </c>
      <c r="K82">
        <v>2019</v>
      </c>
      <c r="L82" t="s">
        <v>33</v>
      </c>
      <c r="M82" t="s">
        <v>132</v>
      </c>
      <c r="N82">
        <v>28</v>
      </c>
      <c r="P82" t="s">
        <v>30</v>
      </c>
      <c r="R82" t="s">
        <v>89</v>
      </c>
      <c r="S82" s="4">
        <v>37.39667</v>
      </c>
      <c r="T82" s="4">
        <v>-120.35590000000001</v>
      </c>
      <c r="U82">
        <v>270</v>
      </c>
      <c r="V82" s="6">
        <v>82.296000000000006</v>
      </c>
      <c r="W82" s="2" t="s">
        <v>898</v>
      </c>
      <c r="X82" t="s">
        <v>2340</v>
      </c>
      <c r="Y82" t="s">
        <v>159</v>
      </c>
      <c r="Z82" t="s">
        <v>134</v>
      </c>
      <c r="AA82" t="s">
        <v>208</v>
      </c>
      <c r="AJ82" s="41">
        <v>0</v>
      </c>
      <c r="AL82">
        <f t="shared" si="3"/>
        <v>0</v>
      </c>
      <c r="AM82">
        <f t="shared" si="4"/>
        <v>0</v>
      </c>
      <c r="AN82">
        <f t="shared" si="5"/>
        <v>0</v>
      </c>
    </row>
    <row r="83" spans="1:40" x14ac:dyDescent="0.2">
      <c r="A83">
        <v>7</v>
      </c>
      <c r="B83" t="s">
        <v>209</v>
      </c>
      <c r="C83" s="2">
        <v>0</v>
      </c>
      <c r="D83" s="2">
        <v>0</v>
      </c>
      <c r="E83" s="2">
        <v>0</v>
      </c>
      <c r="F83" t="s">
        <v>1186</v>
      </c>
      <c r="G83" s="14" t="s">
        <v>1186</v>
      </c>
      <c r="H83" s="2" t="s">
        <v>1191</v>
      </c>
      <c r="I83">
        <v>26</v>
      </c>
      <c r="J83" t="s">
        <v>45</v>
      </c>
      <c r="K83">
        <v>2019</v>
      </c>
      <c r="L83" t="s">
        <v>33</v>
      </c>
      <c r="M83" t="s">
        <v>132</v>
      </c>
      <c r="N83">
        <v>30.5</v>
      </c>
      <c r="P83" t="s">
        <v>30</v>
      </c>
      <c r="R83" t="s">
        <v>89</v>
      </c>
      <c r="S83" s="4">
        <v>37.39667</v>
      </c>
      <c r="T83" s="4">
        <v>-120.35590000000001</v>
      </c>
      <c r="U83">
        <v>270</v>
      </c>
      <c r="V83" s="6">
        <v>82.296000000000006</v>
      </c>
      <c r="W83" s="2" t="s">
        <v>898</v>
      </c>
      <c r="X83" t="s">
        <v>2340</v>
      </c>
      <c r="Y83" t="s">
        <v>165</v>
      </c>
      <c r="Z83" t="s">
        <v>134</v>
      </c>
      <c r="AA83" t="s">
        <v>210</v>
      </c>
      <c r="AJ83" s="41">
        <v>0</v>
      </c>
      <c r="AL83">
        <f t="shared" si="3"/>
        <v>0</v>
      </c>
      <c r="AM83">
        <f t="shared" si="4"/>
        <v>0</v>
      </c>
      <c r="AN83">
        <f t="shared" si="5"/>
        <v>0</v>
      </c>
    </row>
    <row r="84" spans="1:40" x14ac:dyDescent="0.2">
      <c r="A84">
        <v>7</v>
      </c>
      <c r="B84" t="s">
        <v>211</v>
      </c>
      <c r="C84" s="2">
        <v>0</v>
      </c>
      <c r="D84" s="2">
        <v>0</v>
      </c>
      <c r="E84" s="2">
        <v>0</v>
      </c>
      <c r="F84" t="s">
        <v>1186</v>
      </c>
      <c r="G84" s="14" t="s">
        <v>1186</v>
      </c>
      <c r="H84" s="2" t="s">
        <v>1191</v>
      </c>
      <c r="I84">
        <v>26</v>
      </c>
      <c r="J84" t="s">
        <v>45</v>
      </c>
      <c r="K84">
        <v>2019</v>
      </c>
      <c r="L84" t="s">
        <v>33</v>
      </c>
      <c r="M84" t="s">
        <v>132</v>
      </c>
      <c r="N84">
        <v>28.5</v>
      </c>
      <c r="P84" t="s">
        <v>30</v>
      </c>
      <c r="R84" t="s">
        <v>89</v>
      </c>
      <c r="S84" s="4">
        <v>37.39667</v>
      </c>
      <c r="T84" s="4">
        <v>-120.35590000000001</v>
      </c>
      <c r="U84">
        <v>270</v>
      </c>
      <c r="V84" s="6">
        <v>82.296000000000006</v>
      </c>
      <c r="W84" s="2" t="s">
        <v>898</v>
      </c>
      <c r="X84" t="s">
        <v>2340</v>
      </c>
      <c r="Y84" t="s">
        <v>165</v>
      </c>
      <c r="Z84" t="s">
        <v>134</v>
      </c>
      <c r="AA84" t="s">
        <v>212</v>
      </c>
      <c r="AJ84" s="41">
        <v>0</v>
      </c>
      <c r="AL84">
        <f t="shared" si="3"/>
        <v>0</v>
      </c>
      <c r="AM84">
        <f t="shared" si="4"/>
        <v>0</v>
      </c>
      <c r="AN84">
        <f t="shared" si="5"/>
        <v>0</v>
      </c>
    </row>
    <row r="85" spans="1:40" x14ac:dyDescent="0.2">
      <c r="A85">
        <v>7</v>
      </c>
      <c r="B85" t="s">
        <v>213</v>
      </c>
      <c r="C85" s="2">
        <v>0</v>
      </c>
      <c r="D85" s="2">
        <v>0</v>
      </c>
      <c r="E85" s="2">
        <v>0</v>
      </c>
      <c r="F85" t="s">
        <v>1186</v>
      </c>
      <c r="G85" s="14" t="s">
        <v>1186</v>
      </c>
      <c r="H85" s="2" t="s">
        <v>1191</v>
      </c>
      <c r="I85">
        <v>26</v>
      </c>
      <c r="J85" t="s">
        <v>45</v>
      </c>
      <c r="K85">
        <v>2019</v>
      </c>
      <c r="L85" t="s">
        <v>33</v>
      </c>
      <c r="M85" t="s">
        <v>132</v>
      </c>
      <c r="N85">
        <v>30</v>
      </c>
      <c r="P85" t="s">
        <v>30</v>
      </c>
      <c r="R85" t="s">
        <v>89</v>
      </c>
      <c r="S85" s="4">
        <v>37.39667</v>
      </c>
      <c r="T85" s="4">
        <v>-120.35590000000001</v>
      </c>
      <c r="U85">
        <v>270</v>
      </c>
      <c r="V85" s="6">
        <v>82.296000000000006</v>
      </c>
      <c r="W85" s="2" t="s">
        <v>898</v>
      </c>
      <c r="X85" t="s">
        <v>2340</v>
      </c>
      <c r="Y85" t="s">
        <v>168</v>
      </c>
      <c r="Z85" t="s">
        <v>134</v>
      </c>
      <c r="AA85" t="s">
        <v>214</v>
      </c>
      <c r="AJ85" s="41">
        <v>0</v>
      </c>
      <c r="AL85">
        <f t="shared" si="3"/>
        <v>0</v>
      </c>
      <c r="AM85">
        <f t="shared" si="4"/>
        <v>0</v>
      </c>
      <c r="AN85">
        <f t="shared" si="5"/>
        <v>0</v>
      </c>
    </row>
    <row r="86" spans="1:40" x14ac:dyDescent="0.2">
      <c r="A86">
        <v>7</v>
      </c>
      <c r="B86" t="s">
        <v>215</v>
      </c>
      <c r="C86" s="2">
        <v>0</v>
      </c>
      <c r="D86" s="2">
        <v>0</v>
      </c>
      <c r="E86" s="2">
        <v>0</v>
      </c>
      <c r="F86" t="s">
        <v>1186</v>
      </c>
      <c r="G86" s="14" t="s">
        <v>1186</v>
      </c>
      <c r="H86" s="2" t="s">
        <v>1191</v>
      </c>
      <c r="I86">
        <v>26</v>
      </c>
      <c r="J86" t="s">
        <v>45</v>
      </c>
      <c r="K86">
        <v>2019</v>
      </c>
      <c r="L86" t="s">
        <v>33</v>
      </c>
      <c r="M86" t="s">
        <v>132</v>
      </c>
      <c r="N86">
        <v>26.5</v>
      </c>
      <c r="P86" t="s">
        <v>37</v>
      </c>
      <c r="R86" t="s">
        <v>89</v>
      </c>
      <c r="S86" s="4">
        <v>37.39667</v>
      </c>
      <c r="T86" s="4">
        <v>-120.35590000000001</v>
      </c>
      <c r="U86">
        <v>270</v>
      </c>
      <c r="V86" s="6">
        <v>82.296000000000006</v>
      </c>
      <c r="W86" s="2" t="s">
        <v>898</v>
      </c>
      <c r="X86" t="s">
        <v>2340</v>
      </c>
      <c r="Y86" t="s">
        <v>168</v>
      </c>
      <c r="Z86" t="s">
        <v>134</v>
      </c>
      <c r="AA86" t="s">
        <v>216</v>
      </c>
      <c r="AJ86" s="41">
        <v>0</v>
      </c>
      <c r="AL86">
        <f t="shared" si="3"/>
        <v>0</v>
      </c>
      <c r="AM86">
        <f t="shared" si="4"/>
        <v>0</v>
      </c>
      <c r="AN86">
        <f t="shared" si="5"/>
        <v>0</v>
      </c>
    </row>
    <row r="87" spans="1:40" x14ac:dyDescent="0.2">
      <c r="A87">
        <v>7</v>
      </c>
      <c r="B87" t="s">
        <v>217</v>
      </c>
      <c r="C87" s="2">
        <v>0</v>
      </c>
      <c r="D87" s="2">
        <v>0</v>
      </c>
      <c r="E87" s="2">
        <v>0</v>
      </c>
      <c r="F87" t="s">
        <v>1186</v>
      </c>
      <c r="G87" s="14" t="s">
        <v>1186</v>
      </c>
      <c r="H87" s="2" t="s">
        <v>1191</v>
      </c>
      <c r="I87">
        <v>26</v>
      </c>
      <c r="J87" t="s">
        <v>45</v>
      </c>
      <c r="K87">
        <v>2019</v>
      </c>
      <c r="L87" t="s">
        <v>33</v>
      </c>
      <c r="M87" t="s">
        <v>132</v>
      </c>
      <c r="N87">
        <v>28.5</v>
      </c>
      <c r="P87" t="s">
        <v>30</v>
      </c>
      <c r="R87" t="s">
        <v>89</v>
      </c>
      <c r="S87" s="4">
        <v>37.39667</v>
      </c>
      <c r="T87" s="4">
        <v>-120.35590000000001</v>
      </c>
      <c r="U87">
        <v>270</v>
      </c>
      <c r="V87" s="6">
        <v>82.296000000000006</v>
      </c>
      <c r="W87" s="2" t="s">
        <v>898</v>
      </c>
      <c r="X87" t="s">
        <v>2340</v>
      </c>
      <c r="Y87" t="s">
        <v>218</v>
      </c>
      <c r="Z87" t="s">
        <v>134</v>
      </c>
      <c r="AA87" t="s">
        <v>219</v>
      </c>
      <c r="AJ87" s="41">
        <v>0</v>
      </c>
      <c r="AL87">
        <f t="shared" si="3"/>
        <v>0</v>
      </c>
      <c r="AM87">
        <f t="shared" si="4"/>
        <v>0</v>
      </c>
      <c r="AN87">
        <f t="shared" si="5"/>
        <v>0</v>
      </c>
    </row>
    <row r="88" spans="1:40" x14ac:dyDescent="0.2">
      <c r="A88">
        <v>7</v>
      </c>
      <c r="B88" t="s">
        <v>220</v>
      </c>
      <c r="C88" s="2">
        <v>0</v>
      </c>
      <c r="D88" s="2">
        <v>0</v>
      </c>
      <c r="E88" s="2">
        <v>0</v>
      </c>
      <c r="F88" t="s">
        <v>1186</v>
      </c>
      <c r="G88" s="14" t="s">
        <v>1186</v>
      </c>
      <c r="H88" s="2" t="s">
        <v>1191</v>
      </c>
      <c r="I88">
        <v>26</v>
      </c>
      <c r="J88" t="s">
        <v>45</v>
      </c>
      <c r="K88">
        <v>2019</v>
      </c>
      <c r="L88" t="s">
        <v>33</v>
      </c>
      <c r="M88" t="s">
        <v>132</v>
      </c>
      <c r="N88">
        <v>25.5</v>
      </c>
      <c r="P88" t="s">
        <v>37</v>
      </c>
      <c r="R88" t="s">
        <v>89</v>
      </c>
      <c r="S88" s="4">
        <v>37.39667</v>
      </c>
      <c r="T88" s="4">
        <v>-120.35590000000001</v>
      </c>
      <c r="U88">
        <v>270</v>
      </c>
      <c r="V88" s="6">
        <v>82.296000000000006</v>
      </c>
      <c r="W88" s="2" t="s">
        <v>898</v>
      </c>
      <c r="X88" t="s">
        <v>2340</v>
      </c>
      <c r="Y88" t="s">
        <v>221</v>
      </c>
      <c r="Z88" t="s">
        <v>134</v>
      </c>
      <c r="AA88" t="s">
        <v>222</v>
      </c>
      <c r="AJ88" s="41">
        <v>0</v>
      </c>
      <c r="AL88">
        <f t="shared" si="3"/>
        <v>0</v>
      </c>
      <c r="AM88">
        <f t="shared" si="4"/>
        <v>0</v>
      </c>
      <c r="AN88">
        <f t="shared" si="5"/>
        <v>0</v>
      </c>
    </row>
    <row r="89" spans="1:40" x14ac:dyDescent="0.2">
      <c r="A89">
        <v>7</v>
      </c>
      <c r="B89" t="s">
        <v>223</v>
      </c>
      <c r="C89" s="2">
        <v>0</v>
      </c>
      <c r="D89" s="2">
        <v>0</v>
      </c>
      <c r="E89" s="2">
        <v>0</v>
      </c>
      <c r="F89" s="9" t="s">
        <v>1186</v>
      </c>
      <c r="G89" s="14" t="s">
        <v>1186</v>
      </c>
      <c r="H89" s="2" t="s">
        <v>1191</v>
      </c>
      <c r="I89">
        <v>26</v>
      </c>
      <c r="J89" t="s">
        <v>45</v>
      </c>
      <c r="K89">
        <v>2019</v>
      </c>
      <c r="L89" t="s">
        <v>33</v>
      </c>
      <c r="M89" t="s">
        <v>132</v>
      </c>
      <c r="N89">
        <v>26</v>
      </c>
      <c r="P89" t="s">
        <v>37</v>
      </c>
      <c r="R89" t="s">
        <v>89</v>
      </c>
      <c r="S89" s="4">
        <v>37.39667</v>
      </c>
      <c r="T89" s="4">
        <v>-120.35590000000001</v>
      </c>
      <c r="U89">
        <v>270</v>
      </c>
      <c r="V89" s="6">
        <v>82.296000000000006</v>
      </c>
      <c r="W89" s="2" t="s">
        <v>898</v>
      </c>
      <c r="X89" t="s">
        <v>2340</v>
      </c>
      <c r="Y89" t="s">
        <v>174</v>
      </c>
      <c r="Z89" t="s">
        <v>134</v>
      </c>
      <c r="AA89" t="s">
        <v>224</v>
      </c>
      <c r="AJ89" s="41">
        <v>0</v>
      </c>
      <c r="AL89">
        <f t="shared" si="3"/>
        <v>0</v>
      </c>
      <c r="AM89">
        <f t="shared" si="4"/>
        <v>0</v>
      </c>
      <c r="AN89">
        <f t="shared" si="5"/>
        <v>0</v>
      </c>
    </row>
    <row r="90" spans="1:40" x14ac:dyDescent="0.2">
      <c r="A90">
        <v>7</v>
      </c>
      <c r="B90" t="s">
        <v>225</v>
      </c>
      <c r="C90" s="2">
        <v>0</v>
      </c>
      <c r="D90" s="2">
        <v>0</v>
      </c>
      <c r="E90" s="2">
        <v>0</v>
      </c>
      <c r="F90" s="9" t="s">
        <v>1186</v>
      </c>
      <c r="G90" s="14" t="s">
        <v>1186</v>
      </c>
      <c r="H90" s="2" t="s">
        <v>1191</v>
      </c>
      <c r="I90">
        <v>26</v>
      </c>
      <c r="J90" t="s">
        <v>45</v>
      </c>
      <c r="K90">
        <v>2019</v>
      </c>
      <c r="L90" t="s">
        <v>33</v>
      </c>
      <c r="M90" t="s">
        <v>132</v>
      </c>
      <c r="N90">
        <v>26</v>
      </c>
      <c r="P90" t="s">
        <v>37</v>
      </c>
      <c r="R90" t="s">
        <v>89</v>
      </c>
      <c r="S90" s="4">
        <v>37.39667</v>
      </c>
      <c r="T90" s="4">
        <v>-120.35590000000001</v>
      </c>
      <c r="U90">
        <v>270</v>
      </c>
      <c r="V90" s="6">
        <v>82.296000000000006</v>
      </c>
      <c r="W90" s="2" t="s">
        <v>898</v>
      </c>
      <c r="X90" t="s">
        <v>2340</v>
      </c>
      <c r="Y90" t="s">
        <v>226</v>
      </c>
      <c r="Z90" t="s">
        <v>134</v>
      </c>
      <c r="AA90" t="s">
        <v>227</v>
      </c>
      <c r="AJ90" s="41">
        <v>0</v>
      </c>
      <c r="AL90">
        <f t="shared" si="3"/>
        <v>0</v>
      </c>
      <c r="AM90">
        <f t="shared" si="4"/>
        <v>0</v>
      </c>
      <c r="AN90">
        <f t="shared" si="5"/>
        <v>0</v>
      </c>
    </row>
    <row r="91" spans="1:40" x14ac:dyDescent="0.2">
      <c r="A91">
        <v>7</v>
      </c>
      <c r="B91" t="s">
        <v>228</v>
      </c>
      <c r="C91" s="2">
        <v>0</v>
      </c>
      <c r="D91" s="2">
        <v>0</v>
      </c>
      <c r="E91" s="2">
        <v>0</v>
      </c>
      <c r="F91" s="9" t="s">
        <v>1186</v>
      </c>
      <c r="G91" s="14" t="s">
        <v>1186</v>
      </c>
      <c r="H91" s="2" t="s">
        <v>1191</v>
      </c>
      <c r="I91">
        <v>26</v>
      </c>
      <c r="J91" t="s">
        <v>45</v>
      </c>
      <c r="K91">
        <v>2019</v>
      </c>
      <c r="L91" t="s">
        <v>33</v>
      </c>
      <c r="M91" t="s">
        <v>132</v>
      </c>
      <c r="N91">
        <v>26</v>
      </c>
      <c r="P91" t="s">
        <v>37</v>
      </c>
      <c r="R91" t="s">
        <v>89</v>
      </c>
      <c r="S91" s="4">
        <v>37.39667</v>
      </c>
      <c r="T91" s="4">
        <v>-120.35590000000001</v>
      </c>
      <c r="U91">
        <v>270</v>
      </c>
      <c r="V91" s="6">
        <v>82.296000000000006</v>
      </c>
      <c r="W91" s="2" t="s">
        <v>898</v>
      </c>
      <c r="X91" t="s">
        <v>2340</v>
      </c>
      <c r="Y91" t="s">
        <v>226</v>
      </c>
      <c r="Z91" t="s">
        <v>134</v>
      </c>
      <c r="AA91" t="s">
        <v>229</v>
      </c>
      <c r="AJ91" s="41">
        <v>0</v>
      </c>
      <c r="AL91">
        <f t="shared" si="3"/>
        <v>0</v>
      </c>
      <c r="AM91">
        <f t="shared" si="4"/>
        <v>0</v>
      </c>
      <c r="AN91">
        <f t="shared" si="5"/>
        <v>0</v>
      </c>
    </row>
    <row r="92" spans="1:40" x14ac:dyDescent="0.2">
      <c r="A92">
        <v>7</v>
      </c>
      <c r="B92" t="s">
        <v>230</v>
      </c>
      <c r="C92" s="2">
        <v>0</v>
      </c>
      <c r="D92" s="2">
        <v>0</v>
      </c>
      <c r="E92" s="2">
        <v>0</v>
      </c>
      <c r="F92" s="9" t="s">
        <v>1186</v>
      </c>
      <c r="G92" s="14" t="s">
        <v>1186</v>
      </c>
      <c r="H92" s="2" t="s">
        <v>1191</v>
      </c>
      <c r="I92">
        <v>26</v>
      </c>
      <c r="J92" t="s">
        <v>45</v>
      </c>
      <c r="K92">
        <v>2019</v>
      </c>
      <c r="L92" t="s">
        <v>33</v>
      </c>
      <c r="M92" t="s">
        <v>132</v>
      </c>
      <c r="N92">
        <v>25</v>
      </c>
      <c r="P92" t="s">
        <v>37</v>
      </c>
      <c r="R92" t="s">
        <v>89</v>
      </c>
      <c r="S92" s="4">
        <v>37.39667</v>
      </c>
      <c r="T92" s="4">
        <v>-120.35590000000001</v>
      </c>
      <c r="U92">
        <v>270</v>
      </c>
      <c r="V92" s="6">
        <v>82.296000000000006</v>
      </c>
      <c r="W92" s="2" t="s">
        <v>898</v>
      </c>
      <c r="X92" t="s">
        <v>2340</v>
      </c>
      <c r="Y92" t="s">
        <v>226</v>
      </c>
      <c r="Z92" t="s">
        <v>134</v>
      </c>
      <c r="AA92" t="s">
        <v>231</v>
      </c>
      <c r="AJ92" s="41">
        <v>0</v>
      </c>
      <c r="AL92">
        <f t="shared" si="3"/>
        <v>0</v>
      </c>
      <c r="AM92">
        <f t="shared" si="4"/>
        <v>0</v>
      </c>
      <c r="AN92">
        <f t="shared" si="5"/>
        <v>0</v>
      </c>
    </row>
    <row r="93" spans="1:40" x14ac:dyDescent="0.2">
      <c r="A93">
        <v>7</v>
      </c>
      <c r="B93" t="s">
        <v>232</v>
      </c>
      <c r="C93" s="2">
        <v>0</v>
      </c>
      <c r="D93" s="2">
        <v>0</v>
      </c>
      <c r="E93" s="2">
        <v>0</v>
      </c>
      <c r="F93" s="9" t="s">
        <v>1186</v>
      </c>
      <c r="G93" s="14" t="s">
        <v>1186</v>
      </c>
      <c r="H93" s="2" t="s">
        <v>1191</v>
      </c>
      <c r="I93">
        <v>26</v>
      </c>
      <c r="J93" t="s">
        <v>45</v>
      </c>
      <c r="K93">
        <v>2019</v>
      </c>
      <c r="L93" t="s">
        <v>33</v>
      </c>
      <c r="M93" t="s">
        <v>132</v>
      </c>
      <c r="N93">
        <v>27</v>
      </c>
      <c r="P93" t="s">
        <v>30</v>
      </c>
      <c r="R93" t="s">
        <v>89</v>
      </c>
      <c r="S93" s="4">
        <v>37.396619999999999</v>
      </c>
      <c r="T93" s="4">
        <v>-120.35599999999999</v>
      </c>
      <c r="U93">
        <v>269</v>
      </c>
      <c r="V93" s="6">
        <v>81.991200000000006</v>
      </c>
      <c r="W93" s="2" t="s">
        <v>898</v>
      </c>
      <c r="X93" t="s">
        <v>2340</v>
      </c>
      <c r="Y93" t="s">
        <v>233</v>
      </c>
      <c r="Z93" t="s">
        <v>134</v>
      </c>
      <c r="AA93" t="s">
        <v>234</v>
      </c>
      <c r="AJ93" s="41">
        <v>0</v>
      </c>
      <c r="AL93">
        <f t="shared" si="3"/>
        <v>0</v>
      </c>
      <c r="AM93">
        <f t="shared" si="4"/>
        <v>0</v>
      </c>
      <c r="AN93">
        <f t="shared" si="5"/>
        <v>0</v>
      </c>
    </row>
    <row r="94" spans="1:40" x14ac:dyDescent="0.2">
      <c r="A94">
        <v>8</v>
      </c>
      <c r="B94" t="s">
        <v>235</v>
      </c>
      <c r="C94" s="2">
        <v>0</v>
      </c>
      <c r="D94" s="2">
        <v>0</v>
      </c>
      <c r="E94" s="2">
        <v>0</v>
      </c>
      <c r="F94" s="9" t="s">
        <v>1186</v>
      </c>
      <c r="G94" s="14" t="s">
        <v>1186</v>
      </c>
      <c r="H94" s="2" t="s">
        <v>1191</v>
      </c>
      <c r="I94">
        <v>27</v>
      </c>
      <c r="J94" t="s">
        <v>45</v>
      </c>
      <c r="K94">
        <v>2019</v>
      </c>
      <c r="L94" t="s">
        <v>137</v>
      </c>
      <c r="M94" t="s">
        <v>132</v>
      </c>
      <c r="N94">
        <v>20</v>
      </c>
      <c r="P94" t="s">
        <v>37</v>
      </c>
      <c r="Q94" s="2"/>
      <c r="R94" s="45" t="s">
        <v>39</v>
      </c>
      <c r="S94" s="4">
        <v>37.380839999999999</v>
      </c>
      <c r="T94" s="4">
        <v>-120.39424</v>
      </c>
      <c r="U94">
        <v>338</v>
      </c>
      <c r="V94" s="6">
        <v>103.0224</v>
      </c>
      <c r="W94" s="2" t="s">
        <v>898</v>
      </c>
      <c r="X94" t="s">
        <v>2341</v>
      </c>
      <c r="Y94" t="s">
        <v>236</v>
      </c>
      <c r="Z94" t="s">
        <v>134</v>
      </c>
      <c r="AA94" t="s">
        <v>237</v>
      </c>
      <c r="AJ94" s="41">
        <v>0</v>
      </c>
      <c r="AL94">
        <f t="shared" si="3"/>
        <v>0</v>
      </c>
      <c r="AM94">
        <f t="shared" si="4"/>
        <v>0</v>
      </c>
      <c r="AN94">
        <f t="shared" si="5"/>
        <v>0</v>
      </c>
    </row>
    <row r="95" spans="1:40" x14ac:dyDescent="0.2">
      <c r="A95">
        <v>8</v>
      </c>
      <c r="B95" t="s">
        <v>238</v>
      </c>
      <c r="C95" s="2">
        <v>0</v>
      </c>
      <c r="D95" s="2">
        <v>0</v>
      </c>
      <c r="E95" s="2">
        <v>0</v>
      </c>
      <c r="F95" s="2" t="s">
        <v>1186</v>
      </c>
      <c r="G95" s="14" t="s">
        <v>1186</v>
      </c>
      <c r="H95" s="2" t="s">
        <v>1191</v>
      </c>
      <c r="I95">
        <v>27</v>
      </c>
      <c r="J95" t="s">
        <v>45</v>
      </c>
      <c r="K95">
        <v>2019</v>
      </c>
      <c r="L95" t="s">
        <v>137</v>
      </c>
      <c r="M95" t="s">
        <v>132</v>
      </c>
      <c r="N95">
        <v>18</v>
      </c>
      <c r="P95" t="s">
        <v>30</v>
      </c>
      <c r="R95" t="s">
        <v>89</v>
      </c>
      <c r="S95" s="4">
        <v>37.380839999999999</v>
      </c>
      <c r="T95" s="4">
        <v>-120.39424</v>
      </c>
      <c r="U95">
        <v>338</v>
      </c>
      <c r="V95" s="6">
        <f>U95*0.3048</f>
        <v>103.0224</v>
      </c>
      <c r="W95" s="2" t="s">
        <v>898</v>
      </c>
      <c r="X95" t="s">
        <v>2341</v>
      </c>
      <c r="Y95" t="s">
        <v>226</v>
      </c>
      <c r="Z95" t="s">
        <v>134</v>
      </c>
      <c r="AA95" t="s">
        <v>239</v>
      </c>
      <c r="AJ95" s="41">
        <v>0</v>
      </c>
      <c r="AL95">
        <f t="shared" si="3"/>
        <v>0</v>
      </c>
      <c r="AM95">
        <f t="shared" si="4"/>
        <v>0</v>
      </c>
      <c r="AN95">
        <f t="shared" si="5"/>
        <v>0</v>
      </c>
    </row>
    <row r="96" spans="1:40" x14ac:dyDescent="0.2">
      <c r="A96">
        <v>8</v>
      </c>
      <c r="B96" t="s">
        <v>240</v>
      </c>
      <c r="C96" s="2">
        <v>0</v>
      </c>
      <c r="D96" s="2">
        <v>0</v>
      </c>
      <c r="E96" s="2">
        <v>0</v>
      </c>
      <c r="F96" s="2" t="s">
        <v>1186</v>
      </c>
      <c r="G96" s="14" t="s">
        <v>1186</v>
      </c>
      <c r="H96" s="2" t="s">
        <v>1191</v>
      </c>
      <c r="I96">
        <v>27</v>
      </c>
      <c r="J96" t="s">
        <v>45</v>
      </c>
      <c r="K96">
        <v>2019</v>
      </c>
      <c r="L96" t="s">
        <v>137</v>
      </c>
      <c r="M96" t="s">
        <v>132</v>
      </c>
      <c r="N96">
        <v>16</v>
      </c>
      <c r="P96" t="s">
        <v>37</v>
      </c>
      <c r="Q96" s="2"/>
      <c r="R96" t="s">
        <v>89</v>
      </c>
      <c r="S96" s="4">
        <v>37.380839999999999</v>
      </c>
      <c r="T96" s="4">
        <v>-120.39424</v>
      </c>
      <c r="U96">
        <v>338</v>
      </c>
      <c r="V96" s="6">
        <f t="shared" ref="V96:V106" si="6">U96*0.3048</f>
        <v>103.0224</v>
      </c>
      <c r="W96" s="2" t="s">
        <v>898</v>
      </c>
      <c r="X96" t="s">
        <v>2341</v>
      </c>
      <c r="Y96" t="s">
        <v>226</v>
      </c>
      <c r="Z96" t="s">
        <v>134</v>
      </c>
      <c r="AA96" t="s">
        <v>241</v>
      </c>
      <c r="AJ96" s="41">
        <v>0</v>
      </c>
      <c r="AL96">
        <f t="shared" si="3"/>
        <v>0</v>
      </c>
      <c r="AM96">
        <f t="shared" si="4"/>
        <v>0</v>
      </c>
      <c r="AN96">
        <f t="shared" si="5"/>
        <v>0</v>
      </c>
    </row>
    <row r="97" spans="1:40" x14ac:dyDescent="0.2">
      <c r="A97">
        <v>8</v>
      </c>
      <c r="B97" t="s">
        <v>242</v>
      </c>
      <c r="C97" s="2">
        <v>0</v>
      </c>
      <c r="D97" s="2">
        <v>0</v>
      </c>
      <c r="E97" s="2">
        <v>0</v>
      </c>
      <c r="F97" s="2" t="s">
        <v>1186</v>
      </c>
      <c r="G97" s="14" t="s">
        <v>1186</v>
      </c>
      <c r="H97" s="2" t="s">
        <v>1191</v>
      </c>
      <c r="I97">
        <v>27</v>
      </c>
      <c r="J97" t="s">
        <v>45</v>
      </c>
      <c r="K97">
        <v>2019</v>
      </c>
      <c r="L97" t="s">
        <v>137</v>
      </c>
      <c r="M97" t="s">
        <v>132</v>
      </c>
      <c r="N97">
        <v>20</v>
      </c>
      <c r="P97" t="s">
        <v>37</v>
      </c>
      <c r="Q97" s="2"/>
      <c r="R97" s="45" t="s">
        <v>39</v>
      </c>
      <c r="S97" s="4">
        <v>37.380839999999999</v>
      </c>
      <c r="T97" s="4">
        <v>-120.39424</v>
      </c>
      <c r="U97">
        <v>338</v>
      </c>
      <c r="V97" s="6">
        <f t="shared" si="6"/>
        <v>103.0224</v>
      </c>
      <c r="W97" s="2" t="s">
        <v>898</v>
      </c>
      <c r="X97" t="s">
        <v>2341</v>
      </c>
      <c r="Y97" t="s">
        <v>243</v>
      </c>
      <c r="Z97" t="s">
        <v>134</v>
      </c>
      <c r="AA97" t="s">
        <v>244</v>
      </c>
      <c r="AJ97" s="41">
        <v>0</v>
      </c>
      <c r="AL97">
        <f t="shared" si="3"/>
        <v>0</v>
      </c>
      <c r="AM97">
        <f t="shared" si="4"/>
        <v>0</v>
      </c>
      <c r="AN97">
        <f t="shared" si="5"/>
        <v>0</v>
      </c>
    </row>
    <row r="98" spans="1:40" x14ac:dyDescent="0.2">
      <c r="A98">
        <v>8</v>
      </c>
      <c r="B98" t="s">
        <v>245</v>
      </c>
      <c r="C98" s="2">
        <v>0</v>
      </c>
      <c r="D98" s="2">
        <v>0</v>
      </c>
      <c r="E98" s="2">
        <v>0</v>
      </c>
      <c r="F98" s="2" t="s">
        <v>1186</v>
      </c>
      <c r="G98" s="14" t="s">
        <v>1186</v>
      </c>
      <c r="H98" s="2" t="s">
        <v>1191</v>
      </c>
      <c r="I98">
        <v>27</v>
      </c>
      <c r="J98" t="s">
        <v>45</v>
      </c>
      <c r="K98">
        <v>2019</v>
      </c>
      <c r="L98" t="s">
        <v>137</v>
      </c>
      <c r="M98" t="s">
        <v>132</v>
      </c>
      <c r="N98">
        <v>21.5</v>
      </c>
      <c r="P98" t="s">
        <v>37</v>
      </c>
      <c r="Q98" s="2"/>
      <c r="R98" s="45" t="s">
        <v>39</v>
      </c>
      <c r="S98" s="4">
        <v>37.380839999999999</v>
      </c>
      <c r="T98" s="4">
        <v>-120.39424</v>
      </c>
      <c r="U98">
        <v>338</v>
      </c>
      <c r="V98" s="6">
        <f t="shared" si="6"/>
        <v>103.0224</v>
      </c>
      <c r="W98" s="2" t="s">
        <v>898</v>
      </c>
      <c r="X98" t="s">
        <v>2341</v>
      </c>
      <c r="Y98" t="s">
        <v>246</v>
      </c>
      <c r="Z98" t="s">
        <v>134</v>
      </c>
      <c r="AA98" t="s">
        <v>247</v>
      </c>
      <c r="AJ98" s="41">
        <v>0</v>
      </c>
      <c r="AL98">
        <f t="shared" si="3"/>
        <v>0</v>
      </c>
      <c r="AM98">
        <f t="shared" si="4"/>
        <v>0</v>
      </c>
      <c r="AN98">
        <f t="shared" si="5"/>
        <v>0</v>
      </c>
    </row>
    <row r="99" spans="1:40" x14ac:dyDescent="0.2">
      <c r="A99">
        <v>8</v>
      </c>
      <c r="B99" t="s">
        <v>248</v>
      </c>
      <c r="C99" s="2">
        <v>0</v>
      </c>
      <c r="D99" s="2">
        <v>0</v>
      </c>
      <c r="E99" s="2">
        <v>0</v>
      </c>
      <c r="F99" s="2" t="s">
        <v>1186</v>
      </c>
      <c r="G99" s="14" t="s">
        <v>1186</v>
      </c>
      <c r="H99" s="2" t="s">
        <v>1191</v>
      </c>
      <c r="I99">
        <v>27</v>
      </c>
      <c r="J99" t="s">
        <v>45</v>
      </c>
      <c r="K99">
        <v>2019</v>
      </c>
      <c r="L99" t="s">
        <v>137</v>
      </c>
      <c r="M99" t="s">
        <v>132</v>
      </c>
      <c r="N99">
        <v>20</v>
      </c>
      <c r="P99" t="s">
        <v>37</v>
      </c>
      <c r="Q99" s="2"/>
      <c r="R99" s="45" t="s">
        <v>39</v>
      </c>
      <c r="S99" s="4">
        <v>37.380839999999999</v>
      </c>
      <c r="T99" s="4">
        <v>-120.39424</v>
      </c>
      <c r="U99">
        <v>338</v>
      </c>
      <c r="V99" s="6">
        <f t="shared" si="6"/>
        <v>103.0224</v>
      </c>
      <c r="W99" s="2" t="s">
        <v>898</v>
      </c>
      <c r="X99" t="s">
        <v>2341</v>
      </c>
      <c r="Y99" t="s">
        <v>249</v>
      </c>
      <c r="Z99" t="s">
        <v>134</v>
      </c>
      <c r="AA99" t="s">
        <v>250</v>
      </c>
      <c r="AJ99" s="41">
        <v>0</v>
      </c>
      <c r="AL99">
        <f t="shared" si="3"/>
        <v>0</v>
      </c>
      <c r="AM99">
        <f t="shared" si="4"/>
        <v>0</v>
      </c>
      <c r="AN99">
        <f t="shared" si="5"/>
        <v>0</v>
      </c>
    </row>
    <row r="100" spans="1:40" x14ac:dyDescent="0.2">
      <c r="A100">
        <v>8</v>
      </c>
      <c r="B100" t="s">
        <v>251</v>
      </c>
      <c r="C100" s="2">
        <v>0</v>
      </c>
      <c r="D100" s="2">
        <v>0</v>
      </c>
      <c r="E100" s="2">
        <v>0</v>
      </c>
      <c r="F100" s="2" t="s">
        <v>1186</v>
      </c>
      <c r="G100" s="14" t="s">
        <v>1186</v>
      </c>
      <c r="H100" s="2" t="s">
        <v>1191</v>
      </c>
      <c r="I100">
        <v>27</v>
      </c>
      <c r="J100" t="s">
        <v>45</v>
      </c>
      <c r="K100">
        <v>2019</v>
      </c>
      <c r="L100" t="s">
        <v>137</v>
      </c>
      <c r="M100" t="s">
        <v>132</v>
      </c>
      <c r="N100">
        <v>19</v>
      </c>
      <c r="P100" t="s">
        <v>37</v>
      </c>
      <c r="Q100" s="2"/>
      <c r="R100" s="45" t="s">
        <v>39</v>
      </c>
      <c r="S100" s="4">
        <v>37.380839999999999</v>
      </c>
      <c r="T100" s="4">
        <v>-120.39424</v>
      </c>
      <c r="U100">
        <v>338</v>
      </c>
      <c r="V100" s="6">
        <f t="shared" si="6"/>
        <v>103.0224</v>
      </c>
      <c r="W100" s="2" t="s">
        <v>898</v>
      </c>
      <c r="X100" t="s">
        <v>2341</v>
      </c>
      <c r="Y100" t="s">
        <v>56</v>
      </c>
      <c r="Z100" t="s">
        <v>134</v>
      </c>
      <c r="AA100" t="s">
        <v>252</v>
      </c>
      <c r="AJ100" s="41">
        <v>0</v>
      </c>
      <c r="AL100">
        <f t="shared" si="3"/>
        <v>0</v>
      </c>
      <c r="AM100">
        <f t="shared" si="4"/>
        <v>0</v>
      </c>
      <c r="AN100">
        <f t="shared" si="5"/>
        <v>0</v>
      </c>
    </row>
    <row r="101" spans="1:40" x14ac:dyDescent="0.2">
      <c r="A101">
        <v>8</v>
      </c>
      <c r="B101" t="s">
        <v>253</v>
      </c>
      <c r="C101" s="2">
        <v>0</v>
      </c>
      <c r="D101" s="2">
        <v>0</v>
      </c>
      <c r="E101" s="2">
        <v>0</v>
      </c>
      <c r="F101" s="2" t="s">
        <v>1186</v>
      </c>
      <c r="G101" s="14" t="s">
        <v>1186</v>
      </c>
      <c r="H101" s="2" t="s">
        <v>1191</v>
      </c>
      <c r="I101">
        <v>27</v>
      </c>
      <c r="J101" t="s">
        <v>45</v>
      </c>
      <c r="K101">
        <v>2019</v>
      </c>
      <c r="L101" t="s">
        <v>137</v>
      </c>
      <c r="M101" t="s">
        <v>132</v>
      </c>
      <c r="N101">
        <v>19</v>
      </c>
      <c r="P101" t="s">
        <v>37</v>
      </c>
      <c r="Q101" s="2"/>
      <c r="R101" s="45" t="s">
        <v>39</v>
      </c>
      <c r="S101" s="4">
        <v>37.380839999999999</v>
      </c>
      <c r="T101" s="4">
        <v>-120.39424</v>
      </c>
      <c r="U101">
        <v>338</v>
      </c>
      <c r="V101" s="6">
        <f t="shared" si="6"/>
        <v>103.0224</v>
      </c>
      <c r="W101" s="2" t="s">
        <v>898</v>
      </c>
      <c r="X101" t="s">
        <v>2341</v>
      </c>
      <c r="Y101" t="s">
        <v>254</v>
      </c>
      <c r="Z101" t="s">
        <v>134</v>
      </c>
      <c r="AA101" t="s">
        <v>255</v>
      </c>
      <c r="AJ101" s="41">
        <v>0</v>
      </c>
      <c r="AL101">
        <f t="shared" si="3"/>
        <v>0</v>
      </c>
      <c r="AM101">
        <f t="shared" si="4"/>
        <v>0</v>
      </c>
      <c r="AN101">
        <f t="shared" si="5"/>
        <v>0</v>
      </c>
    </row>
    <row r="102" spans="1:40" x14ac:dyDescent="0.2">
      <c r="A102">
        <v>8</v>
      </c>
      <c r="B102" t="s">
        <v>256</v>
      </c>
      <c r="C102" s="2">
        <v>0</v>
      </c>
      <c r="D102" s="2">
        <v>0</v>
      </c>
      <c r="E102" s="2">
        <v>0</v>
      </c>
      <c r="F102" s="2" t="s">
        <v>1186</v>
      </c>
      <c r="G102" s="14" t="s">
        <v>1186</v>
      </c>
      <c r="H102" s="2" t="s">
        <v>1191</v>
      </c>
      <c r="I102">
        <v>27</v>
      </c>
      <c r="J102" t="s">
        <v>45</v>
      </c>
      <c r="K102">
        <v>2019</v>
      </c>
      <c r="L102" t="s">
        <v>137</v>
      </c>
      <c r="M102" t="s">
        <v>132</v>
      </c>
      <c r="N102">
        <v>21</v>
      </c>
      <c r="P102" t="s">
        <v>30</v>
      </c>
      <c r="Q102" s="2"/>
      <c r="R102" s="45" t="s">
        <v>39</v>
      </c>
      <c r="S102" s="4">
        <v>37.380839999999999</v>
      </c>
      <c r="T102" s="4">
        <v>-120.39424</v>
      </c>
      <c r="U102">
        <v>338</v>
      </c>
      <c r="V102" s="6">
        <f t="shared" si="6"/>
        <v>103.0224</v>
      </c>
      <c r="W102" s="2" t="s">
        <v>898</v>
      </c>
      <c r="X102" t="s">
        <v>2341</v>
      </c>
      <c r="Y102" t="s">
        <v>257</v>
      </c>
      <c r="Z102" t="s">
        <v>258</v>
      </c>
      <c r="AA102" t="s">
        <v>259</v>
      </c>
      <c r="AJ102" s="41">
        <v>0</v>
      </c>
      <c r="AL102">
        <f t="shared" si="3"/>
        <v>0</v>
      </c>
      <c r="AM102">
        <f t="shared" si="4"/>
        <v>0</v>
      </c>
      <c r="AN102">
        <f t="shared" si="5"/>
        <v>0</v>
      </c>
    </row>
    <row r="103" spans="1:40" x14ac:dyDescent="0.2">
      <c r="A103">
        <v>8</v>
      </c>
      <c r="B103" t="s">
        <v>260</v>
      </c>
      <c r="C103" s="2">
        <v>0</v>
      </c>
      <c r="D103" s="2">
        <v>0</v>
      </c>
      <c r="E103" s="2">
        <v>0</v>
      </c>
      <c r="F103" s="2" t="s">
        <v>1186</v>
      </c>
      <c r="G103" s="14" t="s">
        <v>1186</v>
      </c>
      <c r="H103" s="2" t="s">
        <v>1191</v>
      </c>
      <c r="I103">
        <v>27</v>
      </c>
      <c r="J103" t="s">
        <v>45</v>
      </c>
      <c r="K103">
        <v>2019</v>
      </c>
      <c r="L103" t="s">
        <v>137</v>
      </c>
      <c r="M103" t="s">
        <v>132</v>
      </c>
      <c r="N103">
        <v>18</v>
      </c>
      <c r="P103" t="s">
        <v>37</v>
      </c>
      <c r="Q103" s="2"/>
      <c r="R103" t="s">
        <v>89</v>
      </c>
      <c r="S103" s="4">
        <v>37.380839999999999</v>
      </c>
      <c r="T103" s="4">
        <v>-120.39424</v>
      </c>
      <c r="U103">
        <v>338</v>
      </c>
      <c r="V103" s="6">
        <f t="shared" si="6"/>
        <v>103.0224</v>
      </c>
      <c r="W103" s="2" t="s">
        <v>898</v>
      </c>
      <c r="X103" t="s">
        <v>2341</v>
      </c>
      <c r="Y103" t="s">
        <v>257</v>
      </c>
      <c r="Z103" t="s">
        <v>134</v>
      </c>
      <c r="AA103" t="s">
        <v>261</v>
      </c>
      <c r="AJ103" s="41">
        <v>0</v>
      </c>
      <c r="AL103">
        <f t="shared" si="3"/>
        <v>0</v>
      </c>
      <c r="AM103">
        <f t="shared" si="4"/>
        <v>0</v>
      </c>
      <c r="AN103">
        <f t="shared" si="5"/>
        <v>0</v>
      </c>
    </row>
    <row r="104" spans="1:40" x14ac:dyDescent="0.2">
      <c r="A104">
        <v>8</v>
      </c>
      <c r="B104" t="s">
        <v>262</v>
      </c>
      <c r="C104" s="2">
        <v>0</v>
      </c>
      <c r="D104" s="2">
        <v>0</v>
      </c>
      <c r="E104" s="2">
        <v>0</v>
      </c>
      <c r="F104" s="2" t="s">
        <v>1186</v>
      </c>
      <c r="G104" s="14" t="s">
        <v>1186</v>
      </c>
      <c r="H104" s="2" t="s">
        <v>1191</v>
      </c>
      <c r="I104">
        <v>27</v>
      </c>
      <c r="J104" t="s">
        <v>45</v>
      </c>
      <c r="K104">
        <v>2019</v>
      </c>
      <c r="L104" t="s">
        <v>137</v>
      </c>
      <c r="M104" t="s">
        <v>132</v>
      </c>
      <c r="N104">
        <v>15</v>
      </c>
      <c r="P104" t="s">
        <v>37</v>
      </c>
      <c r="Q104" s="2"/>
      <c r="R104" t="s">
        <v>89</v>
      </c>
      <c r="S104" s="4">
        <v>37.380839999999999</v>
      </c>
      <c r="T104" s="4">
        <v>-120.39424</v>
      </c>
      <c r="U104">
        <v>338</v>
      </c>
      <c r="V104" s="6">
        <f t="shared" si="6"/>
        <v>103.0224</v>
      </c>
      <c r="W104" s="2" t="s">
        <v>898</v>
      </c>
      <c r="X104" t="s">
        <v>2341</v>
      </c>
      <c r="Y104" t="s">
        <v>263</v>
      </c>
      <c r="Z104" t="s">
        <v>264</v>
      </c>
      <c r="AA104" t="s">
        <v>265</v>
      </c>
      <c r="AJ104" s="41">
        <v>0</v>
      </c>
      <c r="AL104">
        <f t="shared" si="3"/>
        <v>0</v>
      </c>
      <c r="AM104">
        <f t="shared" si="4"/>
        <v>0</v>
      </c>
      <c r="AN104">
        <f t="shared" si="5"/>
        <v>0</v>
      </c>
    </row>
    <row r="105" spans="1:40" x14ac:dyDescent="0.2">
      <c r="A105">
        <v>8</v>
      </c>
      <c r="B105" t="s">
        <v>266</v>
      </c>
      <c r="C105" s="2">
        <v>0</v>
      </c>
      <c r="D105" s="2">
        <v>0</v>
      </c>
      <c r="E105" s="2">
        <v>0</v>
      </c>
      <c r="F105" s="2" t="s">
        <v>1186</v>
      </c>
      <c r="G105" s="14" t="s">
        <v>1186</v>
      </c>
      <c r="H105" s="2" t="s">
        <v>1191</v>
      </c>
      <c r="I105">
        <v>27</v>
      </c>
      <c r="J105" t="s">
        <v>45</v>
      </c>
      <c r="K105">
        <v>2019</v>
      </c>
      <c r="L105" t="s">
        <v>137</v>
      </c>
      <c r="M105" t="s">
        <v>132</v>
      </c>
      <c r="N105">
        <v>20.5</v>
      </c>
      <c r="P105" t="s">
        <v>37</v>
      </c>
      <c r="Q105" s="2"/>
      <c r="R105" s="45" t="s">
        <v>39</v>
      </c>
      <c r="S105" s="4">
        <v>37.380839999999999</v>
      </c>
      <c r="T105" s="4">
        <v>-120.39424</v>
      </c>
      <c r="U105">
        <v>338</v>
      </c>
      <c r="V105" s="6">
        <f t="shared" si="6"/>
        <v>103.0224</v>
      </c>
      <c r="W105" s="2" t="s">
        <v>898</v>
      </c>
      <c r="X105" t="s">
        <v>2341</v>
      </c>
      <c r="Y105" t="s">
        <v>267</v>
      </c>
      <c r="Z105" t="s">
        <v>134</v>
      </c>
      <c r="AA105" t="s">
        <v>268</v>
      </c>
      <c r="AJ105" s="41">
        <v>0</v>
      </c>
      <c r="AL105">
        <f t="shared" si="3"/>
        <v>0</v>
      </c>
      <c r="AM105">
        <f t="shared" si="4"/>
        <v>0</v>
      </c>
      <c r="AN105">
        <f t="shared" si="5"/>
        <v>0</v>
      </c>
    </row>
    <row r="106" spans="1:40" x14ac:dyDescent="0.2">
      <c r="A106">
        <v>8</v>
      </c>
      <c r="B106" t="s">
        <v>269</v>
      </c>
      <c r="C106" s="2">
        <v>0</v>
      </c>
      <c r="D106" s="2">
        <v>0</v>
      </c>
      <c r="E106" s="2">
        <v>0</v>
      </c>
      <c r="F106" s="2" t="s">
        <v>1186</v>
      </c>
      <c r="G106" s="14" t="s">
        <v>1186</v>
      </c>
      <c r="H106" s="2" t="s">
        <v>1191</v>
      </c>
      <c r="I106">
        <v>27</v>
      </c>
      <c r="J106" t="s">
        <v>45</v>
      </c>
      <c r="K106">
        <v>2019</v>
      </c>
      <c r="L106" t="s">
        <v>137</v>
      </c>
      <c r="M106" t="s">
        <v>132</v>
      </c>
      <c r="N106">
        <v>17.5</v>
      </c>
      <c r="P106" t="s">
        <v>37</v>
      </c>
      <c r="Q106" s="2"/>
      <c r="R106" t="s">
        <v>89</v>
      </c>
      <c r="S106" s="4">
        <v>37.380839999999999</v>
      </c>
      <c r="T106" s="4">
        <v>-120.39424</v>
      </c>
      <c r="U106">
        <v>338</v>
      </c>
      <c r="V106" s="6">
        <f t="shared" si="6"/>
        <v>103.0224</v>
      </c>
      <c r="W106" s="2" t="s">
        <v>898</v>
      </c>
      <c r="X106" t="s">
        <v>2341</v>
      </c>
      <c r="Y106" t="s">
        <v>270</v>
      </c>
      <c r="Z106" t="s">
        <v>271</v>
      </c>
      <c r="AA106" t="s">
        <v>272</v>
      </c>
      <c r="AJ106" s="41">
        <v>0</v>
      </c>
      <c r="AL106">
        <f t="shared" si="3"/>
        <v>0</v>
      </c>
      <c r="AM106">
        <f t="shared" si="4"/>
        <v>0</v>
      </c>
      <c r="AN106">
        <f t="shared" si="5"/>
        <v>0</v>
      </c>
    </row>
    <row r="107" spans="1:40" x14ac:dyDescent="0.2">
      <c r="A107">
        <v>8</v>
      </c>
      <c r="B107" t="s">
        <v>273</v>
      </c>
      <c r="C107" s="2">
        <v>0</v>
      </c>
      <c r="D107" s="2">
        <v>0</v>
      </c>
      <c r="E107" s="2">
        <v>0</v>
      </c>
      <c r="F107" s="2" t="s">
        <v>1186</v>
      </c>
      <c r="G107" s="14" t="s">
        <v>1186</v>
      </c>
      <c r="H107" s="2" t="s">
        <v>1191</v>
      </c>
      <c r="I107">
        <v>27</v>
      </c>
      <c r="J107" t="s">
        <v>45</v>
      </c>
      <c r="K107">
        <v>2019</v>
      </c>
      <c r="L107" t="s">
        <v>137</v>
      </c>
      <c r="M107" t="s">
        <v>132</v>
      </c>
      <c r="N107">
        <v>22</v>
      </c>
      <c r="P107" t="s">
        <v>37</v>
      </c>
      <c r="Q107" s="2"/>
      <c r="R107" s="45" t="s">
        <v>39</v>
      </c>
      <c r="S107" s="4">
        <v>37.381880000000002</v>
      </c>
      <c r="T107" s="4">
        <v>-120.39415</v>
      </c>
      <c r="U107">
        <v>347</v>
      </c>
      <c r="V107" s="6">
        <f>U107*0.3048</f>
        <v>105.76560000000001</v>
      </c>
      <c r="W107" s="2" t="s">
        <v>898</v>
      </c>
      <c r="X107" t="s">
        <v>2342</v>
      </c>
      <c r="Y107" t="s">
        <v>274</v>
      </c>
      <c r="Z107" t="s">
        <v>134</v>
      </c>
      <c r="AA107" t="s">
        <v>275</v>
      </c>
      <c r="AJ107" s="41">
        <v>0</v>
      </c>
      <c r="AL107">
        <f t="shared" si="3"/>
        <v>0</v>
      </c>
      <c r="AM107">
        <f t="shared" si="4"/>
        <v>0</v>
      </c>
      <c r="AN107">
        <f t="shared" si="5"/>
        <v>0</v>
      </c>
    </row>
    <row r="108" spans="1:40" x14ac:dyDescent="0.2">
      <c r="A108">
        <v>8</v>
      </c>
      <c r="B108" t="s">
        <v>276</v>
      </c>
      <c r="C108" s="2">
        <v>0</v>
      </c>
      <c r="D108" s="2">
        <v>0</v>
      </c>
      <c r="E108" s="2">
        <v>0</v>
      </c>
      <c r="F108" s="2" t="s">
        <v>1186</v>
      </c>
      <c r="G108" s="14" t="s">
        <v>1186</v>
      </c>
      <c r="H108" s="2" t="s">
        <v>1191</v>
      </c>
      <c r="I108">
        <v>27</v>
      </c>
      <c r="J108" t="s">
        <v>45</v>
      </c>
      <c r="K108">
        <v>2019</v>
      </c>
      <c r="L108" t="s">
        <v>137</v>
      </c>
      <c r="M108" t="s">
        <v>132</v>
      </c>
      <c r="N108">
        <v>22</v>
      </c>
      <c r="P108" t="s">
        <v>37</v>
      </c>
      <c r="Q108" s="2"/>
      <c r="R108" s="45" t="s">
        <v>39</v>
      </c>
      <c r="S108" s="4">
        <v>37.381880000000002</v>
      </c>
      <c r="T108" s="4">
        <v>-120.39415</v>
      </c>
      <c r="U108">
        <v>347</v>
      </c>
      <c r="V108" s="6">
        <f t="shared" ref="V108:V171" si="7">U108*0.3048</f>
        <v>105.76560000000001</v>
      </c>
      <c r="W108" s="2" t="s">
        <v>898</v>
      </c>
      <c r="X108" t="s">
        <v>2342</v>
      </c>
      <c r="Y108" t="s">
        <v>277</v>
      </c>
      <c r="Z108" t="s">
        <v>134</v>
      </c>
      <c r="AA108" t="s">
        <v>278</v>
      </c>
      <c r="AJ108" s="41">
        <v>0</v>
      </c>
      <c r="AL108">
        <f t="shared" si="3"/>
        <v>0</v>
      </c>
      <c r="AM108">
        <f t="shared" si="4"/>
        <v>0</v>
      </c>
      <c r="AN108">
        <f t="shared" si="5"/>
        <v>0</v>
      </c>
    </row>
    <row r="109" spans="1:40" x14ac:dyDescent="0.2">
      <c r="A109">
        <v>8</v>
      </c>
      <c r="B109" t="s">
        <v>279</v>
      </c>
      <c r="C109" s="2">
        <v>0</v>
      </c>
      <c r="D109" s="2">
        <v>0</v>
      </c>
      <c r="E109" s="2">
        <v>0</v>
      </c>
      <c r="F109" s="2" t="s">
        <v>1186</v>
      </c>
      <c r="G109" s="14" t="s">
        <v>1186</v>
      </c>
      <c r="H109" s="2" t="s">
        <v>1191</v>
      </c>
      <c r="I109">
        <v>27</v>
      </c>
      <c r="J109" t="s">
        <v>45</v>
      </c>
      <c r="K109">
        <v>2019</v>
      </c>
      <c r="L109" t="s">
        <v>137</v>
      </c>
      <c r="M109" t="s">
        <v>132</v>
      </c>
      <c r="N109">
        <v>22</v>
      </c>
      <c r="P109" t="s">
        <v>37</v>
      </c>
      <c r="Q109" s="2"/>
      <c r="R109" s="45" t="s">
        <v>39</v>
      </c>
      <c r="S109" s="4">
        <v>37.381880000000002</v>
      </c>
      <c r="T109" s="4">
        <v>-120.39415</v>
      </c>
      <c r="U109">
        <v>347</v>
      </c>
      <c r="V109" s="6">
        <f t="shared" si="7"/>
        <v>105.76560000000001</v>
      </c>
      <c r="W109" s="2" t="s">
        <v>898</v>
      </c>
      <c r="X109" t="s">
        <v>2342</v>
      </c>
      <c r="Y109" t="s">
        <v>280</v>
      </c>
      <c r="Z109" t="s">
        <v>134</v>
      </c>
      <c r="AA109" t="s">
        <v>281</v>
      </c>
      <c r="AJ109" s="41">
        <v>0</v>
      </c>
      <c r="AL109">
        <f t="shared" si="3"/>
        <v>0</v>
      </c>
      <c r="AM109">
        <f t="shared" si="4"/>
        <v>0</v>
      </c>
      <c r="AN109">
        <f t="shared" si="5"/>
        <v>0</v>
      </c>
    </row>
    <row r="110" spans="1:40" x14ac:dyDescent="0.2">
      <c r="A110">
        <v>8</v>
      </c>
      <c r="B110" t="s">
        <v>282</v>
      </c>
      <c r="C110" s="2">
        <v>0</v>
      </c>
      <c r="D110" s="2">
        <v>0</v>
      </c>
      <c r="E110" s="2">
        <v>0</v>
      </c>
      <c r="F110" s="2" t="s">
        <v>1186</v>
      </c>
      <c r="G110" s="14" t="s">
        <v>1186</v>
      </c>
      <c r="H110" s="2" t="s">
        <v>1191</v>
      </c>
      <c r="I110">
        <v>27</v>
      </c>
      <c r="J110" t="s">
        <v>45</v>
      </c>
      <c r="K110">
        <v>2019</v>
      </c>
      <c r="L110" t="s">
        <v>137</v>
      </c>
      <c r="M110" t="s">
        <v>132</v>
      </c>
      <c r="N110">
        <v>21</v>
      </c>
      <c r="P110" t="s">
        <v>37</v>
      </c>
      <c r="Q110" s="2"/>
      <c r="R110" s="45" t="s">
        <v>39</v>
      </c>
      <c r="S110" s="4">
        <v>37.381880000000002</v>
      </c>
      <c r="T110" s="4">
        <v>-120.39415</v>
      </c>
      <c r="U110">
        <v>347</v>
      </c>
      <c r="V110" s="6">
        <f t="shared" si="7"/>
        <v>105.76560000000001</v>
      </c>
      <c r="W110" s="2" t="s">
        <v>898</v>
      </c>
      <c r="X110" t="s">
        <v>2342</v>
      </c>
      <c r="Y110" t="s">
        <v>283</v>
      </c>
      <c r="Z110" t="s">
        <v>134</v>
      </c>
      <c r="AA110" t="s">
        <v>284</v>
      </c>
      <c r="AJ110" s="41">
        <v>0</v>
      </c>
      <c r="AL110">
        <f t="shared" si="3"/>
        <v>0</v>
      </c>
      <c r="AM110">
        <f t="shared" si="4"/>
        <v>0</v>
      </c>
      <c r="AN110">
        <f t="shared" si="5"/>
        <v>0</v>
      </c>
    </row>
    <row r="111" spans="1:40" x14ac:dyDescent="0.2">
      <c r="A111">
        <v>8</v>
      </c>
      <c r="B111" t="s">
        <v>285</v>
      </c>
      <c r="C111" s="2">
        <v>0</v>
      </c>
      <c r="D111" s="2">
        <v>0</v>
      </c>
      <c r="E111" s="2">
        <v>0</v>
      </c>
      <c r="F111" s="2" t="s">
        <v>1186</v>
      </c>
      <c r="G111" s="14" t="s">
        <v>1186</v>
      </c>
      <c r="H111" s="2" t="s">
        <v>1191</v>
      </c>
      <c r="I111">
        <v>27</v>
      </c>
      <c r="J111" t="s">
        <v>45</v>
      </c>
      <c r="K111">
        <v>2019</v>
      </c>
      <c r="L111" t="s">
        <v>137</v>
      </c>
      <c r="M111" t="s">
        <v>132</v>
      </c>
      <c r="N111">
        <v>21.5</v>
      </c>
      <c r="P111" t="s">
        <v>37</v>
      </c>
      <c r="Q111" s="2"/>
      <c r="R111" s="45" t="s">
        <v>39</v>
      </c>
      <c r="S111" s="4">
        <v>37.381880000000002</v>
      </c>
      <c r="T111" s="4">
        <v>-120.39415</v>
      </c>
      <c r="U111">
        <v>347</v>
      </c>
      <c r="V111" s="6">
        <f t="shared" si="7"/>
        <v>105.76560000000001</v>
      </c>
      <c r="W111" s="2" t="s">
        <v>898</v>
      </c>
      <c r="X111" t="s">
        <v>2342</v>
      </c>
      <c r="Y111" t="s">
        <v>283</v>
      </c>
      <c r="Z111" t="s">
        <v>134</v>
      </c>
      <c r="AA111" t="s">
        <v>286</v>
      </c>
      <c r="AJ111" s="41">
        <v>0</v>
      </c>
      <c r="AL111">
        <f t="shared" si="3"/>
        <v>0</v>
      </c>
      <c r="AM111">
        <f t="shared" si="4"/>
        <v>0</v>
      </c>
      <c r="AN111">
        <f t="shared" si="5"/>
        <v>0</v>
      </c>
    </row>
    <row r="112" spans="1:40" x14ac:dyDescent="0.2">
      <c r="A112">
        <v>8</v>
      </c>
      <c r="B112" t="s">
        <v>287</v>
      </c>
      <c r="C112" s="2">
        <v>0</v>
      </c>
      <c r="D112" s="2">
        <v>0</v>
      </c>
      <c r="E112" s="2">
        <v>0</v>
      </c>
      <c r="F112" s="2" t="s">
        <v>1186</v>
      </c>
      <c r="G112" s="14" t="s">
        <v>1186</v>
      </c>
      <c r="H112" s="2" t="s">
        <v>1191</v>
      </c>
      <c r="I112">
        <v>27</v>
      </c>
      <c r="J112" t="s">
        <v>45</v>
      </c>
      <c r="K112">
        <v>2019</v>
      </c>
      <c r="L112" t="s">
        <v>137</v>
      </c>
      <c r="M112" t="s">
        <v>132</v>
      </c>
      <c r="N112">
        <v>21</v>
      </c>
      <c r="P112" t="s">
        <v>37</v>
      </c>
      <c r="Q112" s="2"/>
      <c r="R112" s="45" t="s">
        <v>39</v>
      </c>
      <c r="S112" s="4">
        <v>37.381880000000002</v>
      </c>
      <c r="T112" s="4">
        <v>-120.39415</v>
      </c>
      <c r="U112">
        <v>347</v>
      </c>
      <c r="V112" s="6">
        <f t="shared" si="7"/>
        <v>105.76560000000001</v>
      </c>
      <c r="W112" s="2" t="s">
        <v>898</v>
      </c>
      <c r="X112" t="s">
        <v>2342</v>
      </c>
      <c r="Y112" t="s">
        <v>288</v>
      </c>
      <c r="Z112" t="s">
        <v>134</v>
      </c>
      <c r="AA112" t="s">
        <v>289</v>
      </c>
      <c r="AJ112" s="41">
        <v>0</v>
      </c>
      <c r="AL112">
        <f t="shared" si="3"/>
        <v>0</v>
      </c>
      <c r="AM112">
        <f t="shared" si="4"/>
        <v>0</v>
      </c>
      <c r="AN112">
        <f t="shared" si="5"/>
        <v>0</v>
      </c>
    </row>
    <row r="113" spans="1:40" x14ac:dyDescent="0.2">
      <c r="A113">
        <v>8</v>
      </c>
      <c r="B113" t="s">
        <v>290</v>
      </c>
      <c r="C113" s="2">
        <v>0</v>
      </c>
      <c r="D113" s="2">
        <v>0</v>
      </c>
      <c r="E113" s="2">
        <v>0</v>
      </c>
      <c r="F113" s="2" t="s">
        <v>1186</v>
      </c>
      <c r="G113" s="14" t="s">
        <v>1186</v>
      </c>
      <c r="H113" s="2" t="s">
        <v>1191</v>
      </c>
      <c r="I113">
        <v>27</v>
      </c>
      <c r="J113" t="s">
        <v>45</v>
      </c>
      <c r="K113">
        <v>2019</v>
      </c>
      <c r="L113" t="s">
        <v>137</v>
      </c>
      <c r="M113" t="s">
        <v>132</v>
      </c>
      <c r="N113">
        <v>21</v>
      </c>
      <c r="P113" t="s">
        <v>37</v>
      </c>
      <c r="Q113" s="2"/>
      <c r="R113" s="45" t="s">
        <v>39</v>
      </c>
      <c r="S113" s="4">
        <v>37.381880000000002</v>
      </c>
      <c r="T113" s="4">
        <v>-120.39415</v>
      </c>
      <c r="U113">
        <v>347</v>
      </c>
      <c r="V113" s="6">
        <f t="shared" si="7"/>
        <v>105.76560000000001</v>
      </c>
      <c r="W113" s="2" t="s">
        <v>898</v>
      </c>
      <c r="X113" t="s">
        <v>2342</v>
      </c>
      <c r="Y113" t="s">
        <v>291</v>
      </c>
      <c r="Z113" t="s">
        <v>134</v>
      </c>
      <c r="AA113" t="s">
        <v>292</v>
      </c>
      <c r="AJ113" s="41">
        <v>0</v>
      </c>
      <c r="AL113">
        <f t="shared" si="3"/>
        <v>0</v>
      </c>
      <c r="AM113">
        <f t="shared" si="4"/>
        <v>0</v>
      </c>
      <c r="AN113">
        <f t="shared" si="5"/>
        <v>0</v>
      </c>
    </row>
    <row r="114" spans="1:40" x14ac:dyDescent="0.2">
      <c r="A114">
        <v>8</v>
      </c>
      <c r="B114" t="s">
        <v>293</v>
      </c>
      <c r="C114" s="2">
        <v>0</v>
      </c>
      <c r="D114" s="2">
        <v>0</v>
      </c>
      <c r="E114" s="2">
        <v>0</v>
      </c>
      <c r="F114" s="2" t="s">
        <v>1186</v>
      </c>
      <c r="G114" s="14" t="s">
        <v>1186</v>
      </c>
      <c r="H114" s="2" t="s">
        <v>1191</v>
      </c>
      <c r="I114">
        <v>27</v>
      </c>
      <c r="J114" t="s">
        <v>45</v>
      </c>
      <c r="K114">
        <v>2019</v>
      </c>
      <c r="L114" t="s">
        <v>137</v>
      </c>
      <c r="M114" t="s">
        <v>132</v>
      </c>
      <c r="N114">
        <v>21</v>
      </c>
      <c r="P114" t="s">
        <v>37</v>
      </c>
      <c r="Q114" s="2"/>
      <c r="R114" s="45" t="s">
        <v>39</v>
      </c>
      <c r="S114" s="4">
        <v>37.381880000000002</v>
      </c>
      <c r="T114" s="4">
        <v>-120.39415</v>
      </c>
      <c r="U114">
        <v>347</v>
      </c>
      <c r="V114" s="6">
        <f t="shared" si="7"/>
        <v>105.76560000000001</v>
      </c>
      <c r="W114" s="2" t="s">
        <v>898</v>
      </c>
      <c r="X114" t="s">
        <v>2342</v>
      </c>
      <c r="Y114" t="s">
        <v>294</v>
      </c>
      <c r="Z114" t="s">
        <v>134</v>
      </c>
      <c r="AA114" t="s">
        <v>295</v>
      </c>
      <c r="AJ114" s="41">
        <v>0</v>
      </c>
      <c r="AL114">
        <f t="shared" si="3"/>
        <v>0</v>
      </c>
      <c r="AM114">
        <f t="shared" si="4"/>
        <v>0</v>
      </c>
      <c r="AN114">
        <f t="shared" si="5"/>
        <v>0</v>
      </c>
    </row>
    <row r="115" spans="1:40" x14ac:dyDescent="0.2">
      <c r="A115">
        <v>8</v>
      </c>
      <c r="B115" t="s">
        <v>296</v>
      </c>
      <c r="C115" s="2">
        <v>0</v>
      </c>
      <c r="D115" s="2">
        <v>0</v>
      </c>
      <c r="E115" s="2">
        <v>0</v>
      </c>
      <c r="F115" s="2" t="s">
        <v>1186</v>
      </c>
      <c r="G115" s="14" t="s">
        <v>1186</v>
      </c>
      <c r="H115" s="2" t="s">
        <v>1191</v>
      </c>
      <c r="I115">
        <v>27</v>
      </c>
      <c r="J115" t="s">
        <v>45</v>
      </c>
      <c r="K115">
        <v>2019</v>
      </c>
      <c r="L115" t="s">
        <v>137</v>
      </c>
      <c r="M115" t="s">
        <v>132</v>
      </c>
      <c r="N115">
        <v>19</v>
      </c>
      <c r="P115" t="s">
        <v>37</v>
      </c>
      <c r="Q115" s="2"/>
      <c r="R115" s="45" t="s">
        <v>39</v>
      </c>
      <c r="S115" s="4">
        <v>37.381880000000002</v>
      </c>
      <c r="T115" s="4">
        <v>-120.39415</v>
      </c>
      <c r="U115">
        <v>347</v>
      </c>
      <c r="V115" s="6">
        <f t="shared" si="7"/>
        <v>105.76560000000001</v>
      </c>
      <c r="W115" s="2" t="s">
        <v>898</v>
      </c>
      <c r="X115" t="s">
        <v>2342</v>
      </c>
      <c r="Y115" t="s">
        <v>294</v>
      </c>
      <c r="Z115" t="s">
        <v>134</v>
      </c>
      <c r="AA115" t="s">
        <v>297</v>
      </c>
      <c r="AJ115" s="41">
        <v>0</v>
      </c>
      <c r="AL115">
        <f t="shared" si="3"/>
        <v>0</v>
      </c>
      <c r="AM115">
        <f t="shared" si="4"/>
        <v>0</v>
      </c>
      <c r="AN115">
        <f t="shared" si="5"/>
        <v>0</v>
      </c>
    </row>
    <row r="116" spans="1:40" x14ac:dyDescent="0.2">
      <c r="A116">
        <v>8</v>
      </c>
      <c r="B116" t="s">
        <v>298</v>
      </c>
      <c r="F116" s="2" t="s">
        <v>1186</v>
      </c>
      <c r="G116" s="9" t="s">
        <v>1186</v>
      </c>
      <c r="H116" s="2" t="s">
        <v>1191</v>
      </c>
      <c r="I116">
        <v>27</v>
      </c>
      <c r="J116" t="s">
        <v>45</v>
      </c>
      <c r="K116">
        <v>2019</v>
      </c>
      <c r="L116" t="s">
        <v>137</v>
      </c>
      <c r="M116" t="s">
        <v>132</v>
      </c>
      <c r="N116">
        <v>20.5</v>
      </c>
      <c r="P116" t="s">
        <v>37</v>
      </c>
      <c r="Q116" s="2"/>
      <c r="R116" s="45" t="s">
        <v>39</v>
      </c>
      <c r="S116" s="4">
        <v>37.381880000000002</v>
      </c>
      <c r="T116" s="4">
        <v>-120.39415</v>
      </c>
      <c r="U116">
        <v>347</v>
      </c>
      <c r="V116" s="6">
        <f t="shared" si="7"/>
        <v>105.76560000000001</v>
      </c>
      <c r="W116" s="2" t="s">
        <v>898</v>
      </c>
      <c r="X116" t="s">
        <v>2342</v>
      </c>
      <c r="Y116" t="s">
        <v>299</v>
      </c>
      <c r="Z116" t="s">
        <v>134</v>
      </c>
      <c r="AA116" t="s">
        <v>300</v>
      </c>
      <c r="AJ116" s="41">
        <v>0</v>
      </c>
      <c r="AL116">
        <f t="shared" si="3"/>
        <v>0</v>
      </c>
      <c r="AM116">
        <f t="shared" si="4"/>
        <v>0</v>
      </c>
      <c r="AN116">
        <f t="shared" si="5"/>
        <v>0</v>
      </c>
    </row>
    <row r="117" spans="1:40" s="2" customFormat="1" x14ac:dyDescent="0.2">
      <c r="A117" s="2">
        <v>9</v>
      </c>
      <c r="B117" s="2" t="s">
        <v>301</v>
      </c>
      <c r="F117" s="9" t="s">
        <v>1186</v>
      </c>
      <c r="G117" s="9" t="s">
        <v>1186</v>
      </c>
      <c r="H117" s="2" t="s">
        <v>1191</v>
      </c>
      <c r="I117" s="2">
        <v>30</v>
      </c>
      <c r="J117" s="2" t="s">
        <v>45</v>
      </c>
      <c r="K117" s="2">
        <v>2019</v>
      </c>
      <c r="L117" s="2" t="s">
        <v>302</v>
      </c>
      <c r="M117" s="2" t="s">
        <v>303</v>
      </c>
      <c r="N117" s="2">
        <v>41.5</v>
      </c>
      <c r="O117" s="2">
        <v>8.5</v>
      </c>
      <c r="P117" s="2" t="s">
        <v>37</v>
      </c>
      <c r="Q117" s="2" t="s">
        <v>42</v>
      </c>
      <c r="R117" s="2" t="s">
        <v>39</v>
      </c>
      <c r="S117" s="5">
        <v>33.648139999999998</v>
      </c>
      <c r="T117" s="5">
        <v>-116.37726000000001</v>
      </c>
      <c r="U117" s="2">
        <v>998</v>
      </c>
      <c r="V117" s="7">
        <f t="shared" si="7"/>
        <v>304.19040000000001</v>
      </c>
      <c r="W117" s="2" t="s">
        <v>898</v>
      </c>
      <c r="X117" s="2" t="s">
        <v>2343</v>
      </c>
      <c r="Y117" s="2" t="s">
        <v>304</v>
      </c>
      <c r="AA117" s="2" t="s">
        <v>305</v>
      </c>
      <c r="AH117" s="2">
        <v>32.299999999999997</v>
      </c>
      <c r="AI117" s="2">
        <v>28.3</v>
      </c>
      <c r="AJ117" s="41">
        <v>0</v>
      </c>
      <c r="AL117">
        <f t="shared" si="3"/>
        <v>0</v>
      </c>
      <c r="AM117">
        <f t="shared" si="4"/>
        <v>0</v>
      </c>
      <c r="AN117">
        <f t="shared" si="5"/>
        <v>0</v>
      </c>
    </row>
    <row r="118" spans="1:40" s="2" customFormat="1" x14ac:dyDescent="0.2">
      <c r="A118" s="2">
        <v>9</v>
      </c>
      <c r="B118" s="2" t="s">
        <v>306</v>
      </c>
      <c r="F118" s="2" t="s">
        <v>1186</v>
      </c>
      <c r="G118" s="9" t="s">
        <v>1186</v>
      </c>
      <c r="H118" s="2" t="s">
        <v>1191</v>
      </c>
      <c r="I118" s="2">
        <v>30</v>
      </c>
      <c r="J118" s="2" t="s">
        <v>45</v>
      </c>
      <c r="K118" s="2">
        <v>2019</v>
      </c>
      <c r="L118" s="2" t="s">
        <v>302</v>
      </c>
      <c r="M118" s="2" t="s">
        <v>303</v>
      </c>
      <c r="N118" s="2">
        <v>42</v>
      </c>
      <c r="O118" s="2">
        <v>7</v>
      </c>
      <c r="P118" s="2" t="s">
        <v>30</v>
      </c>
      <c r="Q118" s="2" t="s">
        <v>38</v>
      </c>
      <c r="R118" s="2" t="s">
        <v>39</v>
      </c>
      <c r="S118" s="5">
        <v>33.648139999999998</v>
      </c>
      <c r="T118" s="5">
        <v>-116.37726000000001</v>
      </c>
      <c r="U118" s="2">
        <v>998</v>
      </c>
      <c r="V118" s="7">
        <f t="shared" si="7"/>
        <v>304.19040000000001</v>
      </c>
      <c r="W118" s="2" t="s">
        <v>898</v>
      </c>
      <c r="X118" s="2" t="s">
        <v>2343</v>
      </c>
      <c r="Y118" s="2" t="s">
        <v>307</v>
      </c>
      <c r="Z118" s="2" t="s">
        <v>308</v>
      </c>
      <c r="AA118" s="2" t="s">
        <v>309</v>
      </c>
      <c r="AH118" s="2">
        <v>32.299999999999997</v>
      </c>
      <c r="AI118" s="2">
        <v>28.3</v>
      </c>
      <c r="AJ118" s="41">
        <v>0</v>
      </c>
      <c r="AL118">
        <f t="shared" si="3"/>
        <v>0</v>
      </c>
      <c r="AM118">
        <f t="shared" si="4"/>
        <v>0</v>
      </c>
      <c r="AN118">
        <f t="shared" si="5"/>
        <v>0</v>
      </c>
    </row>
    <row r="119" spans="1:40" s="2" customFormat="1" x14ac:dyDescent="0.2">
      <c r="A119" s="2">
        <v>9</v>
      </c>
      <c r="B119" s="2" t="s">
        <v>310</v>
      </c>
      <c r="C119" s="2">
        <v>0</v>
      </c>
      <c r="D119" s="2">
        <v>0</v>
      </c>
      <c r="E119" s="2">
        <v>0</v>
      </c>
      <c r="F119" s="2" t="s">
        <v>1186</v>
      </c>
      <c r="G119" t="s">
        <v>1186</v>
      </c>
      <c r="H119" s="2" t="s">
        <v>1191</v>
      </c>
      <c r="I119" s="2">
        <v>30</v>
      </c>
      <c r="J119" s="2" t="s">
        <v>45</v>
      </c>
      <c r="K119" s="2">
        <v>2019</v>
      </c>
      <c r="L119" s="2" t="s">
        <v>302</v>
      </c>
      <c r="M119" s="2" t="s">
        <v>303</v>
      </c>
      <c r="N119" s="2">
        <v>49</v>
      </c>
      <c r="O119" s="2">
        <v>20.5</v>
      </c>
      <c r="P119" s="2" t="s">
        <v>30</v>
      </c>
      <c r="Q119" s="2" t="s">
        <v>42</v>
      </c>
      <c r="R119" s="2" t="s">
        <v>39</v>
      </c>
      <c r="S119" s="5">
        <v>33.648139999999998</v>
      </c>
      <c r="T119" s="5">
        <v>-116.37726000000001</v>
      </c>
      <c r="U119" s="2">
        <v>998</v>
      </c>
      <c r="V119" s="7">
        <f t="shared" si="7"/>
        <v>304.19040000000001</v>
      </c>
      <c r="W119" s="2" t="s">
        <v>898</v>
      </c>
      <c r="X119" s="2" t="s">
        <v>2343</v>
      </c>
      <c r="Y119" s="2" t="s">
        <v>311</v>
      </c>
      <c r="AA119" s="2" t="s">
        <v>312</v>
      </c>
      <c r="AH119" s="2">
        <v>32.299999999999997</v>
      </c>
      <c r="AI119" s="2">
        <v>28.3</v>
      </c>
      <c r="AJ119" s="41">
        <v>0</v>
      </c>
      <c r="AL119">
        <f t="shared" si="3"/>
        <v>0</v>
      </c>
      <c r="AM119">
        <f t="shared" si="4"/>
        <v>0</v>
      </c>
      <c r="AN119">
        <f t="shared" si="5"/>
        <v>0</v>
      </c>
    </row>
    <row r="120" spans="1:40" s="2" customFormat="1" x14ac:dyDescent="0.2">
      <c r="A120" s="2">
        <v>9</v>
      </c>
      <c r="B120" s="2" t="s">
        <v>313</v>
      </c>
      <c r="C120" s="2">
        <v>0</v>
      </c>
      <c r="D120" s="2">
        <v>0</v>
      </c>
      <c r="E120" s="2">
        <v>0</v>
      </c>
      <c r="F120" s="2" t="s">
        <v>1186</v>
      </c>
      <c r="G120" t="s">
        <v>1186</v>
      </c>
      <c r="H120" s="2" t="s">
        <v>1191</v>
      </c>
      <c r="I120" s="2">
        <v>30</v>
      </c>
      <c r="J120" s="2" t="s">
        <v>45</v>
      </c>
      <c r="K120" s="2">
        <v>2019</v>
      </c>
      <c r="L120" s="2" t="s">
        <v>302</v>
      </c>
      <c r="M120" s="2" t="s">
        <v>303</v>
      </c>
      <c r="N120" s="2">
        <v>44</v>
      </c>
      <c r="O120" s="2">
        <v>10.5</v>
      </c>
      <c r="P120" s="2" t="s">
        <v>30</v>
      </c>
      <c r="Q120" s="2" t="s">
        <v>42</v>
      </c>
      <c r="R120" s="2" t="s">
        <v>39</v>
      </c>
      <c r="S120" s="5">
        <v>33.648139999999998</v>
      </c>
      <c r="T120" s="5">
        <v>-116.37726000000001</v>
      </c>
      <c r="U120" s="2">
        <v>998</v>
      </c>
      <c r="V120" s="7">
        <f t="shared" si="7"/>
        <v>304.19040000000001</v>
      </c>
      <c r="W120" s="2" t="s">
        <v>898</v>
      </c>
      <c r="X120" s="2" t="s">
        <v>2343</v>
      </c>
      <c r="Y120" s="2" t="s">
        <v>314</v>
      </c>
      <c r="AA120" s="2" t="s">
        <v>315</v>
      </c>
      <c r="AH120" s="2">
        <v>32.299999999999997</v>
      </c>
      <c r="AI120" s="2">
        <v>28.3</v>
      </c>
      <c r="AJ120" s="41">
        <v>0</v>
      </c>
      <c r="AL120">
        <f t="shared" si="3"/>
        <v>0</v>
      </c>
      <c r="AM120">
        <f t="shared" si="4"/>
        <v>0</v>
      </c>
      <c r="AN120">
        <f t="shared" si="5"/>
        <v>0</v>
      </c>
    </row>
    <row r="121" spans="1:40" s="2" customFormat="1" x14ac:dyDescent="0.2">
      <c r="A121" s="2">
        <v>9</v>
      </c>
      <c r="B121" s="2" t="s">
        <v>316</v>
      </c>
      <c r="F121" s="2" t="s">
        <v>1186</v>
      </c>
      <c r="G121" t="s">
        <v>1186</v>
      </c>
      <c r="H121" s="2" t="s">
        <v>1191</v>
      </c>
      <c r="I121" s="2">
        <v>30</v>
      </c>
      <c r="J121" s="2" t="s">
        <v>45</v>
      </c>
      <c r="K121" s="2">
        <v>2019</v>
      </c>
      <c r="L121" s="2" t="s">
        <v>302</v>
      </c>
      <c r="M121" s="2" t="s">
        <v>303</v>
      </c>
      <c r="N121" s="2">
        <v>39</v>
      </c>
      <c r="O121" s="2">
        <v>8.5</v>
      </c>
      <c r="P121" s="2" t="s">
        <v>30</v>
      </c>
      <c r="Q121" s="2" t="s">
        <v>42</v>
      </c>
      <c r="R121" s="2" t="s">
        <v>39</v>
      </c>
      <c r="S121" s="5">
        <v>33.648139999999998</v>
      </c>
      <c r="T121" s="5">
        <v>-116.37726000000001</v>
      </c>
      <c r="U121" s="2">
        <v>998</v>
      </c>
      <c r="V121" s="7">
        <f t="shared" si="7"/>
        <v>304.19040000000001</v>
      </c>
      <c r="W121" s="2" t="s">
        <v>898</v>
      </c>
      <c r="X121" s="2" t="s">
        <v>2343</v>
      </c>
      <c r="Y121" s="2" t="s">
        <v>314</v>
      </c>
      <c r="AA121" s="2" t="s">
        <v>317</v>
      </c>
      <c r="AH121" s="2">
        <v>32.299999999999997</v>
      </c>
      <c r="AI121" s="2">
        <v>28.3</v>
      </c>
      <c r="AJ121" s="41">
        <v>0</v>
      </c>
      <c r="AL121">
        <f t="shared" si="3"/>
        <v>0</v>
      </c>
      <c r="AM121">
        <f t="shared" si="4"/>
        <v>0</v>
      </c>
      <c r="AN121">
        <f t="shared" si="5"/>
        <v>0</v>
      </c>
    </row>
    <row r="122" spans="1:40" x14ac:dyDescent="0.2">
      <c r="A122">
        <v>11</v>
      </c>
      <c r="B122" t="s">
        <v>318</v>
      </c>
      <c r="C122" s="2">
        <v>0</v>
      </c>
      <c r="D122" s="2">
        <v>0</v>
      </c>
      <c r="E122" s="2">
        <v>0</v>
      </c>
      <c r="F122" s="2" t="s">
        <v>1186</v>
      </c>
      <c r="G122" t="s">
        <v>1186</v>
      </c>
      <c r="H122" s="2" t="s">
        <v>1191</v>
      </c>
      <c r="I122">
        <v>2</v>
      </c>
      <c r="J122" t="s">
        <v>319</v>
      </c>
      <c r="K122">
        <v>2019</v>
      </c>
      <c r="L122" t="s">
        <v>320</v>
      </c>
      <c r="M122" t="s">
        <v>321</v>
      </c>
      <c r="N122">
        <v>25</v>
      </c>
      <c r="O122">
        <v>2.5</v>
      </c>
      <c r="P122" t="s">
        <v>37</v>
      </c>
      <c r="R122" t="s">
        <v>89</v>
      </c>
      <c r="S122" s="4">
        <v>33.693420000000003</v>
      </c>
      <c r="T122" s="4">
        <v>-116.37306</v>
      </c>
      <c r="U122">
        <v>452</v>
      </c>
      <c r="V122" s="6">
        <f t="shared" si="7"/>
        <v>137.7696</v>
      </c>
      <c r="W122" t="s">
        <v>2338</v>
      </c>
      <c r="X122" t="s">
        <v>2344</v>
      </c>
      <c r="Y122" t="s">
        <v>149</v>
      </c>
      <c r="AA122" t="s">
        <v>322</v>
      </c>
      <c r="AJ122" s="41">
        <v>0</v>
      </c>
      <c r="AL122">
        <f t="shared" si="3"/>
        <v>0</v>
      </c>
      <c r="AM122">
        <f t="shared" si="4"/>
        <v>0</v>
      </c>
      <c r="AN122">
        <f t="shared" si="5"/>
        <v>0</v>
      </c>
    </row>
    <row r="123" spans="1:40" x14ac:dyDescent="0.2">
      <c r="A123">
        <v>11</v>
      </c>
      <c r="B123" t="s">
        <v>323</v>
      </c>
      <c r="C123" s="2">
        <v>0</v>
      </c>
      <c r="D123" s="2">
        <v>0</v>
      </c>
      <c r="E123" s="2">
        <v>0</v>
      </c>
      <c r="F123" s="2" t="s">
        <v>1186</v>
      </c>
      <c r="G123" t="s">
        <v>1186</v>
      </c>
      <c r="H123" s="2" t="s">
        <v>1191</v>
      </c>
      <c r="I123">
        <v>2</v>
      </c>
      <c r="J123" t="s">
        <v>319</v>
      </c>
      <c r="K123">
        <v>2019</v>
      </c>
      <c r="L123" t="s">
        <v>320</v>
      </c>
      <c r="M123" t="s">
        <v>321</v>
      </c>
      <c r="N123">
        <v>30</v>
      </c>
      <c r="P123" t="s">
        <v>37</v>
      </c>
      <c r="R123" t="s">
        <v>89</v>
      </c>
      <c r="S123" s="4">
        <v>33.693420000000003</v>
      </c>
      <c r="T123" s="4">
        <v>-116.37306</v>
      </c>
      <c r="U123">
        <v>452</v>
      </c>
      <c r="V123" s="6">
        <f t="shared" si="7"/>
        <v>137.7696</v>
      </c>
      <c r="W123" t="s">
        <v>2338</v>
      </c>
      <c r="X123" t="s">
        <v>2344</v>
      </c>
      <c r="Y123" t="s">
        <v>149</v>
      </c>
      <c r="AA123" t="s">
        <v>324</v>
      </c>
      <c r="AJ123" s="41">
        <v>0</v>
      </c>
      <c r="AL123">
        <f t="shared" si="3"/>
        <v>0</v>
      </c>
      <c r="AM123">
        <f t="shared" si="4"/>
        <v>0</v>
      </c>
      <c r="AN123">
        <f t="shared" si="5"/>
        <v>0</v>
      </c>
    </row>
    <row r="124" spans="1:40" x14ac:dyDescent="0.2">
      <c r="A124">
        <v>11</v>
      </c>
      <c r="B124" t="s">
        <v>325</v>
      </c>
      <c r="C124" s="2">
        <v>0</v>
      </c>
      <c r="D124" s="2">
        <v>0</v>
      </c>
      <c r="E124" s="2">
        <v>0</v>
      </c>
      <c r="F124" s="2" t="s">
        <v>1186</v>
      </c>
      <c r="G124" t="s">
        <v>1186</v>
      </c>
      <c r="H124" s="2" t="s">
        <v>1191</v>
      </c>
      <c r="I124">
        <v>2</v>
      </c>
      <c r="J124" t="s">
        <v>319</v>
      </c>
      <c r="K124">
        <v>2019</v>
      </c>
      <c r="L124" t="s">
        <v>320</v>
      </c>
      <c r="M124" t="s">
        <v>321</v>
      </c>
      <c r="N124">
        <v>24</v>
      </c>
      <c r="O124">
        <v>0.5</v>
      </c>
      <c r="P124" t="s">
        <v>37</v>
      </c>
      <c r="R124" t="s">
        <v>89</v>
      </c>
      <c r="S124" s="4">
        <v>33.693420000000003</v>
      </c>
      <c r="T124" s="4">
        <v>-116.37306</v>
      </c>
      <c r="U124">
        <v>452</v>
      </c>
      <c r="V124" s="6">
        <f t="shared" si="7"/>
        <v>137.7696</v>
      </c>
      <c r="W124" t="s">
        <v>2338</v>
      </c>
      <c r="X124" t="s">
        <v>2344</v>
      </c>
      <c r="Y124" t="s">
        <v>152</v>
      </c>
      <c r="AA124" t="s">
        <v>326</v>
      </c>
      <c r="AJ124" s="41">
        <v>0</v>
      </c>
      <c r="AL124">
        <f t="shared" si="3"/>
        <v>0</v>
      </c>
      <c r="AM124">
        <f t="shared" si="4"/>
        <v>0</v>
      </c>
      <c r="AN124">
        <f t="shared" si="5"/>
        <v>0</v>
      </c>
    </row>
    <row r="125" spans="1:40" x14ac:dyDescent="0.2">
      <c r="A125">
        <v>11</v>
      </c>
      <c r="B125" t="s">
        <v>327</v>
      </c>
      <c r="C125" s="2">
        <v>0</v>
      </c>
      <c r="D125" s="2">
        <v>0</v>
      </c>
      <c r="E125" s="2">
        <v>0</v>
      </c>
      <c r="F125" s="2" t="s">
        <v>1186</v>
      </c>
      <c r="G125" t="s">
        <v>1186</v>
      </c>
      <c r="H125" s="2" t="s">
        <v>1191</v>
      </c>
      <c r="I125">
        <v>2</v>
      </c>
      <c r="J125" t="s">
        <v>319</v>
      </c>
      <c r="K125">
        <v>2019</v>
      </c>
      <c r="L125" t="s">
        <v>320</v>
      </c>
      <c r="M125" t="s">
        <v>321</v>
      </c>
      <c r="N125">
        <v>24.5</v>
      </c>
      <c r="O125">
        <v>1</v>
      </c>
      <c r="P125" t="s">
        <v>37</v>
      </c>
      <c r="R125" t="s">
        <v>89</v>
      </c>
      <c r="S125" s="4">
        <v>33.693420000000003</v>
      </c>
      <c r="T125" s="4">
        <v>-116.37306</v>
      </c>
      <c r="U125">
        <v>452</v>
      </c>
      <c r="V125" s="6">
        <f t="shared" si="7"/>
        <v>137.7696</v>
      </c>
      <c r="W125" t="s">
        <v>2338</v>
      </c>
      <c r="X125" t="s">
        <v>2344</v>
      </c>
      <c r="Y125" t="s">
        <v>328</v>
      </c>
      <c r="AA125" t="s">
        <v>329</v>
      </c>
      <c r="AJ125" s="41">
        <v>0</v>
      </c>
      <c r="AL125">
        <f t="shared" si="3"/>
        <v>0</v>
      </c>
      <c r="AM125">
        <f t="shared" si="4"/>
        <v>0</v>
      </c>
      <c r="AN125">
        <f t="shared" si="5"/>
        <v>0</v>
      </c>
    </row>
    <row r="126" spans="1:40" x14ac:dyDescent="0.2">
      <c r="A126">
        <v>11</v>
      </c>
      <c r="B126" t="s">
        <v>330</v>
      </c>
      <c r="C126" s="2">
        <v>0</v>
      </c>
      <c r="D126" s="2">
        <v>0</v>
      </c>
      <c r="E126" s="2">
        <v>0</v>
      </c>
      <c r="F126" s="2" t="s">
        <v>1186</v>
      </c>
      <c r="G126" t="s">
        <v>1186</v>
      </c>
      <c r="H126" s="2" t="s">
        <v>1191</v>
      </c>
      <c r="I126">
        <v>2</v>
      </c>
      <c r="J126" t="s">
        <v>319</v>
      </c>
      <c r="K126">
        <v>2019</v>
      </c>
      <c r="L126" t="s">
        <v>320</v>
      </c>
      <c r="M126" t="s">
        <v>321</v>
      </c>
      <c r="N126">
        <v>27</v>
      </c>
      <c r="O126">
        <v>3.5</v>
      </c>
      <c r="P126" t="s">
        <v>37</v>
      </c>
      <c r="R126" t="s">
        <v>89</v>
      </c>
      <c r="S126" s="4">
        <v>33.693420000000003</v>
      </c>
      <c r="T126" s="4">
        <v>-116.37306</v>
      </c>
      <c r="U126">
        <v>452</v>
      </c>
      <c r="V126" s="6">
        <f t="shared" si="7"/>
        <v>137.7696</v>
      </c>
      <c r="W126" t="s">
        <v>2338</v>
      </c>
      <c r="X126" t="s">
        <v>2344</v>
      </c>
      <c r="Y126" t="s">
        <v>328</v>
      </c>
      <c r="AA126" t="s">
        <v>331</v>
      </c>
      <c r="AJ126" s="41">
        <v>0</v>
      </c>
      <c r="AL126">
        <f t="shared" si="3"/>
        <v>0</v>
      </c>
      <c r="AM126">
        <f t="shared" si="4"/>
        <v>0</v>
      </c>
      <c r="AN126">
        <f t="shared" si="5"/>
        <v>0</v>
      </c>
    </row>
    <row r="127" spans="1:40" x14ac:dyDescent="0.2">
      <c r="A127">
        <v>11</v>
      </c>
      <c r="B127" t="s">
        <v>332</v>
      </c>
      <c r="C127" s="2">
        <v>0</v>
      </c>
      <c r="D127" s="2">
        <v>0</v>
      </c>
      <c r="E127" s="2">
        <v>0</v>
      </c>
      <c r="F127" s="2" t="s">
        <v>1186</v>
      </c>
      <c r="G127" t="s">
        <v>1186</v>
      </c>
      <c r="H127" s="2" t="s">
        <v>1191</v>
      </c>
      <c r="I127">
        <v>2</v>
      </c>
      <c r="J127" t="s">
        <v>319</v>
      </c>
      <c r="K127">
        <v>2019</v>
      </c>
      <c r="L127" t="s">
        <v>320</v>
      </c>
      <c r="M127" t="s">
        <v>321</v>
      </c>
      <c r="N127">
        <v>22.5</v>
      </c>
      <c r="O127">
        <v>2</v>
      </c>
      <c r="P127" t="s">
        <v>37</v>
      </c>
      <c r="R127" t="s">
        <v>89</v>
      </c>
      <c r="S127" s="4">
        <v>33.693420000000003</v>
      </c>
      <c r="T127" s="4">
        <v>-116.37306</v>
      </c>
      <c r="U127">
        <v>452</v>
      </c>
      <c r="V127" s="6">
        <f t="shared" si="7"/>
        <v>137.7696</v>
      </c>
      <c r="W127" t="s">
        <v>2338</v>
      </c>
      <c r="X127" t="s">
        <v>2344</v>
      </c>
      <c r="Y127" t="s">
        <v>159</v>
      </c>
      <c r="AA127" t="s">
        <v>333</v>
      </c>
      <c r="AJ127" s="41">
        <v>0</v>
      </c>
      <c r="AL127">
        <f t="shared" si="3"/>
        <v>0</v>
      </c>
      <c r="AM127">
        <f t="shared" si="4"/>
        <v>0</v>
      </c>
      <c r="AN127">
        <f t="shared" si="5"/>
        <v>0</v>
      </c>
    </row>
    <row r="128" spans="1:40" x14ac:dyDescent="0.2">
      <c r="A128">
        <v>11</v>
      </c>
      <c r="B128" t="s">
        <v>334</v>
      </c>
      <c r="C128" s="2">
        <v>0</v>
      </c>
      <c r="D128" s="2">
        <v>0</v>
      </c>
      <c r="E128" s="2">
        <v>0</v>
      </c>
      <c r="F128" s="2" t="s">
        <v>1186</v>
      </c>
      <c r="G128" t="s">
        <v>1186</v>
      </c>
      <c r="H128" s="2" t="s">
        <v>1191</v>
      </c>
      <c r="I128">
        <v>2</v>
      </c>
      <c r="J128" t="s">
        <v>319</v>
      </c>
      <c r="K128">
        <v>2019</v>
      </c>
      <c r="L128" t="s">
        <v>320</v>
      </c>
      <c r="M128" t="s">
        <v>321</v>
      </c>
      <c r="N128">
        <v>27</v>
      </c>
      <c r="O128">
        <v>2</v>
      </c>
      <c r="P128" t="s">
        <v>37</v>
      </c>
      <c r="R128" t="s">
        <v>89</v>
      </c>
      <c r="S128" s="4">
        <v>33.693420000000003</v>
      </c>
      <c r="T128" s="4">
        <v>-116.37306</v>
      </c>
      <c r="U128">
        <v>452</v>
      </c>
      <c r="V128" s="6">
        <f t="shared" si="7"/>
        <v>137.7696</v>
      </c>
      <c r="W128" t="s">
        <v>2338</v>
      </c>
      <c r="X128" t="s">
        <v>2344</v>
      </c>
      <c r="Y128" t="s">
        <v>335</v>
      </c>
      <c r="AA128" t="s">
        <v>336</v>
      </c>
      <c r="AJ128" s="41">
        <v>0</v>
      </c>
      <c r="AL128">
        <f t="shared" si="3"/>
        <v>0</v>
      </c>
      <c r="AM128">
        <f t="shared" si="4"/>
        <v>0</v>
      </c>
      <c r="AN128">
        <f t="shared" si="5"/>
        <v>0</v>
      </c>
    </row>
    <row r="129" spans="1:40" x14ac:dyDescent="0.2">
      <c r="A129">
        <v>11</v>
      </c>
      <c r="B129" t="s">
        <v>337</v>
      </c>
      <c r="C129" s="2">
        <v>0</v>
      </c>
      <c r="D129" s="2">
        <v>0</v>
      </c>
      <c r="E129" s="2">
        <v>0</v>
      </c>
      <c r="F129" s="2" t="s">
        <v>1186</v>
      </c>
      <c r="G129" s="9" t="s">
        <v>1186</v>
      </c>
      <c r="H129" s="2" t="s">
        <v>1191</v>
      </c>
      <c r="I129">
        <v>2</v>
      </c>
      <c r="J129" t="s">
        <v>319</v>
      </c>
      <c r="K129">
        <v>2019</v>
      </c>
      <c r="L129" t="s">
        <v>320</v>
      </c>
      <c r="M129" t="s">
        <v>321</v>
      </c>
      <c r="N129">
        <v>124</v>
      </c>
      <c r="O129">
        <v>1.5</v>
      </c>
      <c r="P129" t="s">
        <v>37</v>
      </c>
      <c r="Q129" s="45"/>
      <c r="R129" s="45" t="s">
        <v>39</v>
      </c>
      <c r="S129" s="4">
        <v>33.693420000000003</v>
      </c>
      <c r="T129" s="4">
        <v>-116.37306</v>
      </c>
      <c r="U129">
        <v>452</v>
      </c>
      <c r="V129" s="6">
        <f t="shared" si="7"/>
        <v>137.7696</v>
      </c>
      <c r="W129" t="s">
        <v>2338</v>
      </c>
      <c r="X129" t="s">
        <v>2344</v>
      </c>
      <c r="Y129" t="s">
        <v>165</v>
      </c>
      <c r="AA129" t="s">
        <v>338</v>
      </c>
      <c r="AJ129" s="41">
        <v>0</v>
      </c>
      <c r="AL129">
        <f t="shared" si="3"/>
        <v>0</v>
      </c>
      <c r="AM129">
        <f t="shared" si="4"/>
        <v>0</v>
      </c>
      <c r="AN129">
        <f t="shared" si="5"/>
        <v>0</v>
      </c>
    </row>
    <row r="130" spans="1:40" x14ac:dyDescent="0.2">
      <c r="A130">
        <v>11</v>
      </c>
      <c r="B130" t="s">
        <v>339</v>
      </c>
      <c r="C130" s="2">
        <v>0</v>
      </c>
      <c r="D130" s="2">
        <v>0</v>
      </c>
      <c r="E130" s="2">
        <v>0</v>
      </c>
      <c r="F130" s="2" t="s">
        <v>1186</v>
      </c>
      <c r="G130" t="s">
        <v>1186</v>
      </c>
      <c r="H130" s="2" t="s">
        <v>1191</v>
      </c>
      <c r="I130">
        <v>2</v>
      </c>
      <c r="J130" t="s">
        <v>319</v>
      </c>
      <c r="K130">
        <v>2019</v>
      </c>
      <c r="L130" t="s">
        <v>320</v>
      </c>
      <c r="M130" t="s">
        <v>321</v>
      </c>
      <c r="N130">
        <v>23</v>
      </c>
      <c r="O130">
        <v>3.5</v>
      </c>
      <c r="P130" t="s">
        <v>37</v>
      </c>
      <c r="R130" t="s">
        <v>89</v>
      </c>
      <c r="S130" s="4">
        <v>33.693420000000003</v>
      </c>
      <c r="T130" s="4">
        <v>-116.37306</v>
      </c>
      <c r="U130">
        <v>452</v>
      </c>
      <c r="V130" s="6">
        <f t="shared" si="7"/>
        <v>137.7696</v>
      </c>
      <c r="W130" t="s">
        <v>2338</v>
      </c>
      <c r="X130" t="s">
        <v>2344</v>
      </c>
      <c r="Y130" t="s">
        <v>165</v>
      </c>
      <c r="AA130" t="s">
        <v>340</v>
      </c>
      <c r="AJ130" s="41">
        <v>0</v>
      </c>
      <c r="AL130">
        <f t="shared" si="3"/>
        <v>0</v>
      </c>
      <c r="AM130">
        <f t="shared" si="4"/>
        <v>0</v>
      </c>
      <c r="AN130">
        <f t="shared" si="5"/>
        <v>0</v>
      </c>
    </row>
    <row r="131" spans="1:40" x14ac:dyDescent="0.2">
      <c r="A131">
        <v>11</v>
      </c>
      <c r="B131" t="s">
        <v>341</v>
      </c>
      <c r="C131" s="2">
        <v>0</v>
      </c>
      <c r="D131" s="2">
        <v>0</v>
      </c>
      <c r="E131" s="2">
        <v>0</v>
      </c>
      <c r="F131" t="s">
        <v>1186</v>
      </c>
      <c r="G131" t="s">
        <v>1186</v>
      </c>
      <c r="H131" s="2" t="s">
        <v>1191</v>
      </c>
      <c r="I131">
        <v>2</v>
      </c>
      <c r="J131" t="s">
        <v>319</v>
      </c>
      <c r="K131">
        <v>2019</v>
      </c>
      <c r="L131" t="s">
        <v>320</v>
      </c>
      <c r="M131" t="s">
        <v>321</v>
      </c>
      <c r="N131">
        <v>24</v>
      </c>
      <c r="O131">
        <v>3</v>
      </c>
      <c r="P131" t="s">
        <v>37</v>
      </c>
      <c r="R131" t="s">
        <v>89</v>
      </c>
      <c r="S131" s="4">
        <v>33.693420000000003</v>
      </c>
      <c r="T131" s="4">
        <v>-116.37306</v>
      </c>
      <c r="U131">
        <v>452</v>
      </c>
      <c r="V131" s="6">
        <f t="shared" si="7"/>
        <v>137.7696</v>
      </c>
      <c r="W131" t="s">
        <v>2338</v>
      </c>
      <c r="X131" t="s">
        <v>2344</v>
      </c>
      <c r="Y131" t="s">
        <v>171</v>
      </c>
      <c r="AA131" t="s">
        <v>342</v>
      </c>
      <c r="AJ131" s="41">
        <v>0</v>
      </c>
      <c r="AL131">
        <f t="shared" ref="AL131:AL194" si="8">C131*80</f>
        <v>0</v>
      </c>
      <c r="AM131">
        <f t="shared" ref="AM131:AM194" si="9">D131*80</f>
        <v>0</v>
      </c>
      <c r="AN131">
        <f t="shared" ref="AN131:AN194" si="10">E131*80</f>
        <v>0</v>
      </c>
    </row>
    <row r="132" spans="1:40" x14ac:dyDescent="0.2">
      <c r="A132">
        <v>11</v>
      </c>
      <c r="B132" t="s">
        <v>343</v>
      </c>
      <c r="C132" s="2">
        <v>0</v>
      </c>
      <c r="D132" s="2">
        <v>0</v>
      </c>
      <c r="E132" s="2">
        <v>0</v>
      </c>
      <c r="F132" t="s">
        <v>1186</v>
      </c>
      <c r="G132" t="s">
        <v>1186</v>
      </c>
      <c r="H132" s="2" t="s">
        <v>1191</v>
      </c>
      <c r="I132">
        <v>2</v>
      </c>
      <c r="J132" t="s">
        <v>319</v>
      </c>
      <c r="K132">
        <v>2019</v>
      </c>
      <c r="L132" t="s">
        <v>320</v>
      </c>
      <c r="M132" t="s">
        <v>321</v>
      </c>
      <c r="N132">
        <v>19</v>
      </c>
      <c r="O132">
        <v>3.5</v>
      </c>
      <c r="P132" t="s">
        <v>37</v>
      </c>
      <c r="R132" t="s">
        <v>89</v>
      </c>
      <c r="S132" s="4">
        <v>33.693420000000003</v>
      </c>
      <c r="T132" s="4">
        <v>-116.37306</v>
      </c>
      <c r="U132">
        <v>452</v>
      </c>
      <c r="V132" s="6">
        <f t="shared" si="7"/>
        <v>137.7696</v>
      </c>
      <c r="W132" t="s">
        <v>2338</v>
      </c>
      <c r="X132" t="s">
        <v>2344</v>
      </c>
      <c r="Y132" t="s">
        <v>218</v>
      </c>
      <c r="AA132" t="s">
        <v>344</v>
      </c>
      <c r="AJ132" s="41">
        <v>0</v>
      </c>
      <c r="AL132">
        <f t="shared" si="8"/>
        <v>0</v>
      </c>
      <c r="AM132">
        <f t="shared" si="9"/>
        <v>0</v>
      </c>
      <c r="AN132">
        <f t="shared" si="10"/>
        <v>0</v>
      </c>
    </row>
    <row r="133" spans="1:40" x14ac:dyDescent="0.2">
      <c r="A133">
        <v>11</v>
      </c>
      <c r="B133" t="s">
        <v>345</v>
      </c>
      <c r="C133" s="2">
        <v>0</v>
      </c>
      <c r="D133" s="2">
        <v>0</v>
      </c>
      <c r="E133" s="2">
        <v>0</v>
      </c>
      <c r="F133" t="s">
        <v>1186</v>
      </c>
      <c r="G133" s="9" t="s">
        <v>1186</v>
      </c>
      <c r="H133" s="2" t="s">
        <v>1191</v>
      </c>
      <c r="I133">
        <v>2</v>
      </c>
      <c r="J133" t="s">
        <v>319</v>
      </c>
      <c r="K133">
        <v>2019</v>
      </c>
      <c r="L133" t="s">
        <v>320</v>
      </c>
      <c r="M133" t="s">
        <v>321</v>
      </c>
      <c r="N133">
        <v>76.5</v>
      </c>
      <c r="O133">
        <v>69.5</v>
      </c>
      <c r="P133" t="s">
        <v>30</v>
      </c>
      <c r="Q133" t="s">
        <v>38</v>
      </c>
      <c r="R133" t="s">
        <v>39</v>
      </c>
      <c r="S133" s="4">
        <v>33.691839999999999</v>
      </c>
      <c r="T133" s="4">
        <v>-116.36391</v>
      </c>
      <c r="U133">
        <v>466</v>
      </c>
      <c r="V133" s="6">
        <f t="shared" si="7"/>
        <v>142.0368</v>
      </c>
      <c r="W133" t="s">
        <v>2346</v>
      </c>
      <c r="X133" t="s">
        <v>2345</v>
      </c>
      <c r="Y133" t="s">
        <v>346</v>
      </c>
      <c r="AA133" t="s">
        <v>347</v>
      </c>
      <c r="AJ133" s="41">
        <v>0</v>
      </c>
      <c r="AL133">
        <f t="shared" si="8"/>
        <v>0</v>
      </c>
      <c r="AM133">
        <f t="shared" si="9"/>
        <v>0</v>
      </c>
      <c r="AN133">
        <f t="shared" si="10"/>
        <v>0</v>
      </c>
    </row>
    <row r="134" spans="1:40" x14ac:dyDescent="0.2">
      <c r="A134">
        <v>11</v>
      </c>
      <c r="B134" t="s">
        <v>348</v>
      </c>
      <c r="C134" s="2">
        <v>0</v>
      </c>
      <c r="D134" s="2">
        <v>0</v>
      </c>
      <c r="E134" s="2">
        <v>0</v>
      </c>
      <c r="F134" t="s">
        <v>1186</v>
      </c>
      <c r="G134" t="s">
        <v>1186</v>
      </c>
      <c r="H134" s="2" t="s">
        <v>1191</v>
      </c>
      <c r="I134">
        <v>2</v>
      </c>
      <c r="J134" t="s">
        <v>319</v>
      </c>
      <c r="K134">
        <v>2019</v>
      </c>
      <c r="L134" t="s">
        <v>320</v>
      </c>
      <c r="M134" t="s">
        <v>321</v>
      </c>
      <c r="N134">
        <v>78</v>
      </c>
      <c r="O134">
        <v>73.5</v>
      </c>
      <c r="P134" t="s">
        <v>37</v>
      </c>
      <c r="Q134" t="s">
        <v>38</v>
      </c>
      <c r="R134" t="s">
        <v>39</v>
      </c>
      <c r="S134" s="4">
        <v>33.691839999999999</v>
      </c>
      <c r="T134" s="4">
        <v>-116.36391</v>
      </c>
      <c r="U134">
        <v>466</v>
      </c>
      <c r="V134" s="6">
        <f t="shared" si="7"/>
        <v>142.0368</v>
      </c>
      <c r="W134" t="s">
        <v>2346</v>
      </c>
      <c r="X134" t="s">
        <v>2345</v>
      </c>
      <c r="Y134" t="s">
        <v>257</v>
      </c>
      <c r="Z134" t="s">
        <v>349</v>
      </c>
      <c r="AA134" t="s">
        <v>350</v>
      </c>
      <c r="AJ134" s="41">
        <v>0</v>
      </c>
      <c r="AL134">
        <f t="shared" si="8"/>
        <v>0</v>
      </c>
      <c r="AM134">
        <f t="shared" si="9"/>
        <v>0</v>
      </c>
      <c r="AN134">
        <f t="shared" si="10"/>
        <v>0</v>
      </c>
    </row>
    <row r="135" spans="1:40" x14ac:dyDescent="0.2">
      <c r="A135">
        <v>11</v>
      </c>
      <c r="B135" t="s">
        <v>351</v>
      </c>
      <c r="C135" s="2">
        <v>0</v>
      </c>
      <c r="D135" s="2">
        <v>0</v>
      </c>
      <c r="E135" s="2">
        <v>0</v>
      </c>
      <c r="F135" t="s">
        <v>1186</v>
      </c>
      <c r="G135" t="s">
        <v>1186</v>
      </c>
      <c r="H135" s="2" t="s">
        <v>1191</v>
      </c>
      <c r="I135">
        <v>2</v>
      </c>
      <c r="J135" t="s">
        <v>319</v>
      </c>
      <c r="K135">
        <v>2019</v>
      </c>
      <c r="L135" t="s">
        <v>320</v>
      </c>
      <c r="M135" t="s">
        <v>321</v>
      </c>
      <c r="N135">
        <v>69</v>
      </c>
      <c r="O135" t="s">
        <v>43</v>
      </c>
      <c r="P135" t="s">
        <v>37</v>
      </c>
      <c r="Q135" t="s">
        <v>38</v>
      </c>
      <c r="R135" t="s">
        <v>39</v>
      </c>
      <c r="S135" s="4">
        <v>33.691839999999999</v>
      </c>
      <c r="T135" s="4">
        <v>-116.36391</v>
      </c>
      <c r="U135">
        <v>466</v>
      </c>
      <c r="V135" s="6">
        <f t="shared" si="7"/>
        <v>142.0368</v>
      </c>
      <c r="W135" t="s">
        <v>2346</v>
      </c>
      <c r="X135" t="s">
        <v>2345</v>
      </c>
      <c r="Y135" t="s">
        <v>257</v>
      </c>
      <c r="AJ135" s="41">
        <v>0</v>
      </c>
      <c r="AL135">
        <f t="shared" si="8"/>
        <v>0</v>
      </c>
      <c r="AM135">
        <f t="shared" si="9"/>
        <v>0</v>
      </c>
      <c r="AN135">
        <f t="shared" si="10"/>
        <v>0</v>
      </c>
    </row>
    <row r="136" spans="1:40" x14ac:dyDescent="0.2">
      <c r="A136">
        <v>11</v>
      </c>
      <c r="B136" t="s">
        <v>352</v>
      </c>
      <c r="C136" s="2">
        <v>0</v>
      </c>
      <c r="D136" s="2">
        <v>0</v>
      </c>
      <c r="E136" s="2">
        <v>0</v>
      </c>
      <c r="F136" s="8" t="s">
        <v>1191</v>
      </c>
      <c r="G136" t="s">
        <v>1186</v>
      </c>
      <c r="H136" s="2" t="s">
        <v>1191</v>
      </c>
      <c r="I136">
        <v>2</v>
      </c>
      <c r="J136" t="s">
        <v>319</v>
      </c>
      <c r="K136">
        <v>2019</v>
      </c>
      <c r="L136" t="s">
        <v>320</v>
      </c>
      <c r="M136" t="s">
        <v>321</v>
      </c>
      <c r="N136">
        <v>73</v>
      </c>
      <c r="O136">
        <v>71.5</v>
      </c>
      <c r="P136" t="s">
        <v>41</v>
      </c>
      <c r="Q136" t="s">
        <v>38</v>
      </c>
      <c r="R136" t="s">
        <v>39</v>
      </c>
      <c r="S136" s="4">
        <v>33.691839999999999</v>
      </c>
      <c r="T136" s="4">
        <v>-116.36391</v>
      </c>
      <c r="U136">
        <v>466</v>
      </c>
      <c r="V136" s="6">
        <f t="shared" si="7"/>
        <v>142.0368</v>
      </c>
      <c r="W136" t="s">
        <v>2346</v>
      </c>
      <c r="X136" t="s">
        <v>2345</v>
      </c>
      <c r="Y136" t="s">
        <v>353</v>
      </c>
      <c r="Z136" t="s">
        <v>354</v>
      </c>
      <c r="AA136" t="s">
        <v>355</v>
      </c>
      <c r="AJ136" s="41">
        <v>0</v>
      </c>
      <c r="AL136">
        <f t="shared" si="8"/>
        <v>0</v>
      </c>
      <c r="AM136">
        <f t="shared" si="9"/>
        <v>0</v>
      </c>
      <c r="AN136">
        <f t="shared" si="10"/>
        <v>0</v>
      </c>
    </row>
    <row r="137" spans="1:40" x14ac:dyDescent="0.2">
      <c r="A137">
        <v>11</v>
      </c>
      <c r="B137" t="s">
        <v>356</v>
      </c>
      <c r="C137" s="2">
        <v>0</v>
      </c>
      <c r="D137" s="2">
        <v>0</v>
      </c>
      <c r="E137" s="2">
        <v>0</v>
      </c>
      <c r="F137" t="s">
        <v>1186</v>
      </c>
      <c r="G137" t="s">
        <v>1186</v>
      </c>
      <c r="H137" s="2" t="s">
        <v>1191</v>
      </c>
      <c r="I137">
        <v>2</v>
      </c>
      <c r="J137" t="s">
        <v>319</v>
      </c>
      <c r="K137">
        <v>2019</v>
      </c>
      <c r="L137" t="s">
        <v>320</v>
      </c>
      <c r="M137" t="s">
        <v>321</v>
      </c>
      <c r="N137">
        <v>79</v>
      </c>
      <c r="O137">
        <v>59</v>
      </c>
      <c r="P137" t="s">
        <v>37</v>
      </c>
      <c r="Q137" t="s">
        <v>38</v>
      </c>
      <c r="R137" t="s">
        <v>39</v>
      </c>
      <c r="S137" s="4">
        <v>33.691839999999999</v>
      </c>
      <c r="T137" s="4">
        <v>-116.36391</v>
      </c>
      <c r="U137">
        <v>466</v>
      </c>
      <c r="V137" s="6">
        <f t="shared" si="7"/>
        <v>142.0368</v>
      </c>
      <c r="W137" t="s">
        <v>2346</v>
      </c>
      <c r="X137" t="s">
        <v>2345</v>
      </c>
      <c r="Y137" t="s">
        <v>357</v>
      </c>
      <c r="AA137" t="s">
        <v>358</v>
      </c>
      <c r="AJ137" s="41">
        <v>0</v>
      </c>
      <c r="AL137">
        <f t="shared" si="8"/>
        <v>0</v>
      </c>
      <c r="AM137">
        <f t="shared" si="9"/>
        <v>0</v>
      </c>
      <c r="AN137">
        <f t="shared" si="10"/>
        <v>0</v>
      </c>
    </row>
    <row r="138" spans="1:40" x14ac:dyDescent="0.2">
      <c r="A138">
        <v>11</v>
      </c>
      <c r="B138" t="s">
        <v>359</v>
      </c>
      <c r="C138" s="2">
        <v>0</v>
      </c>
      <c r="D138" s="2">
        <v>0</v>
      </c>
      <c r="E138" s="2">
        <v>0</v>
      </c>
      <c r="F138" s="3" t="s">
        <v>1191</v>
      </c>
      <c r="G138" t="s">
        <v>1186</v>
      </c>
      <c r="H138" s="2" t="s">
        <v>1191</v>
      </c>
      <c r="I138">
        <v>2</v>
      </c>
      <c r="J138" t="s">
        <v>319</v>
      </c>
      <c r="K138">
        <v>2019</v>
      </c>
      <c r="L138" t="s">
        <v>320</v>
      </c>
      <c r="M138" t="s">
        <v>321</v>
      </c>
      <c r="N138">
        <v>70.5</v>
      </c>
      <c r="O138">
        <v>44.5</v>
      </c>
      <c r="P138" t="s">
        <v>37</v>
      </c>
      <c r="Q138" t="s">
        <v>38</v>
      </c>
      <c r="R138" t="s">
        <v>39</v>
      </c>
      <c r="S138" s="4">
        <v>33.691549999999999</v>
      </c>
      <c r="T138" s="4">
        <v>-116.3635</v>
      </c>
      <c r="U138">
        <v>467</v>
      </c>
      <c r="V138" s="6">
        <f t="shared" si="7"/>
        <v>142.3416</v>
      </c>
      <c r="W138" t="s">
        <v>2346</v>
      </c>
      <c r="X138" t="s">
        <v>2345</v>
      </c>
      <c r="Y138" t="s">
        <v>360</v>
      </c>
      <c r="AA138" t="s">
        <v>361</v>
      </c>
      <c r="AJ138" s="41">
        <v>0</v>
      </c>
      <c r="AL138">
        <f t="shared" si="8"/>
        <v>0</v>
      </c>
      <c r="AM138">
        <f t="shared" si="9"/>
        <v>0</v>
      </c>
      <c r="AN138">
        <f t="shared" si="10"/>
        <v>0</v>
      </c>
    </row>
    <row r="139" spans="1:40" s="11" customFormat="1" x14ac:dyDescent="0.2">
      <c r="A139" s="11">
        <v>11</v>
      </c>
      <c r="B139" s="11" t="s">
        <v>362</v>
      </c>
      <c r="F139" s="11" t="s">
        <v>1191</v>
      </c>
      <c r="G139" s="11" t="s">
        <v>1186</v>
      </c>
      <c r="H139" s="11" t="s">
        <v>1191</v>
      </c>
      <c r="I139" s="11">
        <v>2</v>
      </c>
      <c r="J139" s="11" t="s">
        <v>319</v>
      </c>
      <c r="K139" s="11">
        <v>2019</v>
      </c>
      <c r="L139" s="11" t="s">
        <v>320</v>
      </c>
      <c r="M139" s="11" t="s">
        <v>321</v>
      </c>
      <c r="R139" s="11" t="s">
        <v>39</v>
      </c>
      <c r="S139" s="23">
        <v>33.691549999999999</v>
      </c>
      <c r="T139" s="23">
        <v>-116.3635</v>
      </c>
      <c r="U139" s="11">
        <v>467</v>
      </c>
      <c r="V139" s="24">
        <f t="shared" si="7"/>
        <v>142.3416</v>
      </c>
      <c r="W139" s="11" t="s">
        <v>2346</v>
      </c>
      <c r="X139" s="11" t="s">
        <v>2345</v>
      </c>
      <c r="Y139" s="11" t="s">
        <v>363</v>
      </c>
      <c r="Z139" s="11" t="s">
        <v>364</v>
      </c>
      <c r="AJ139" s="41">
        <v>0</v>
      </c>
      <c r="AL139">
        <f t="shared" si="8"/>
        <v>0</v>
      </c>
      <c r="AM139">
        <f t="shared" si="9"/>
        <v>0</v>
      </c>
      <c r="AN139">
        <f t="shared" si="10"/>
        <v>0</v>
      </c>
    </row>
    <row r="140" spans="1:40" x14ac:dyDescent="0.2">
      <c r="A140">
        <v>11</v>
      </c>
      <c r="B140" t="s">
        <v>365</v>
      </c>
      <c r="C140" s="2">
        <v>0</v>
      </c>
      <c r="D140" s="2">
        <v>0</v>
      </c>
      <c r="E140" s="2">
        <v>0</v>
      </c>
      <c r="F140" t="s">
        <v>1186</v>
      </c>
      <c r="G140" t="s">
        <v>1186</v>
      </c>
      <c r="H140" s="2" t="s">
        <v>1191</v>
      </c>
      <c r="I140">
        <v>2</v>
      </c>
      <c r="J140" t="s">
        <v>319</v>
      </c>
      <c r="K140">
        <v>2019</v>
      </c>
      <c r="L140" t="s">
        <v>302</v>
      </c>
      <c r="M140" t="s">
        <v>321</v>
      </c>
      <c r="N140">
        <v>31</v>
      </c>
      <c r="O140">
        <v>3.5</v>
      </c>
      <c r="P140" t="s">
        <v>37</v>
      </c>
      <c r="R140" t="s">
        <v>89</v>
      </c>
      <c r="S140" s="4">
        <v>33.691499999999998</v>
      </c>
      <c r="T140" s="4">
        <v>-116.37093</v>
      </c>
      <c r="U140">
        <v>437</v>
      </c>
      <c r="V140" s="6">
        <f t="shared" si="7"/>
        <v>133.19759999999999</v>
      </c>
      <c r="W140" t="s">
        <v>366</v>
      </c>
      <c r="X140" t="s">
        <v>366</v>
      </c>
      <c r="Y140" t="s">
        <v>307</v>
      </c>
      <c r="AJ140" s="41">
        <v>0</v>
      </c>
      <c r="AL140">
        <f t="shared" si="8"/>
        <v>0</v>
      </c>
      <c r="AM140">
        <f t="shared" si="9"/>
        <v>0</v>
      </c>
      <c r="AN140">
        <f t="shared" si="10"/>
        <v>0</v>
      </c>
    </row>
    <row r="141" spans="1:40" s="2" customFormat="1" x14ac:dyDescent="0.2">
      <c r="A141" s="2">
        <v>12</v>
      </c>
      <c r="B141" s="2" t="s">
        <v>367</v>
      </c>
      <c r="C141" s="2">
        <v>0</v>
      </c>
      <c r="D141" s="2">
        <v>0</v>
      </c>
      <c r="E141" s="2">
        <v>0</v>
      </c>
      <c r="F141" t="s">
        <v>1186</v>
      </c>
      <c r="G141" t="s">
        <v>1186</v>
      </c>
      <c r="H141" s="2" t="s">
        <v>1191</v>
      </c>
      <c r="I141" s="2">
        <v>3</v>
      </c>
      <c r="J141" s="2" t="s">
        <v>319</v>
      </c>
      <c r="K141" s="2">
        <v>2019</v>
      </c>
      <c r="L141" s="2" t="s">
        <v>302</v>
      </c>
      <c r="M141" s="2" t="s">
        <v>303</v>
      </c>
      <c r="N141" s="2">
        <v>18</v>
      </c>
      <c r="O141" s="2">
        <v>1</v>
      </c>
      <c r="P141" s="2" t="s">
        <v>37</v>
      </c>
      <c r="R141" s="2" t="s">
        <v>89</v>
      </c>
      <c r="S141" s="5">
        <v>33.635330000000003</v>
      </c>
      <c r="T141" s="5">
        <v>-116.39176999999999</v>
      </c>
      <c r="U141" s="2">
        <v>1245</v>
      </c>
      <c r="V141" s="6">
        <f t="shared" si="7"/>
        <v>379.476</v>
      </c>
      <c r="W141" s="2" t="s">
        <v>898</v>
      </c>
      <c r="X141" s="2" t="s">
        <v>2347</v>
      </c>
      <c r="Y141" s="2" t="s">
        <v>368</v>
      </c>
      <c r="Z141" s="2" t="s">
        <v>369</v>
      </c>
      <c r="AA141" s="2" t="s">
        <v>464</v>
      </c>
      <c r="AJ141" s="41">
        <v>0</v>
      </c>
      <c r="AL141">
        <f t="shared" si="8"/>
        <v>0</v>
      </c>
      <c r="AM141">
        <f t="shared" si="9"/>
        <v>0</v>
      </c>
      <c r="AN141">
        <f t="shared" si="10"/>
        <v>0</v>
      </c>
    </row>
    <row r="142" spans="1:40" s="2" customFormat="1" x14ac:dyDescent="0.2">
      <c r="A142" s="11">
        <v>12</v>
      </c>
      <c r="B142" s="11" t="s">
        <v>370</v>
      </c>
      <c r="C142" s="11"/>
      <c r="D142" s="11"/>
      <c r="E142" s="11"/>
      <c r="F142" s="11" t="s">
        <v>1186</v>
      </c>
      <c r="G142" s="9" t="s">
        <v>1186</v>
      </c>
      <c r="H142" s="11" t="s">
        <v>1191</v>
      </c>
      <c r="I142" s="11">
        <v>3</v>
      </c>
      <c r="J142" s="11" t="s">
        <v>319</v>
      </c>
      <c r="K142" s="11">
        <v>2019</v>
      </c>
      <c r="L142" s="11" t="s">
        <v>28</v>
      </c>
      <c r="M142" s="11" t="s">
        <v>303</v>
      </c>
      <c r="N142" s="11">
        <v>17</v>
      </c>
      <c r="O142" s="11">
        <v>4.5</v>
      </c>
      <c r="P142" s="11" t="s">
        <v>37</v>
      </c>
      <c r="Q142" s="11"/>
      <c r="R142" s="11" t="s">
        <v>89</v>
      </c>
      <c r="S142" s="23">
        <v>33.635330000000003</v>
      </c>
      <c r="T142" s="23">
        <v>-116.39176999999999</v>
      </c>
      <c r="U142" s="11">
        <v>1245</v>
      </c>
      <c r="V142" s="24">
        <f t="shared" si="7"/>
        <v>379.476</v>
      </c>
      <c r="W142" s="11" t="s">
        <v>898</v>
      </c>
      <c r="X142" s="11" t="s">
        <v>2347</v>
      </c>
      <c r="Y142" s="11" t="s">
        <v>371</v>
      </c>
      <c r="Z142" s="11"/>
      <c r="AA142" s="11" t="s">
        <v>465</v>
      </c>
      <c r="AJ142" s="41">
        <v>0</v>
      </c>
      <c r="AL142">
        <f t="shared" si="8"/>
        <v>0</v>
      </c>
      <c r="AM142">
        <f t="shared" si="9"/>
        <v>0</v>
      </c>
      <c r="AN142">
        <f t="shared" si="10"/>
        <v>0</v>
      </c>
    </row>
    <row r="143" spans="1:40" s="2" customFormat="1" x14ac:dyDescent="0.2">
      <c r="A143" s="2">
        <v>12</v>
      </c>
      <c r="B143" s="2" t="s">
        <v>372</v>
      </c>
      <c r="C143" s="2">
        <v>0</v>
      </c>
      <c r="D143" s="2">
        <v>0</v>
      </c>
      <c r="E143" s="2">
        <v>0</v>
      </c>
      <c r="F143" t="s">
        <v>1186</v>
      </c>
      <c r="G143" t="s">
        <v>1186</v>
      </c>
      <c r="H143" s="2" t="s">
        <v>1191</v>
      </c>
      <c r="I143" s="2">
        <v>3</v>
      </c>
      <c r="J143" s="2" t="s">
        <v>319</v>
      </c>
      <c r="K143" s="2">
        <v>2019</v>
      </c>
      <c r="L143" s="2" t="s">
        <v>28</v>
      </c>
      <c r="M143" s="2" t="s">
        <v>303</v>
      </c>
      <c r="N143" s="2">
        <v>21.5</v>
      </c>
      <c r="O143" s="2">
        <v>1</v>
      </c>
      <c r="P143" s="2" t="s">
        <v>37</v>
      </c>
      <c r="R143" s="2" t="s">
        <v>89</v>
      </c>
      <c r="S143" s="5">
        <v>33.635330000000003</v>
      </c>
      <c r="T143" s="5">
        <v>-116.39176999999999</v>
      </c>
      <c r="U143" s="2">
        <v>1245</v>
      </c>
      <c r="V143" s="6">
        <f t="shared" si="7"/>
        <v>379.476</v>
      </c>
      <c r="W143" s="2" t="s">
        <v>898</v>
      </c>
      <c r="X143" s="2" t="s">
        <v>2347</v>
      </c>
      <c r="Y143" s="2" t="s">
        <v>371</v>
      </c>
      <c r="AA143" s="2" t="s">
        <v>466</v>
      </c>
      <c r="AJ143" s="41">
        <v>0</v>
      </c>
      <c r="AL143">
        <f t="shared" si="8"/>
        <v>0</v>
      </c>
      <c r="AM143">
        <f t="shared" si="9"/>
        <v>0</v>
      </c>
      <c r="AN143">
        <f t="shared" si="10"/>
        <v>0</v>
      </c>
    </row>
    <row r="144" spans="1:40" s="2" customFormat="1" x14ac:dyDescent="0.2">
      <c r="A144" s="2">
        <v>12</v>
      </c>
      <c r="B144" s="2" t="s">
        <v>373</v>
      </c>
      <c r="C144" s="2">
        <v>0</v>
      </c>
      <c r="D144" s="2">
        <v>0</v>
      </c>
      <c r="E144" s="2">
        <v>0</v>
      </c>
      <c r="F144" t="s">
        <v>1186</v>
      </c>
      <c r="G144" t="s">
        <v>1186</v>
      </c>
      <c r="H144" s="2" t="s">
        <v>1191</v>
      </c>
      <c r="I144" s="2">
        <v>3</v>
      </c>
      <c r="J144" s="2" t="s">
        <v>319</v>
      </c>
      <c r="K144" s="2">
        <v>2019</v>
      </c>
      <c r="L144" s="2" t="s">
        <v>28</v>
      </c>
      <c r="M144" s="2" t="s">
        <v>303</v>
      </c>
      <c r="N144" s="2">
        <v>19</v>
      </c>
      <c r="O144" s="2">
        <v>0.5</v>
      </c>
      <c r="P144" s="2" t="s">
        <v>37</v>
      </c>
      <c r="R144" s="2" t="s">
        <v>89</v>
      </c>
      <c r="S144" s="5">
        <v>33.635330000000003</v>
      </c>
      <c r="T144" s="5">
        <v>-116.39176999999999</v>
      </c>
      <c r="U144" s="2">
        <v>1245</v>
      </c>
      <c r="V144" s="6">
        <f t="shared" si="7"/>
        <v>379.476</v>
      </c>
      <c r="W144" s="2" t="s">
        <v>898</v>
      </c>
      <c r="X144" s="2" t="s">
        <v>2347</v>
      </c>
      <c r="Y144" s="2" t="s">
        <v>374</v>
      </c>
      <c r="AA144" s="2" t="s">
        <v>467</v>
      </c>
      <c r="AJ144" s="41">
        <v>0</v>
      </c>
      <c r="AL144">
        <f t="shared" si="8"/>
        <v>0</v>
      </c>
      <c r="AM144">
        <f t="shared" si="9"/>
        <v>0</v>
      </c>
      <c r="AN144">
        <f t="shared" si="10"/>
        <v>0</v>
      </c>
    </row>
    <row r="145" spans="1:40" s="2" customFormat="1" x14ac:dyDescent="0.2">
      <c r="A145" s="2">
        <v>12</v>
      </c>
      <c r="B145" s="2" t="s">
        <v>375</v>
      </c>
      <c r="C145" s="2">
        <v>0</v>
      </c>
      <c r="D145" s="2">
        <v>0</v>
      </c>
      <c r="E145" s="2">
        <v>0</v>
      </c>
      <c r="F145" t="s">
        <v>1186</v>
      </c>
      <c r="G145" t="s">
        <v>1186</v>
      </c>
      <c r="H145" s="2" t="s">
        <v>1191</v>
      </c>
      <c r="I145" s="2">
        <v>3</v>
      </c>
      <c r="J145" s="2" t="s">
        <v>319</v>
      </c>
      <c r="K145" s="2">
        <v>2019</v>
      </c>
      <c r="L145" s="2" t="s">
        <v>28</v>
      </c>
      <c r="M145" s="2" t="s">
        <v>303</v>
      </c>
      <c r="N145" s="2">
        <v>20</v>
      </c>
      <c r="O145" s="2">
        <v>1</v>
      </c>
      <c r="P145" s="2" t="s">
        <v>37</v>
      </c>
      <c r="R145" s="2" t="s">
        <v>89</v>
      </c>
      <c r="S145" s="5">
        <v>33.635330000000003</v>
      </c>
      <c r="T145" s="5">
        <v>-116.39176999999999</v>
      </c>
      <c r="U145" s="2">
        <v>1245</v>
      </c>
      <c r="V145" s="6">
        <f t="shared" si="7"/>
        <v>379.476</v>
      </c>
      <c r="W145" s="2" t="s">
        <v>898</v>
      </c>
      <c r="X145" s="2" t="s">
        <v>2347</v>
      </c>
      <c r="Y145" s="2" t="s">
        <v>376</v>
      </c>
      <c r="AA145" s="2" t="s">
        <v>468</v>
      </c>
      <c r="AJ145" s="41">
        <v>0</v>
      </c>
      <c r="AL145">
        <f t="shared" si="8"/>
        <v>0</v>
      </c>
      <c r="AM145">
        <f t="shared" si="9"/>
        <v>0</v>
      </c>
      <c r="AN145">
        <f t="shared" si="10"/>
        <v>0</v>
      </c>
    </row>
    <row r="146" spans="1:40" s="2" customFormat="1" x14ac:dyDescent="0.2">
      <c r="A146" s="2">
        <v>12</v>
      </c>
      <c r="B146" s="2" t="s">
        <v>377</v>
      </c>
      <c r="C146" s="2">
        <v>0</v>
      </c>
      <c r="D146" s="2">
        <v>0</v>
      </c>
      <c r="E146" s="2">
        <v>0</v>
      </c>
      <c r="F146" t="s">
        <v>1186</v>
      </c>
      <c r="G146" t="s">
        <v>1186</v>
      </c>
      <c r="H146" s="2" t="s">
        <v>1191</v>
      </c>
      <c r="I146" s="2">
        <v>3</v>
      </c>
      <c r="J146" s="2" t="s">
        <v>319</v>
      </c>
      <c r="K146" s="2">
        <v>2019</v>
      </c>
      <c r="L146" s="2" t="s">
        <v>302</v>
      </c>
      <c r="M146" s="2" t="s">
        <v>303</v>
      </c>
      <c r="N146" s="2">
        <v>14</v>
      </c>
      <c r="O146" s="2">
        <v>0.5</v>
      </c>
      <c r="P146" s="2" t="s">
        <v>37</v>
      </c>
      <c r="R146" s="2" t="s">
        <v>89</v>
      </c>
      <c r="S146" s="5">
        <v>33.635330000000003</v>
      </c>
      <c r="T146" s="5">
        <v>-116.39176999999999</v>
      </c>
      <c r="U146" s="2">
        <v>1245</v>
      </c>
      <c r="V146" s="6">
        <f t="shared" si="7"/>
        <v>379.476</v>
      </c>
      <c r="W146" s="2" t="s">
        <v>898</v>
      </c>
      <c r="X146" s="2" t="s">
        <v>2347</v>
      </c>
      <c r="Y146" s="2" t="s">
        <v>378</v>
      </c>
      <c r="AA146" s="2" t="s">
        <v>469</v>
      </c>
      <c r="AJ146" s="41">
        <v>0</v>
      </c>
      <c r="AL146">
        <f t="shared" si="8"/>
        <v>0</v>
      </c>
      <c r="AM146">
        <f t="shared" si="9"/>
        <v>0</v>
      </c>
      <c r="AN146">
        <f t="shared" si="10"/>
        <v>0</v>
      </c>
    </row>
    <row r="147" spans="1:40" s="2" customFormat="1" x14ac:dyDescent="0.2">
      <c r="A147" s="2">
        <v>12</v>
      </c>
      <c r="B147" s="2" t="s">
        <v>379</v>
      </c>
      <c r="C147" s="2">
        <v>0</v>
      </c>
      <c r="D147" s="2">
        <v>0</v>
      </c>
      <c r="E147" s="2">
        <v>0</v>
      </c>
      <c r="F147" t="s">
        <v>1186</v>
      </c>
      <c r="G147" t="s">
        <v>1186</v>
      </c>
      <c r="H147" s="2" t="s">
        <v>1191</v>
      </c>
      <c r="I147" s="2">
        <v>3</v>
      </c>
      <c r="J147" s="2" t="s">
        <v>319</v>
      </c>
      <c r="K147" s="2">
        <v>2019</v>
      </c>
      <c r="L147" s="2" t="s">
        <v>302</v>
      </c>
      <c r="M147" s="2" t="s">
        <v>303</v>
      </c>
      <c r="N147" s="2">
        <v>14</v>
      </c>
      <c r="O147" s="2">
        <v>1</v>
      </c>
      <c r="P147" s="2" t="s">
        <v>37</v>
      </c>
      <c r="R147" s="2" t="s">
        <v>89</v>
      </c>
      <c r="S147" s="5">
        <v>33.635330000000003</v>
      </c>
      <c r="T147" s="5">
        <v>-116.39176999999999</v>
      </c>
      <c r="U147" s="2">
        <v>1245</v>
      </c>
      <c r="V147" s="6">
        <f t="shared" si="7"/>
        <v>379.476</v>
      </c>
      <c r="W147" s="2" t="s">
        <v>898</v>
      </c>
      <c r="X147" s="2" t="s">
        <v>2347</v>
      </c>
      <c r="Y147" s="2" t="s">
        <v>380</v>
      </c>
      <c r="AA147" s="2" t="s">
        <v>470</v>
      </c>
      <c r="AJ147" s="41">
        <v>0</v>
      </c>
      <c r="AL147">
        <f t="shared" si="8"/>
        <v>0</v>
      </c>
      <c r="AM147">
        <f t="shared" si="9"/>
        <v>0</v>
      </c>
      <c r="AN147">
        <f t="shared" si="10"/>
        <v>0</v>
      </c>
    </row>
    <row r="148" spans="1:40" s="2" customFormat="1" x14ac:dyDescent="0.2">
      <c r="A148" s="2">
        <v>12</v>
      </c>
      <c r="B148" s="2" t="s">
        <v>381</v>
      </c>
      <c r="C148" s="2">
        <v>0</v>
      </c>
      <c r="D148" s="2">
        <v>0</v>
      </c>
      <c r="E148" s="2">
        <v>0</v>
      </c>
      <c r="F148" t="s">
        <v>1186</v>
      </c>
      <c r="G148" t="s">
        <v>1186</v>
      </c>
      <c r="H148" s="2" t="s">
        <v>1191</v>
      </c>
      <c r="I148" s="2">
        <v>3</v>
      </c>
      <c r="J148" s="2" t="s">
        <v>319</v>
      </c>
      <c r="K148" s="2">
        <v>2019</v>
      </c>
      <c r="L148" s="2" t="s">
        <v>28</v>
      </c>
      <c r="M148" s="2" t="s">
        <v>303</v>
      </c>
      <c r="N148" s="2">
        <v>15</v>
      </c>
      <c r="O148" s="2">
        <v>1</v>
      </c>
      <c r="P148" s="2" t="s">
        <v>37</v>
      </c>
      <c r="R148" s="2" t="s">
        <v>89</v>
      </c>
      <c r="S148" s="5">
        <v>33.635330000000003</v>
      </c>
      <c r="T148" s="5">
        <v>-116.39176999999999</v>
      </c>
      <c r="U148" s="2">
        <v>1245</v>
      </c>
      <c r="V148" s="6">
        <f t="shared" si="7"/>
        <v>379.476</v>
      </c>
      <c r="W148" s="2" t="s">
        <v>898</v>
      </c>
      <c r="X148" s="2" t="s">
        <v>2347</v>
      </c>
      <c r="Y148" s="2" t="s">
        <v>382</v>
      </c>
      <c r="AA148" s="2" t="s">
        <v>471</v>
      </c>
      <c r="AJ148" s="41">
        <v>0</v>
      </c>
      <c r="AL148">
        <f t="shared" si="8"/>
        <v>0</v>
      </c>
      <c r="AM148">
        <f t="shared" si="9"/>
        <v>0</v>
      </c>
      <c r="AN148">
        <f t="shared" si="10"/>
        <v>0</v>
      </c>
    </row>
    <row r="149" spans="1:40" s="2" customFormat="1" x14ac:dyDescent="0.2">
      <c r="A149" s="2">
        <v>12</v>
      </c>
      <c r="B149" s="2" t="s">
        <v>383</v>
      </c>
      <c r="C149" s="2">
        <v>0</v>
      </c>
      <c r="D149" s="2">
        <v>0</v>
      </c>
      <c r="E149" s="2">
        <v>0</v>
      </c>
      <c r="F149" t="s">
        <v>1186</v>
      </c>
      <c r="G149" t="s">
        <v>1186</v>
      </c>
      <c r="H149" s="2" t="s">
        <v>1191</v>
      </c>
      <c r="I149" s="2">
        <v>3</v>
      </c>
      <c r="J149" s="2" t="s">
        <v>319</v>
      </c>
      <c r="K149" s="2">
        <v>2019</v>
      </c>
      <c r="L149" s="2" t="s">
        <v>302</v>
      </c>
      <c r="M149" s="2" t="s">
        <v>303</v>
      </c>
      <c r="N149" s="2">
        <v>16</v>
      </c>
      <c r="O149" s="2">
        <v>1.5</v>
      </c>
      <c r="P149" s="2" t="s">
        <v>37</v>
      </c>
      <c r="R149" s="2" t="s">
        <v>89</v>
      </c>
      <c r="S149" s="5">
        <v>33.635330000000003</v>
      </c>
      <c r="T149" s="5">
        <v>-116.39176999999999</v>
      </c>
      <c r="U149" s="2">
        <v>1245</v>
      </c>
      <c r="V149" s="6">
        <f t="shared" si="7"/>
        <v>379.476</v>
      </c>
      <c r="W149" s="2" t="s">
        <v>898</v>
      </c>
      <c r="X149" s="2" t="s">
        <v>2347</v>
      </c>
      <c r="Y149" s="2" t="s">
        <v>384</v>
      </c>
      <c r="AA149" s="2" t="s">
        <v>472</v>
      </c>
      <c r="AJ149" s="41">
        <v>0</v>
      </c>
      <c r="AL149">
        <f t="shared" si="8"/>
        <v>0</v>
      </c>
      <c r="AM149">
        <f t="shared" si="9"/>
        <v>0</v>
      </c>
      <c r="AN149">
        <f t="shared" si="10"/>
        <v>0</v>
      </c>
    </row>
    <row r="150" spans="1:40" s="2" customFormat="1" x14ac:dyDescent="0.2">
      <c r="A150" s="2">
        <v>12</v>
      </c>
      <c r="B150" s="2" t="s">
        <v>385</v>
      </c>
      <c r="C150" s="2">
        <v>0</v>
      </c>
      <c r="D150" s="2">
        <v>0</v>
      </c>
      <c r="E150" s="2">
        <v>0</v>
      </c>
      <c r="F150" t="s">
        <v>1186</v>
      </c>
      <c r="G150" t="s">
        <v>1186</v>
      </c>
      <c r="H150" s="2" t="s">
        <v>1191</v>
      </c>
      <c r="I150" s="2">
        <v>3</v>
      </c>
      <c r="J150" s="2" t="s">
        <v>319</v>
      </c>
      <c r="K150" s="2">
        <v>2019</v>
      </c>
      <c r="L150" s="2" t="s">
        <v>302</v>
      </c>
      <c r="M150" s="2" t="s">
        <v>303</v>
      </c>
      <c r="N150" s="2">
        <v>16</v>
      </c>
      <c r="O150" s="2">
        <v>1</v>
      </c>
      <c r="P150" s="2" t="s">
        <v>37</v>
      </c>
      <c r="R150" s="2" t="s">
        <v>89</v>
      </c>
      <c r="S150" s="5">
        <v>33.635330000000003</v>
      </c>
      <c r="T150" s="5">
        <v>-116.39176999999999</v>
      </c>
      <c r="U150" s="2">
        <v>1245</v>
      </c>
      <c r="V150" s="6">
        <f t="shared" si="7"/>
        <v>379.476</v>
      </c>
      <c r="W150" s="2" t="s">
        <v>898</v>
      </c>
      <c r="X150" s="2" t="s">
        <v>2347</v>
      </c>
      <c r="Y150" s="2" t="s">
        <v>386</v>
      </c>
      <c r="AA150" s="2" t="s">
        <v>473</v>
      </c>
      <c r="AJ150" s="41">
        <v>0</v>
      </c>
      <c r="AL150">
        <f t="shared" si="8"/>
        <v>0</v>
      </c>
      <c r="AM150">
        <f t="shared" si="9"/>
        <v>0</v>
      </c>
      <c r="AN150">
        <f t="shared" si="10"/>
        <v>0</v>
      </c>
    </row>
    <row r="151" spans="1:40" s="2" customFormat="1" x14ac:dyDescent="0.2">
      <c r="A151" s="2">
        <v>12</v>
      </c>
      <c r="B151" s="2" t="s">
        <v>387</v>
      </c>
      <c r="C151" s="2">
        <v>0</v>
      </c>
      <c r="D151" s="2">
        <v>0</v>
      </c>
      <c r="E151" s="2">
        <v>0</v>
      </c>
      <c r="F151" t="s">
        <v>1186</v>
      </c>
      <c r="G151" t="s">
        <v>1186</v>
      </c>
      <c r="H151" s="2" t="s">
        <v>1191</v>
      </c>
      <c r="I151" s="2">
        <v>3</v>
      </c>
      <c r="J151" s="2" t="s">
        <v>319</v>
      </c>
      <c r="K151" s="2">
        <v>2019</v>
      </c>
      <c r="L151" s="2" t="s">
        <v>28</v>
      </c>
      <c r="M151" s="2" t="s">
        <v>303</v>
      </c>
      <c r="N151" s="2">
        <v>20</v>
      </c>
      <c r="O151" s="2">
        <v>0.5</v>
      </c>
      <c r="P151" s="2" t="s">
        <v>37</v>
      </c>
      <c r="R151" s="2" t="s">
        <v>89</v>
      </c>
      <c r="S151" s="5">
        <v>33.635330000000003</v>
      </c>
      <c r="T151" s="5">
        <v>-116.39176999999999</v>
      </c>
      <c r="U151" s="2">
        <v>1245</v>
      </c>
      <c r="V151" s="6">
        <f t="shared" si="7"/>
        <v>379.476</v>
      </c>
      <c r="W151" s="2" t="s">
        <v>898</v>
      </c>
      <c r="X151" s="2" t="s">
        <v>2347</v>
      </c>
      <c r="Y151" s="2" t="s">
        <v>388</v>
      </c>
      <c r="AA151" s="2" t="s">
        <v>474</v>
      </c>
      <c r="AJ151" s="41">
        <v>0</v>
      </c>
      <c r="AL151">
        <f t="shared" si="8"/>
        <v>0</v>
      </c>
      <c r="AM151">
        <f t="shared" si="9"/>
        <v>0</v>
      </c>
      <c r="AN151">
        <f t="shared" si="10"/>
        <v>0</v>
      </c>
    </row>
    <row r="152" spans="1:40" s="2" customFormat="1" x14ac:dyDescent="0.2">
      <c r="A152" s="2">
        <v>12</v>
      </c>
      <c r="B152" s="2" t="s">
        <v>389</v>
      </c>
      <c r="C152" s="2">
        <v>0</v>
      </c>
      <c r="D152" s="2">
        <v>0</v>
      </c>
      <c r="E152" s="2">
        <v>0</v>
      </c>
      <c r="F152" s="2" t="s">
        <v>1186</v>
      </c>
      <c r="G152" t="s">
        <v>1186</v>
      </c>
      <c r="H152" s="2" t="s">
        <v>1191</v>
      </c>
      <c r="I152" s="2">
        <v>3</v>
      </c>
      <c r="J152" s="2" t="s">
        <v>319</v>
      </c>
      <c r="K152" s="2">
        <v>2019</v>
      </c>
      <c r="L152" s="2" t="s">
        <v>302</v>
      </c>
      <c r="M152" s="2" t="s">
        <v>303</v>
      </c>
      <c r="N152" s="2">
        <v>13.5</v>
      </c>
      <c r="O152" s="2">
        <v>0.5</v>
      </c>
      <c r="P152" s="2" t="s">
        <v>37</v>
      </c>
      <c r="R152" s="2" t="s">
        <v>89</v>
      </c>
      <c r="S152" s="5">
        <v>33.635330000000003</v>
      </c>
      <c r="T152" s="5">
        <v>-116.39176999999999</v>
      </c>
      <c r="U152" s="2">
        <v>1245</v>
      </c>
      <c r="V152" s="6">
        <f t="shared" si="7"/>
        <v>379.476</v>
      </c>
      <c r="W152" s="2" t="s">
        <v>898</v>
      </c>
      <c r="X152" s="2" t="s">
        <v>2347</v>
      </c>
      <c r="Y152" s="2" t="s">
        <v>390</v>
      </c>
      <c r="AA152" s="2" t="s">
        <v>475</v>
      </c>
      <c r="AJ152" s="41">
        <v>0</v>
      </c>
      <c r="AL152">
        <f t="shared" si="8"/>
        <v>0</v>
      </c>
      <c r="AM152">
        <f t="shared" si="9"/>
        <v>0</v>
      </c>
      <c r="AN152">
        <f t="shared" si="10"/>
        <v>0</v>
      </c>
    </row>
    <row r="153" spans="1:40" s="2" customFormat="1" x14ac:dyDescent="0.2">
      <c r="A153" s="2">
        <v>12</v>
      </c>
      <c r="B153" s="2" t="s">
        <v>391</v>
      </c>
      <c r="C153" s="2">
        <v>0</v>
      </c>
      <c r="D153" s="2">
        <v>0</v>
      </c>
      <c r="E153" s="2">
        <v>0</v>
      </c>
      <c r="F153" s="2" t="s">
        <v>1186</v>
      </c>
      <c r="G153" t="s">
        <v>1186</v>
      </c>
      <c r="H153" s="2" t="s">
        <v>1191</v>
      </c>
      <c r="I153" s="2">
        <v>3</v>
      </c>
      <c r="J153" s="2" t="s">
        <v>319</v>
      </c>
      <c r="K153" s="2">
        <v>2019</v>
      </c>
      <c r="L153" s="2" t="s">
        <v>302</v>
      </c>
      <c r="M153" s="2" t="s">
        <v>303</v>
      </c>
      <c r="N153" s="2">
        <v>11</v>
      </c>
      <c r="O153" s="2">
        <v>0.5</v>
      </c>
      <c r="P153" s="2" t="s">
        <v>37</v>
      </c>
      <c r="R153" s="2" t="s">
        <v>89</v>
      </c>
      <c r="S153" s="5">
        <v>33.635330000000003</v>
      </c>
      <c r="T153" s="5">
        <v>-116.39176999999999</v>
      </c>
      <c r="U153" s="2">
        <v>1245</v>
      </c>
      <c r="V153" s="6">
        <f t="shared" si="7"/>
        <v>379.476</v>
      </c>
      <c r="W153" s="2" t="s">
        <v>898</v>
      </c>
      <c r="X153" s="2" t="s">
        <v>2347</v>
      </c>
      <c r="Y153" s="2" t="s">
        <v>392</v>
      </c>
      <c r="AA153" s="2" t="s">
        <v>476</v>
      </c>
      <c r="AJ153" s="41">
        <v>0</v>
      </c>
      <c r="AL153">
        <f t="shared" si="8"/>
        <v>0</v>
      </c>
      <c r="AM153">
        <f t="shared" si="9"/>
        <v>0</v>
      </c>
      <c r="AN153">
        <f t="shared" si="10"/>
        <v>0</v>
      </c>
    </row>
    <row r="154" spans="1:40" x14ac:dyDescent="0.2">
      <c r="A154">
        <v>12</v>
      </c>
      <c r="B154" t="s">
        <v>393</v>
      </c>
      <c r="C154" s="2">
        <v>0</v>
      </c>
      <c r="D154" s="2">
        <v>0</v>
      </c>
      <c r="E154" s="2">
        <v>0</v>
      </c>
      <c r="F154" s="2" t="s">
        <v>1186</v>
      </c>
      <c r="G154" t="s">
        <v>1186</v>
      </c>
      <c r="H154" s="2" t="s">
        <v>1191</v>
      </c>
      <c r="I154">
        <v>3</v>
      </c>
      <c r="J154" t="s">
        <v>319</v>
      </c>
      <c r="K154">
        <v>2019</v>
      </c>
      <c r="L154" s="2" t="s">
        <v>28</v>
      </c>
      <c r="M154" t="s">
        <v>303</v>
      </c>
      <c r="N154">
        <v>20</v>
      </c>
      <c r="O154">
        <v>1.5</v>
      </c>
      <c r="P154" t="s">
        <v>37</v>
      </c>
      <c r="R154" t="s">
        <v>89</v>
      </c>
      <c r="S154" s="5">
        <v>33.635330000000003</v>
      </c>
      <c r="T154" s="5">
        <v>-116.39176999999999</v>
      </c>
      <c r="U154" s="2">
        <v>1245</v>
      </c>
      <c r="V154" s="6">
        <f t="shared" si="7"/>
        <v>379.476</v>
      </c>
      <c r="W154" s="2" t="s">
        <v>898</v>
      </c>
      <c r="X154" s="2" t="s">
        <v>2347</v>
      </c>
      <c r="Y154" t="s">
        <v>394</v>
      </c>
      <c r="AA154" t="s">
        <v>477</v>
      </c>
      <c r="AJ154" s="41">
        <v>0</v>
      </c>
      <c r="AL154">
        <f t="shared" si="8"/>
        <v>0</v>
      </c>
      <c r="AM154">
        <f t="shared" si="9"/>
        <v>0</v>
      </c>
      <c r="AN154">
        <f t="shared" si="10"/>
        <v>0</v>
      </c>
    </row>
    <row r="155" spans="1:40" x14ac:dyDescent="0.2">
      <c r="A155">
        <v>12</v>
      </c>
      <c r="B155" t="s">
        <v>395</v>
      </c>
      <c r="C155" s="2">
        <v>0</v>
      </c>
      <c r="D155" s="2">
        <v>0</v>
      </c>
      <c r="E155" s="2">
        <v>0</v>
      </c>
      <c r="F155" s="2" t="s">
        <v>1186</v>
      </c>
      <c r="G155" t="s">
        <v>1186</v>
      </c>
      <c r="H155" s="2" t="s">
        <v>1191</v>
      </c>
      <c r="I155">
        <v>3</v>
      </c>
      <c r="J155" t="s">
        <v>319</v>
      </c>
      <c r="K155">
        <v>2019</v>
      </c>
      <c r="L155" s="2" t="s">
        <v>28</v>
      </c>
      <c r="M155" t="s">
        <v>303</v>
      </c>
      <c r="N155">
        <v>19</v>
      </c>
      <c r="P155" t="s">
        <v>37</v>
      </c>
      <c r="R155" t="s">
        <v>89</v>
      </c>
      <c r="S155" s="5">
        <v>33.635330000000003</v>
      </c>
      <c r="T155" s="5">
        <v>-116.39176999999999</v>
      </c>
      <c r="U155" s="2">
        <v>1245</v>
      </c>
      <c r="V155" s="6">
        <f t="shared" si="7"/>
        <v>379.476</v>
      </c>
      <c r="W155" s="2" t="s">
        <v>898</v>
      </c>
      <c r="X155" s="2" t="s">
        <v>2347</v>
      </c>
      <c r="Y155" t="s">
        <v>396</v>
      </c>
      <c r="AA155" t="s">
        <v>478</v>
      </c>
      <c r="AJ155" s="41">
        <v>0</v>
      </c>
      <c r="AL155">
        <f t="shared" si="8"/>
        <v>0</v>
      </c>
      <c r="AM155">
        <f t="shared" si="9"/>
        <v>0</v>
      </c>
      <c r="AN155">
        <f t="shared" si="10"/>
        <v>0</v>
      </c>
    </row>
    <row r="156" spans="1:40" s="11" customFormat="1" x14ac:dyDescent="0.2">
      <c r="A156" s="11">
        <v>12</v>
      </c>
      <c r="B156" s="11" t="s">
        <v>397</v>
      </c>
      <c r="F156" s="11" t="s">
        <v>1186</v>
      </c>
      <c r="G156" s="11" t="s">
        <v>1186</v>
      </c>
      <c r="H156" s="11" t="s">
        <v>1191</v>
      </c>
      <c r="I156" s="11">
        <v>3</v>
      </c>
      <c r="J156" s="11" t="s">
        <v>319</v>
      </c>
      <c r="K156" s="11">
        <v>2019</v>
      </c>
      <c r="L156" s="11" t="s">
        <v>28</v>
      </c>
      <c r="M156" s="11" t="s">
        <v>303</v>
      </c>
      <c r="N156" s="11">
        <v>19.5</v>
      </c>
      <c r="O156" s="11">
        <v>2</v>
      </c>
      <c r="P156" s="11" t="s">
        <v>37</v>
      </c>
      <c r="R156" s="11" t="s">
        <v>89</v>
      </c>
      <c r="S156" s="23">
        <v>33.63335</v>
      </c>
      <c r="T156" s="23">
        <v>-116.39182</v>
      </c>
      <c r="U156" s="11">
        <v>1312</v>
      </c>
      <c r="V156" s="24">
        <f t="shared" si="7"/>
        <v>399.89760000000001</v>
      </c>
      <c r="W156" s="11" t="s">
        <v>898</v>
      </c>
      <c r="X156" s="11" t="s">
        <v>2348</v>
      </c>
      <c r="Y156" s="11" t="s">
        <v>398</v>
      </c>
      <c r="Z156" s="11" t="s">
        <v>1905</v>
      </c>
      <c r="AA156" s="11" t="s">
        <v>479</v>
      </c>
      <c r="AJ156" s="41">
        <v>0</v>
      </c>
      <c r="AL156">
        <f t="shared" si="8"/>
        <v>0</v>
      </c>
      <c r="AM156">
        <f t="shared" si="9"/>
        <v>0</v>
      </c>
      <c r="AN156">
        <f t="shared" si="10"/>
        <v>0</v>
      </c>
    </row>
    <row r="157" spans="1:40" x14ac:dyDescent="0.2">
      <c r="A157">
        <v>12</v>
      </c>
      <c r="B157" t="s">
        <v>400</v>
      </c>
      <c r="C157" s="2">
        <v>0</v>
      </c>
      <c r="D157" s="2">
        <v>0</v>
      </c>
      <c r="E157" s="2">
        <v>0</v>
      </c>
      <c r="F157" s="2" t="s">
        <v>1186</v>
      </c>
      <c r="G157" t="s">
        <v>1186</v>
      </c>
      <c r="H157" s="2" t="s">
        <v>1191</v>
      </c>
      <c r="I157">
        <v>3</v>
      </c>
      <c r="J157" t="s">
        <v>319</v>
      </c>
      <c r="K157">
        <v>2019</v>
      </c>
      <c r="L157" s="2" t="s">
        <v>28</v>
      </c>
      <c r="M157" t="s">
        <v>303</v>
      </c>
      <c r="N157">
        <v>19</v>
      </c>
      <c r="P157" t="s">
        <v>37</v>
      </c>
      <c r="R157" t="s">
        <v>89</v>
      </c>
      <c r="S157" s="4">
        <v>33.63335</v>
      </c>
      <c r="T157" s="4">
        <v>-116.39182</v>
      </c>
      <c r="U157" s="2">
        <v>1312</v>
      </c>
      <c r="V157" s="6">
        <f t="shared" si="7"/>
        <v>399.89760000000001</v>
      </c>
      <c r="W157" s="2" t="s">
        <v>898</v>
      </c>
      <c r="X157" s="2" t="s">
        <v>2348</v>
      </c>
      <c r="Y157" t="s">
        <v>401</v>
      </c>
      <c r="AJ157" s="41">
        <v>0</v>
      </c>
      <c r="AL157">
        <f t="shared" si="8"/>
        <v>0</v>
      </c>
      <c r="AM157">
        <f t="shared" si="9"/>
        <v>0</v>
      </c>
      <c r="AN157">
        <f t="shared" si="10"/>
        <v>0</v>
      </c>
    </row>
    <row r="158" spans="1:40" x14ac:dyDescent="0.2">
      <c r="A158" s="11">
        <v>12</v>
      </c>
      <c r="B158" s="11" t="s">
        <v>402</v>
      </c>
      <c r="C158" s="11"/>
      <c r="D158" s="11"/>
      <c r="E158" s="11"/>
      <c r="F158" s="8" t="s">
        <v>1191</v>
      </c>
      <c r="G158" s="9" t="s">
        <v>1191</v>
      </c>
      <c r="H158" s="11" t="s">
        <v>1191</v>
      </c>
      <c r="I158" s="11">
        <v>3</v>
      </c>
      <c r="J158" s="11" t="s">
        <v>319</v>
      </c>
      <c r="K158" s="11">
        <v>2019</v>
      </c>
      <c r="L158" s="11" t="s">
        <v>28</v>
      </c>
      <c r="M158" s="11" t="s">
        <v>303</v>
      </c>
      <c r="N158" s="11"/>
      <c r="O158" s="11"/>
      <c r="P158" s="11"/>
      <c r="Q158" s="11"/>
      <c r="R158" s="11" t="s">
        <v>89</v>
      </c>
      <c r="S158" s="23">
        <v>33.63335</v>
      </c>
      <c r="T158" s="23">
        <v>-116.39182</v>
      </c>
      <c r="U158" s="11">
        <v>1312</v>
      </c>
      <c r="V158" s="24">
        <f t="shared" si="7"/>
        <v>399.89760000000001</v>
      </c>
      <c r="W158" s="11" t="s">
        <v>898</v>
      </c>
      <c r="X158" s="11" t="s">
        <v>2348</v>
      </c>
      <c r="Y158" s="11" t="s">
        <v>403</v>
      </c>
      <c r="Z158" s="11" t="s">
        <v>404</v>
      </c>
      <c r="AA158" s="11"/>
      <c r="AJ158" s="41">
        <v>0</v>
      </c>
      <c r="AL158">
        <f t="shared" si="8"/>
        <v>0</v>
      </c>
      <c r="AM158">
        <f t="shared" si="9"/>
        <v>0</v>
      </c>
      <c r="AN158">
        <f t="shared" si="10"/>
        <v>0</v>
      </c>
    </row>
    <row r="159" spans="1:40" x14ac:dyDescent="0.2">
      <c r="A159">
        <v>12</v>
      </c>
      <c r="B159" t="s">
        <v>405</v>
      </c>
      <c r="C159" s="2">
        <v>0</v>
      </c>
      <c r="D159" s="2">
        <v>0</v>
      </c>
      <c r="E159" s="2">
        <v>0</v>
      </c>
      <c r="F159" t="s">
        <v>1186</v>
      </c>
      <c r="G159" t="s">
        <v>1186</v>
      </c>
      <c r="H159" s="2" t="s">
        <v>1191</v>
      </c>
      <c r="I159">
        <v>3</v>
      </c>
      <c r="J159" t="s">
        <v>319</v>
      </c>
      <c r="K159">
        <v>2019</v>
      </c>
      <c r="L159" s="2" t="s">
        <v>28</v>
      </c>
      <c r="M159" t="s">
        <v>303</v>
      </c>
      <c r="N159">
        <v>15</v>
      </c>
      <c r="O159">
        <v>0.5</v>
      </c>
      <c r="P159" t="s">
        <v>37</v>
      </c>
      <c r="R159" t="s">
        <v>89</v>
      </c>
      <c r="S159" s="4">
        <v>33.63335</v>
      </c>
      <c r="T159" s="4">
        <v>-116.39182</v>
      </c>
      <c r="U159" s="2">
        <v>1312</v>
      </c>
      <c r="V159" s="6">
        <f t="shared" si="7"/>
        <v>399.89760000000001</v>
      </c>
      <c r="W159" s="2" t="s">
        <v>898</v>
      </c>
      <c r="X159" s="2" t="s">
        <v>2348</v>
      </c>
      <c r="Y159" t="s">
        <v>401</v>
      </c>
      <c r="AA159" t="s">
        <v>481</v>
      </c>
      <c r="AJ159" s="41">
        <v>0</v>
      </c>
      <c r="AL159">
        <f t="shared" si="8"/>
        <v>0</v>
      </c>
      <c r="AM159">
        <f t="shared" si="9"/>
        <v>0</v>
      </c>
      <c r="AN159">
        <f t="shared" si="10"/>
        <v>0</v>
      </c>
    </row>
    <row r="160" spans="1:40" x14ac:dyDescent="0.2">
      <c r="A160">
        <v>12</v>
      </c>
      <c r="B160" t="s">
        <v>406</v>
      </c>
      <c r="C160" s="25">
        <v>0</v>
      </c>
      <c r="D160" s="2">
        <v>0</v>
      </c>
      <c r="E160" s="2">
        <v>0</v>
      </c>
      <c r="F160" t="s">
        <v>1186</v>
      </c>
      <c r="G160" t="s">
        <v>1186</v>
      </c>
      <c r="H160" s="2" t="s">
        <v>1191</v>
      </c>
      <c r="I160">
        <v>3</v>
      </c>
      <c r="J160" t="s">
        <v>319</v>
      </c>
      <c r="K160">
        <v>2019</v>
      </c>
      <c r="L160" s="2" t="s">
        <v>28</v>
      </c>
      <c r="M160" t="s">
        <v>303</v>
      </c>
      <c r="N160">
        <v>22</v>
      </c>
      <c r="O160">
        <v>1</v>
      </c>
      <c r="P160" t="s">
        <v>37</v>
      </c>
      <c r="R160" t="s">
        <v>89</v>
      </c>
      <c r="S160" s="4">
        <v>33.63335</v>
      </c>
      <c r="T160" s="4">
        <v>-116.39182</v>
      </c>
      <c r="U160" s="2">
        <v>1312</v>
      </c>
      <c r="V160" s="6">
        <f t="shared" si="7"/>
        <v>399.89760000000001</v>
      </c>
      <c r="W160" s="2" t="s">
        <v>898</v>
      </c>
      <c r="X160" s="2" t="s">
        <v>2348</v>
      </c>
      <c r="Y160" t="s">
        <v>407</v>
      </c>
      <c r="Z160" t="s">
        <v>399</v>
      </c>
      <c r="AA160" t="s">
        <v>480</v>
      </c>
      <c r="AJ160" s="41">
        <v>0</v>
      </c>
      <c r="AL160">
        <f t="shared" si="8"/>
        <v>0</v>
      </c>
      <c r="AM160">
        <f t="shared" si="9"/>
        <v>0</v>
      </c>
      <c r="AN160">
        <f t="shared" si="10"/>
        <v>0</v>
      </c>
    </row>
    <row r="161" spans="1:40" x14ac:dyDescent="0.2">
      <c r="A161">
        <v>12</v>
      </c>
      <c r="B161" t="s">
        <v>408</v>
      </c>
      <c r="C161" s="2">
        <v>0</v>
      </c>
      <c r="D161" s="2">
        <v>0</v>
      </c>
      <c r="E161" s="2">
        <v>0</v>
      </c>
      <c r="F161" t="s">
        <v>1186</v>
      </c>
      <c r="G161" t="s">
        <v>1186</v>
      </c>
      <c r="H161" s="2" t="s">
        <v>1191</v>
      </c>
      <c r="I161">
        <v>3</v>
      </c>
      <c r="J161" t="s">
        <v>319</v>
      </c>
      <c r="K161">
        <v>2019</v>
      </c>
      <c r="L161" s="2" t="s">
        <v>28</v>
      </c>
      <c r="M161" t="s">
        <v>303</v>
      </c>
      <c r="N161">
        <v>23.5</v>
      </c>
      <c r="O161">
        <v>1.5</v>
      </c>
      <c r="P161" t="s">
        <v>37</v>
      </c>
      <c r="R161" t="s">
        <v>89</v>
      </c>
      <c r="S161" s="4">
        <v>33.63335</v>
      </c>
      <c r="T161" s="4">
        <v>-116.39182</v>
      </c>
      <c r="U161" s="2">
        <v>1312</v>
      </c>
      <c r="V161" s="6">
        <f t="shared" si="7"/>
        <v>399.89760000000001</v>
      </c>
      <c r="W161" s="2" t="s">
        <v>898</v>
      </c>
      <c r="X161" s="2" t="s">
        <v>2348</v>
      </c>
      <c r="Y161" t="s">
        <v>409</v>
      </c>
      <c r="Z161" t="s">
        <v>399</v>
      </c>
      <c r="AA161" t="s">
        <v>482</v>
      </c>
      <c r="AJ161" s="41">
        <v>0</v>
      </c>
      <c r="AL161">
        <f t="shared" si="8"/>
        <v>0</v>
      </c>
      <c r="AM161">
        <f t="shared" si="9"/>
        <v>0</v>
      </c>
      <c r="AN161">
        <f t="shared" si="10"/>
        <v>0</v>
      </c>
    </row>
    <row r="162" spans="1:40" x14ac:dyDescent="0.2">
      <c r="A162" s="11">
        <v>12</v>
      </c>
      <c r="B162" s="11" t="s">
        <v>410</v>
      </c>
      <c r="C162" s="11"/>
      <c r="D162" s="11"/>
      <c r="E162" s="11"/>
      <c r="F162" s="8" t="s">
        <v>1191</v>
      </c>
      <c r="G162" s="9" t="s">
        <v>1191</v>
      </c>
      <c r="H162" s="11" t="s">
        <v>1191</v>
      </c>
      <c r="I162" s="11">
        <v>3</v>
      </c>
      <c r="J162" s="11" t="s">
        <v>319</v>
      </c>
      <c r="K162" s="11">
        <v>2019</v>
      </c>
      <c r="L162" s="11" t="s">
        <v>28</v>
      </c>
      <c r="M162" s="11" t="s">
        <v>303</v>
      </c>
      <c r="N162" s="11"/>
      <c r="O162" s="11"/>
      <c r="P162" s="11"/>
      <c r="Q162" s="11"/>
      <c r="R162" s="11"/>
      <c r="S162" s="23">
        <v>33.63335</v>
      </c>
      <c r="T162" s="23">
        <v>-116.39182</v>
      </c>
      <c r="U162" s="11">
        <v>1312</v>
      </c>
      <c r="V162" s="24">
        <f t="shared" si="7"/>
        <v>399.89760000000001</v>
      </c>
      <c r="W162" s="11" t="s">
        <v>898</v>
      </c>
      <c r="X162" s="11" t="s">
        <v>2348</v>
      </c>
      <c r="Y162" s="11" t="s">
        <v>407</v>
      </c>
      <c r="Z162" s="11" t="s">
        <v>404</v>
      </c>
      <c r="AA162" s="11"/>
      <c r="AJ162" s="41">
        <v>0</v>
      </c>
      <c r="AL162">
        <f t="shared" si="8"/>
        <v>0</v>
      </c>
      <c r="AM162">
        <f t="shared" si="9"/>
        <v>0</v>
      </c>
      <c r="AN162">
        <f t="shared" si="10"/>
        <v>0</v>
      </c>
    </row>
    <row r="163" spans="1:40" x14ac:dyDescent="0.2">
      <c r="A163">
        <v>12</v>
      </c>
      <c r="B163" t="s">
        <v>411</v>
      </c>
      <c r="C163" s="2">
        <v>0</v>
      </c>
      <c r="D163" s="2">
        <v>0</v>
      </c>
      <c r="E163" s="2">
        <v>0</v>
      </c>
      <c r="F163" t="s">
        <v>1186</v>
      </c>
      <c r="G163" t="s">
        <v>1186</v>
      </c>
      <c r="H163" s="2" t="s">
        <v>1191</v>
      </c>
      <c r="I163">
        <v>3</v>
      </c>
      <c r="J163" t="s">
        <v>319</v>
      </c>
      <c r="K163">
        <v>2019</v>
      </c>
      <c r="L163" s="2" t="s">
        <v>28</v>
      </c>
      <c r="M163" t="s">
        <v>303</v>
      </c>
      <c r="N163">
        <v>23.5</v>
      </c>
      <c r="O163">
        <v>1</v>
      </c>
      <c r="P163" t="s">
        <v>37</v>
      </c>
      <c r="R163" t="s">
        <v>89</v>
      </c>
      <c r="S163" s="4">
        <v>33.63335</v>
      </c>
      <c r="T163" s="4">
        <v>-116.39182</v>
      </c>
      <c r="U163" s="2">
        <v>1312</v>
      </c>
      <c r="V163" s="6">
        <f t="shared" si="7"/>
        <v>399.89760000000001</v>
      </c>
      <c r="W163" s="2" t="s">
        <v>898</v>
      </c>
      <c r="X163" s="2" t="s">
        <v>2348</v>
      </c>
      <c r="Y163" t="s">
        <v>412</v>
      </c>
      <c r="AA163" t="s">
        <v>483</v>
      </c>
      <c r="AJ163" s="41">
        <v>0</v>
      </c>
      <c r="AL163">
        <f t="shared" si="8"/>
        <v>0</v>
      </c>
      <c r="AM163">
        <f t="shared" si="9"/>
        <v>0</v>
      </c>
      <c r="AN163">
        <f t="shared" si="10"/>
        <v>0</v>
      </c>
    </row>
    <row r="164" spans="1:40" x14ac:dyDescent="0.2">
      <c r="A164">
        <v>12</v>
      </c>
      <c r="B164" t="s">
        <v>413</v>
      </c>
      <c r="C164" s="2">
        <v>0</v>
      </c>
      <c r="D164" s="2">
        <v>0</v>
      </c>
      <c r="E164" s="2">
        <v>0</v>
      </c>
      <c r="F164" t="s">
        <v>1186</v>
      </c>
      <c r="G164" t="s">
        <v>1186</v>
      </c>
      <c r="H164" s="2" t="s">
        <v>1191</v>
      </c>
      <c r="I164">
        <v>3</v>
      </c>
      <c r="J164" t="s">
        <v>319</v>
      </c>
      <c r="K164">
        <v>2019</v>
      </c>
      <c r="L164" s="2" t="s">
        <v>28</v>
      </c>
      <c r="M164" t="s">
        <v>303</v>
      </c>
      <c r="N164">
        <v>22.5</v>
      </c>
      <c r="O164">
        <v>1.5</v>
      </c>
      <c r="P164" t="s">
        <v>37</v>
      </c>
      <c r="R164" t="s">
        <v>89</v>
      </c>
      <c r="S164" s="4">
        <v>33.63335</v>
      </c>
      <c r="T164" s="4">
        <v>-116.39182</v>
      </c>
      <c r="U164" s="2">
        <v>1312</v>
      </c>
      <c r="V164" s="6">
        <f t="shared" si="7"/>
        <v>399.89760000000001</v>
      </c>
      <c r="W164" s="2" t="s">
        <v>898</v>
      </c>
      <c r="X164" s="2" t="s">
        <v>2348</v>
      </c>
      <c r="Y164" t="s">
        <v>414</v>
      </c>
      <c r="AA164" t="s">
        <v>484</v>
      </c>
      <c r="AJ164" s="41">
        <v>0</v>
      </c>
      <c r="AL164">
        <f t="shared" si="8"/>
        <v>0</v>
      </c>
      <c r="AM164">
        <f t="shared" si="9"/>
        <v>0</v>
      </c>
      <c r="AN164">
        <f t="shared" si="10"/>
        <v>0</v>
      </c>
    </row>
    <row r="165" spans="1:40" x14ac:dyDescent="0.2">
      <c r="A165" s="11">
        <v>12</v>
      </c>
      <c r="B165" s="11" t="s">
        <v>415</v>
      </c>
      <c r="C165" s="11"/>
      <c r="D165" s="11"/>
      <c r="E165" s="11"/>
      <c r="F165" s="8" t="s">
        <v>1191</v>
      </c>
      <c r="G165" s="9" t="s">
        <v>1191</v>
      </c>
      <c r="H165" s="11" t="s">
        <v>1191</v>
      </c>
      <c r="I165" s="11">
        <v>3</v>
      </c>
      <c r="J165" s="11" t="s">
        <v>319</v>
      </c>
      <c r="K165" s="11">
        <v>2019</v>
      </c>
      <c r="L165" s="11" t="s">
        <v>28</v>
      </c>
      <c r="M165" s="11" t="s">
        <v>303</v>
      </c>
      <c r="N165" s="11"/>
      <c r="O165" s="11"/>
      <c r="P165" s="11"/>
      <c r="Q165" s="11"/>
      <c r="R165" s="11" t="s">
        <v>89</v>
      </c>
      <c r="S165" s="23">
        <v>33.63335</v>
      </c>
      <c r="T165" s="23">
        <v>-116.39182</v>
      </c>
      <c r="U165" s="11">
        <v>1312</v>
      </c>
      <c r="V165" s="24">
        <f t="shared" si="7"/>
        <v>399.89760000000001</v>
      </c>
      <c r="W165" s="11" t="s">
        <v>898</v>
      </c>
      <c r="X165" s="11" t="s">
        <v>2348</v>
      </c>
      <c r="Y165" s="11" t="s">
        <v>416</v>
      </c>
      <c r="Z165" s="11" t="s">
        <v>404</v>
      </c>
      <c r="AA165" s="11"/>
      <c r="AJ165" s="41">
        <v>0</v>
      </c>
      <c r="AL165">
        <f t="shared" si="8"/>
        <v>0</v>
      </c>
      <c r="AM165">
        <f t="shared" si="9"/>
        <v>0</v>
      </c>
      <c r="AN165">
        <f t="shared" si="10"/>
        <v>0</v>
      </c>
    </row>
    <row r="166" spans="1:40" x14ac:dyDescent="0.2">
      <c r="A166">
        <v>12</v>
      </c>
      <c r="B166" t="s">
        <v>417</v>
      </c>
      <c r="C166" s="2">
        <v>0</v>
      </c>
      <c r="D166" s="2">
        <v>0</v>
      </c>
      <c r="E166" s="2">
        <v>0</v>
      </c>
      <c r="F166" t="s">
        <v>1186</v>
      </c>
      <c r="G166" t="s">
        <v>1186</v>
      </c>
      <c r="H166" s="2" t="s">
        <v>1191</v>
      </c>
      <c r="I166">
        <v>3</v>
      </c>
      <c r="J166" t="s">
        <v>319</v>
      </c>
      <c r="K166">
        <v>2019</v>
      </c>
      <c r="L166" s="2" t="s">
        <v>28</v>
      </c>
      <c r="M166" t="s">
        <v>303</v>
      </c>
      <c r="N166">
        <v>20.5</v>
      </c>
      <c r="O166">
        <v>1.5</v>
      </c>
      <c r="P166" t="s">
        <v>37</v>
      </c>
      <c r="R166" t="s">
        <v>89</v>
      </c>
      <c r="S166" s="4">
        <v>33.63335</v>
      </c>
      <c r="T166" s="4">
        <v>-116.39182</v>
      </c>
      <c r="U166" s="2">
        <v>1312</v>
      </c>
      <c r="V166" s="6">
        <f t="shared" si="7"/>
        <v>399.89760000000001</v>
      </c>
      <c r="W166" s="2" t="s">
        <v>898</v>
      </c>
      <c r="X166" s="2" t="s">
        <v>2348</v>
      </c>
      <c r="Y166" t="s">
        <v>418</v>
      </c>
      <c r="AJ166" s="41">
        <v>0</v>
      </c>
      <c r="AL166">
        <f t="shared" si="8"/>
        <v>0</v>
      </c>
      <c r="AM166">
        <f t="shared" si="9"/>
        <v>0</v>
      </c>
      <c r="AN166">
        <f t="shared" si="10"/>
        <v>0</v>
      </c>
    </row>
    <row r="167" spans="1:40" x14ac:dyDescent="0.2">
      <c r="A167">
        <v>12</v>
      </c>
      <c r="B167" t="s">
        <v>419</v>
      </c>
      <c r="C167" s="2">
        <v>0</v>
      </c>
      <c r="D167" s="2">
        <v>0</v>
      </c>
      <c r="E167" s="2">
        <v>0</v>
      </c>
      <c r="F167" t="s">
        <v>1186</v>
      </c>
      <c r="G167" t="s">
        <v>1186</v>
      </c>
      <c r="H167" s="2" t="s">
        <v>1191</v>
      </c>
      <c r="I167">
        <v>3</v>
      </c>
      <c r="J167" t="s">
        <v>319</v>
      </c>
      <c r="K167">
        <v>2019</v>
      </c>
      <c r="L167" s="2" t="s">
        <v>28</v>
      </c>
      <c r="M167" t="s">
        <v>303</v>
      </c>
      <c r="N167">
        <v>20</v>
      </c>
      <c r="O167">
        <v>3</v>
      </c>
      <c r="P167" t="s">
        <v>37</v>
      </c>
      <c r="R167" t="s">
        <v>89</v>
      </c>
      <c r="S167" s="4">
        <v>33.63335</v>
      </c>
      <c r="T167" s="4">
        <v>-116.39182</v>
      </c>
      <c r="U167" s="2">
        <v>1312</v>
      </c>
      <c r="V167" s="6">
        <f t="shared" si="7"/>
        <v>399.89760000000001</v>
      </c>
      <c r="W167" s="2" t="s">
        <v>898</v>
      </c>
      <c r="X167" s="2" t="s">
        <v>2348</v>
      </c>
      <c r="Y167" t="s">
        <v>420</v>
      </c>
      <c r="AA167" t="s">
        <v>485</v>
      </c>
      <c r="AJ167" s="41">
        <v>0</v>
      </c>
      <c r="AL167">
        <f t="shared" si="8"/>
        <v>0</v>
      </c>
      <c r="AM167">
        <f t="shared" si="9"/>
        <v>0</v>
      </c>
      <c r="AN167">
        <f t="shared" si="10"/>
        <v>0</v>
      </c>
    </row>
    <row r="168" spans="1:40" x14ac:dyDescent="0.2">
      <c r="A168">
        <v>12</v>
      </c>
      <c r="B168" t="s">
        <v>421</v>
      </c>
      <c r="C168" s="2">
        <v>0</v>
      </c>
      <c r="D168" s="2">
        <v>0</v>
      </c>
      <c r="E168" s="2">
        <v>0</v>
      </c>
      <c r="F168" t="s">
        <v>1186</v>
      </c>
      <c r="G168" t="s">
        <v>1186</v>
      </c>
      <c r="H168" s="2" t="s">
        <v>1191</v>
      </c>
      <c r="I168">
        <v>3</v>
      </c>
      <c r="J168" t="s">
        <v>319</v>
      </c>
      <c r="K168">
        <v>2019</v>
      </c>
      <c r="L168" s="2" t="s">
        <v>28</v>
      </c>
      <c r="M168" t="s">
        <v>303</v>
      </c>
      <c r="N168">
        <v>20.5</v>
      </c>
      <c r="O168">
        <v>1.5</v>
      </c>
      <c r="P168" t="s">
        <v>37</v>
      </c>
      <c r="R168" t="s">
        <v>89</v>
      </c>
      <c r="S168" s="4">
        <v>33.63335</v>
      </c>
      <c r="T168" s="4">
        <v>-116.39182</v>
      </c>
      <c r="U168" s="2">
        <v>1312</v>
      </c>
      <c r="V168" s="6">
        <f t="shared" si="7"/>
        <v>399.89760000000001</v>
      </c>
      <c r="W168" s="2" t="s">
        <v>898</v>
      </c>
      <c r="X168" s="2" t="s">
        <v>2348</v>
      </c>
      <c r="Y168" t="s">
        <v>422</v>
      </c>
      <c r="AJ168" s="41">
        <v>0</v>
      </c>
      <c r="AL168">
        <f t="shared" si="8"/>
        <v>0</v>
      </c>
      <c r="AM168">
        <f t="shared" si="9"/>
        <v>0</v>
      </c>
      <c r="AN168">
        <f t="shared" si="10"/>
        <v>0</v>
      </c>
    </row>
    <row r="169" spans="1:40" x14ac:dyDescent="0.2">
      <c r="A169">
        <v>12</v>
      </c>
      <c r="B169" t="s">
        <v>423</v>
      </c>
      <c r="C169" s="2">
        <v>0</v>
      </c>
      <c r="D169" s="2">
        <v>0</v>
      </c>
      <c r="E169" s="2">
        <v>0</v>
      </c>
      <c r="F169" t="s">
        <v>1186</v>
      </c>
      <c r="G169" t="s">
        <v>1186</v>
      </c>
      <c r="H169" s="2" t="s">
        <v>1191</v>
      </c>
      <c r="I169">
        <v>3</v>
      </c>
      <c r="J169" t="s">
        <v>319</v>
      </c>
      <c r="K169">
        <v>2019</v>
      </c>
      <c r="L169" s="2" t="s">
        <v>28</v>
      </c>
      <c r="M169" t="s">
        <v>303</v>
      </c>
      <c r="N169">
        <v>24</v>
      </c>
      <c r="O169">
        <v>2</v>
      </c>
      <c r="P169" t="s">
        <v>41</v>
      </c>
      <c r="R169" t="s">
        <v>89</v>
      </c>
      <c r="S169" s="4">
        <v>33.63335</v>
      </c>
      <c r="T169" s="4">
        <v>-116.39182</v>
      </c>
      <c r="U169" s="2">
        <v>1312</v>
      </c>
      <c r="V169" s="6">
        <f t="shared" si="7"/>
        <v>399.89760000000001</v>
      </c>
      <c r="W169" s="2" t="s">
        <v>898</v>
      </c>
      <c r="X169" s="2" t="s">
        <v>2348</v>
      </c>
      <c r="Y169" t="s">
        <v>422</v>
      </c>
      <c r="AJ169" s="41">
        <v>0</v>
      </c>
      <c r="AL169">
        <f t="shared" si="8"/>
        <v>0</v>
      </c>
      <c r="AM169">
        <f t="shared" si="9"/>
        <v>0</v>
      </c>
      <c r="AN169">
        <f t="shared" si="10"/>
        <v>0</v>
      </c>
    </row>
    <row r="170" spans="1:40" x14ac:dyDescent="0.2">
      <c r="A170">
        <v>12</v>
      </c>
      <c r="B170" t="s">
        <v>424</v>
      </c>
      <c r="C170" s="2">
        <v>0</v>
      </c>
      <c r="D170" s="2">
        <v>0</v>
      </c>
      <c r="E170" s="2">
        <v>0</v>
      </c>
      <c r="F170" t="s">
        <v>1186</v>
      </c>
      <c r="G170" t="s">
        <v>1186</v>
      </c>
      <c r="H170" s="2" t="s">
        <v>1191</v>
      </c>
      <c r="I170">
        <v>3</v>
      </c>
      <c r="J170" t="s">
        <v>319</v>
      </c>
      <c r="K170">
        <v>2019</v>
      </c>
      <c r="L170" s="2" t="s">
        <v>28</v>
      </c>
      <c r="M170" t="s">
        <v>303</v>
      </c>
      <c r="N170">
        <v>21</v>
      </c>
      <c r="O170">
        <v>2.5</v>
      </c>
      <c r="P170" t="s">
        <v>37</v>
      </c>
      <c r="R170" t="s">
        <v>89</v>
      </c>
      <c r="S170" s="4">
        <v>33.63335</v>
      </c>
      <c r="T170" s="4">
        <v>-116.39182</v>
      </c>
      <c r="U170" s="2">
        <v>1312</v>
      </c>
      <c r="V170" s="6">
        <f t="shared" si="7"/>
        <v>399.89760000000001</v>
      </c>
      <c r="W170" s="2" t="s">
        <v>898</v>
      </c>
      <c r="X170" s="2" t="s">
        <v>2348</v>
      </c>
      <c r="Y170" t="s">
        <v>425</v>
      </c>
      <c r="Z170" t="s">
        <v>426</v>
      </c>
      <c r="AA170" t="s">
        <v>486</v>
      </c>
      <c r="AJ170" s="41">
        <v>0</v>
      </c>
      <c r="AL170">
        <f t="shared" si="8"/>
        <v>0</v>
      </c>
      <c r="AM170">
        <f t="shared" si="9"/>
        <v>0</v>
      </c>
      <c r="AN170">
        <f t="shared" si="10"/>
        <v>0</v>
      </c>
    </row>
    <row r="171" spans="1:40" x14ac:dyDescent="0.2">
      <c r="A171">
        <v>12</v>
      </c>
      <c r="B171" t="s">
        <v>427</v>
      </c>
      <c r="C171" s="2">
        <v>0</v>
      </c>
      <c r="D171" s="2">
        <v>0</v>
      </c>
      <c r="E171" s="2">
        <v>0</v>
      </c>
      <c r="F171" t="s">
        <v>1186</v>
      </c>
      <c r="G171" t="s">
        <v>1186</v>
      </c>
      <c r="H171" s="2" t="s">
        <v>1191</v>
      </c>
      <c r="I171">
        <v>3</v>
      </c>
      <c r="J171" t="s">
        <v>319</v>
      </c>
      <c r="K171">
        <v>2019</v>
      </c>
      <c r="L171" s="2" t="s">
        <v>28</v>
      </c>
      <c r="M171" t="s">
        <v>303</v>
      </c>
      <c r="N171">
        <v>21.5</v>
      </c>
      <c r="O171">
        <v>1</v>
      </c>
      <c r="P171" t="s">
        <v>37</v>
      </c>
      <c r="R171" t="s">
        <v>89</v>
      </c>
      <c r="S171" s="4">
        <v>33.63335</v>
      </c>
      <c r="T171" s="4">
        <v>-116.39182</v>
      </c>
      <c r="U171" s="2">
        <v>1312</v>
      </c>
      <c r="V171" s="6">
        <f t="shared" si="7"/>
        <v>399.89760000000001</v>
      </c>
      <c r="W171" s="2" t="s">
        <v>898</v>
      </c>
      <c r="X171" s="2" t="s">
        <v>2348</v>
      </c>
      <c r="Y171" t="s">
        <v>428</v>
      </c>
      <c r="AJ171" s="41">
        <v>0</v>
      </c>
      <c r="AL171">
        <f t="shared" si="8"/>
        <v>0</v>
      </c>
      <c r="AM171">
        <f t="shared" si="9"/>
        <v>0</v>
      </c>
      <c r="AN171">
        <f t="shared" si="10"/>
        <v>0</v>
      </c>
    </row>
    <row r="172" spans="1:40" x14ac:dyDescent="0.2">
      <c r="A172">
        <v>12</v>
      </c>
      <c r="B172" t="s">
        <v>429</v>
      </c>
      <c r="C172" s="2">
        <v>0</v>
      </c>
      <c r="D172" s="2">
        <v>0</v>
      </c>
      <c r="E172" s="2">
        <v>0</v>
      </c>
      <c r="F172" t="s">
        <v>1186</v>
      </c>
      <c r="G172" t="s">
        <v>1186</v>
      </c>
      <c r="H172" s="2" t="s">
        <v>1191</v>
      </c>
      <c r="I172">
        <v>3</v>
      </c>
      <c r="J172" t="s">
        <v>319</v>
      </c>
      <c r="K172">
        <v>2019</v>
      </c>
      <c r="L172" s="2" t="s">
        <v>28</v>
      </c>
      <c r="M172" t="s">
        <v>303</v>
      </c>
      <c r="N172">
        <v>21</v>
      </c>
      <c r="O172">
        <v>1.5</v>
      </c>
      <c r="P172" t="s">
        <v>37</v>
      </c>
      <c r="R172" t="s">
        <v>89</v>
      </c>
      <c r="S172" s="4">
        <v>33.692810000000001</v>
      </c>
      <c r="T172" s="4">
        <v>-116.37076999999999</v>
      </c>
      <c r="U172">
        <v>413</v>
      </c>
      <c r="V172" s="6">
        <f t="shared" ref="V172:V235" si="11">U172*0.3048</f>
        <v>125.8824</v>
      </c>
      <c r="W172" s="2" t="s">
        <v>898</v>
      </c>
      <c r="X172" s="2" t="s">
        <v>2348</v>
      </c>
      <c r="Y172" t="s">
        <v>430</v>
      </c>
      <c r="AJ172" s="41">
        <v>0</v>
      </c>
      <c r="AL172">
        <f t="shared" si="8"/>
        <v>0</v>
      </c>
      <c r="AM172">
        <f t="shared" si="9"/>
        <v>0</v>
      </c>
      <c r="AN172">
        <f t="shared" si="10"/>
        <v>0</v>
      </c>
    </row>
    <row r="173" spans="1:40" x14ac:dyDescent="0.2">
      <c r="A173">
        <v>13</v>
      </c>
      <c r="B173" t="s">
        <v>431</v>
      </c>
      <c r="C173" s="2">
        <v>0</v>
      </c>
      <c r="D173" s="2">
        <v>0</v>
      </c>
      <c r="E173" s="2">
        <v>0</v>
      </c>
      <c r="F173" t="s">
        <v>1186</v>
      </c>
      <c r="G173" t="s">
        <v>1186</v>
      </c>
      <c r="H173" s="2" t="s">
        <v>1191</v>
      </c>
      <c r="I173">
        <v>3</v>
      </c>
      <c r="J173" t="s">
        <v>319</v>
      </c>
      <c r="K173">
        <v>2019</v>
      </c>
      <c r="L173" t="s">
        <v>302</v>
      </c>
      <c r="M173" t="s">
        <v>321</v>
      </c>
      <c r="N173">
        <v>19.5</v>
      </c>
      <c r="P173" t="s">
        <v>37</v>
      </c>
      <c r="R173" t="s">
        <v>89</v>
      </c>
      <c r="S173" s="4">
        <v>33.692810000000001</v>
      </c>
      <c r="T173" s="4">
        <v>-116.37076999999999</v>
      </c>
      <c r="U173">
        <v>413</v>
      </c>
      <c r="V173" s="6">
        <f t="shared" si="11"/>
        <v>125.8824</v>
      </c>
      <c r="W173" s="2" t="s">
        <v>2350</v>
      </c>
      <c r="X173" t="s">
        <v>2349</v>
      </c>
      <c r="Y173" t="s">
        <v>198</v>
      </c>
      <c r="Z173" t="s">
        <v>134</v>
      </c>
      <c r="AJ173" s="41">
        <v>0</v>
      </c>
      <c r="AL173">
        <f t="shared" si="8"/>
        <v>0</v>
      </c>
      <c r="AM173">
        <f t="shared" si="9"/>
        <v>0</v>
      </c>
      <c r="AN173">
        <f t="shared" si="10"/>
        <v>0</v>
      </c>
    </row>
    <row r="174" spans="1:40" x14ac:dyDescent="0.2">
      <c r="A174">
        <v>13</v>
      </c>
      <c r="B174" t="s">
        <v>432</v>
      </c>
      <c r="C174" s="2">
        <v>0</v>
      </c>
      <c r="D174" s="2">
        <v>0</v>
      </c>
      <c r="E174" s="2">
        <v>0</v>
      </c>
      <c r="F174" t="s">
        <v>1186</v>
      </c>
      <c r="G174" t="s">
        <v>1186</v>
      </c>
      <c r="H174" s="2" t="s">
        <v>1191</v>
      </c>
      <c r="I174">
        <v>3</v>
      </c>
      <c r="J174" t="s">
        <v>319</v>
      </c>
      <c r="K174">
        <v>2019</v>
      </c>
      <c r="L174" t="s">
        <v>320</v>
      </c>
      <c r="M174" t="s">
        <v>321</v>
      </c>
      <c r="N174">
        <v>18</v>
      </c>
      <c r="P174" t="s">
        <v>37</v>
      </c>
      <c r="R174" t="s">
        <v>89</v>
      </c>
      <c r="S174" s="4">
        <v>33.692810000000001</v>
      </c>
      <c r="T174" s="4">
        <v>-116.37076999999999</v>
      </c>
      <c r="U174">
        <v>413</v>
      </c>
      <c r="V174" s="6">
        <f t="shared" si="11"/>
        <v>125.8824</v>
      </c>
      <c r="W174" s="2" t="s">
        <v>2350</v>
      </c>
      <c r="X174" t="s">
        <v>2349</v>
      </c>
      <c r="Y174" t="s">
        <v>201</v>
      </c>
      <c r="Z174" t="s">
        <v>134</v>
      </c>
      <c r="AA174" t="s">
        <v>487</v>
      </c>
      <c r="AJ174" s="41">
        <v>0</v>
      </c>
      <c r="AL174">
        <f t="shared" si="8"/>
        <v>0</v>
      </c>
      <c r="AM174">
        <f t="shared" si="9"/>
        <v>0</v>
      </c>
      <c r="AN174">
        <f t="shared" si="10"/>
        <v>0</v>
      </c>
    </row>
    <row r="175" spans="1:40" x14ac:dyDescent="0.2">
      <c r="A175">
        <v>13</v>
      </c>
      <c r="B175" t="s">
        <v>433</v>
      </c>
      <c r="C175" s="2">
        <v>0</v>
      </c>
      <c r="D175" s="2">
        <v>0</v>
      </c>
      <c r="E175" s="2">
        <v>0</v>
      </c>
      <c r="F175" t="s">
        <v>1186</v>
      </c>
      <c r="G175" t="s">
        <v>1186</v>
      </c>
      <c r="H175" s="2" t="s">
        <v>1191</v>
      </c>
      <c r="I175">
        <v>3</v>
      </c>
      <c r="J175" t="s">
        <v>319</v>
      </c>
      <c r="K175">
        <v>2019</v>
      </c>
      <c r="L175" t="s">
        <v>320</v>
      </c>
      <c r="M175" t="s">
        <v>321</v>
      </c>
      <c r="N175">
        <v>18.5</v>
      </c>
      <c r="P175" t="s">
        <v>37</v>
      </c>
      <c r="R175" t="s">
        <v>89</v>
      </c>
      <c r="S175" s="4">
        <v>33.692810000000001</v>
      </c>
      <c r="T175" s="4">
        <v>-116.37076999999999</v>
      </c>
      <c r="U175">
        <v>413</v>
      </c>
      <c r="V175" s="6">
        <f t="shared" si="11"/>
        <v>125.8824</v>
      </c>
      <c r="W175" s="2" t="s">
        <v>2350</v>
      </c>
      <c r="X175" t="s">
        <v>2349</v>
      </c>
      <c r="Y175" t="s">
        <v>149</v>
      </c>
      <c r="Z175" t="s">
        <v>134</v>
      </c>
      <c r="AA175" t="s">
        <v>488</v>
      </c>
      <c r="AJ175" s="41">
        <v>0</v>
      </c>
      <c r="AL175">
        <f t="shared" si="8"/>
        <v>0</v>
      </c>
      <c r="AM175">
        <f t="shared" si="9"/>
        <v>0</v>
      </c>
      <c r="AN175">
        <f t="shared" si="10"/>
        <v>0</v>
      </c>
    </row>
    <row r="176" spans="1:40" x14ac:dyDescent="0.2">
      <c r="A176">
        <v>13</v>
      </c>
      <c r="B176" t="s">
        <v>434</v>
      </c>
      <c r="C176" s="2">
        <v>0</v>
      </c>
      <c r="D176" s="2">
        <v>0</v>
      </c>
      <c r="E176" s="2">
        <v>0</v>
      </c>
      <c r="F176" t="s">
        <v>1186</v>
      </c>
      <c r="G176" t="s">
        <v>1186</v>
      </c>
      <c r="H176" s="2" t="s">
        <v>1191</v>
      </c>
      <c r="I176">
        <v>3</v>
      </c>
      <c r="J176" t="s">
        <v>319</v>
      </c>
      <c r="K176">
        <v>2019</v>
      </c>
      <c r="L176" t="s">
        <v>320</v>
      </c>
      <c r="M176" t="s">
        <v>321</v>
      </c>
      <c r="N176">
        <v>15</v>
      </c>
      <c r="P176" t="s">
        <v>37</v>
      </c>
      <c r="R176" t="s">
        <v>89</v>
      </c>
      <c r="S176" s="4">
        <v>33.692810000000001</v>
      </c>
      <c r="T176" s="4">
        <v>-116.37076999999999</v>
      </c>
      <c r="U176">
        <v>413</v>
      </c>
      <c r="V176" s="6">
        <f t="shared" si="11"/>
        <v>125.8824</v>
      </c>
      <c r="W176" s="2" t="s">
        <v>2350</v>
      </c>
      <c r="X176" t="s">
        <v>2349</v>
      </c>
      <c r="Y176" t="s">
        <v>435</v>
      </c>
      <c r="Z176" t="s">
        <v>134</v>
      </c>
      <c r="AA176" t="s">
        <v>489</v>
      </c>
      <c r="AJ176" s="41">
        <v>0</v>
      </c>
      <c r="AL176">
        <f t="shared" si="8"/>
        <v>0</v>
      </c>
      <c r="AM176">
        <f t="shared" si="9"/>
        <v>0</v>
      </c>
      <c r="AN176">
        <f t="shared" si="10"/>
        <v>0</v>
      </c>
    </row>
    <row r="177" spans="1:40" x14ac:dyDescent="0.2">
      <c r="A177">
        <v>13</v>
      </c>
      <c r="B177" t="s">
        <v>436</v>
      </c>
      <c r="C177" s="2">
        <v>0</v>
      </c>
      <c r="D177" s="2">
        <v>0</v>
      </c>
      <c r="E177" s="2">
        <v>0</v>
      </c>
      <c r="F177" t="s">
        <v>1186</v>
      </c>
      <c r="G177" t="s">
        <v>1186</v>
      </c>
      <c r="H177" s="2" t="s">
        <v>1191</v>
      </c>
      <c r="I177">
        <v>3</v>
      </c>
      <c r="J177" t="s">
        <v>319</v>
      </c>
      <c r="K177">
        <v>2019</v>
      </c>
      <c r="L177" t="s">
        <v>320</v>
      </c>
      <c r="M177" t="s">
        <v>321</v>
      </c>
      <c r="N177">
        <v>16.5</v>
      </c>
      <c r="P177" t="s">
        <v>37</v>
      </c>
      <c r="R177" t="s">
        <v>89</v>
      </c>
      <c r="S177" s="4">
        <v>33.692810000000001</v>
      </c>
      <c r="T177" s="4">
        <v>-116.37076999999999</v>
      </c>
      <c r="U177">
        <v>413</v>
      </c>
      <c r="V177" s="6">
        <f t="shared" si="11"/>
        <v>125.8824</v>
      </c>
      <c r="W177" s="2" t="s">
        <v>2350</v>
      </c>
      <c r="X177" t="s">
        <v>2349</v>
      </c>
      <c r="Y177" t="s">
        <v>328</v>
      </c>
      <c r="Z177" t="s">
        <v>134</v>
      </c>
      <c r="AA177" t="s">
        <v>490</v>
      </c>
      <c r="AJ177" s="41">
        <v>0</v>
      </c>
      <c r="AL177">
        <f t="shared" si="8"/>
        <v>0</v>
      </c>
      <c r="AM177">
        <f t="shared" si="9"/>
        <v>0</v>
      </c>
      <c r="AN177">
        <f t="shared" si="10"/>
        <v>0</v>
      </c>
    </row>
    <row r="178" spans="1:40" x14ac:dyDescent="0.2">
      <c r="A178">
        <v>13</v>
      </c>
      <c r="B178" t="s">
        <v>437</v>
      </c>
      <c r="C178" s="2">
        <v>0</v>
      </c>
      <c r="D178" s="2">
        <v>0</v>
      </c>
      <c r="E178" s="2">
        <v>0</v>
      </c>
      <c r="F178" s="8" t="s">
        <v>1186</v>
      </c>
      <c r="G178" t="s">
        <v>1186</v>
      </c>
      <c r="H178" s="2" t="s">
        <v>1191</v>
      </c>
      <c r="I178">
        <v>3</v>
      </c>
      <c r="J178" t="s">
        <v>319</v>
      </c>
      <c r="K178">
        <v>2019</v>
      </c>
      <c r="L178" t="s">
        <v>302</v>
      </c>
      <c r="M178" t="s">
        <v>321</v>
      </c>
      <c r="N178">
        <v>18</v>
      </c>
      <c r="P178" t="s">
        <v>37</v>
      </c>
      <c r="R178" t="s">
        <v>89</v>
      </c>
      <c r="S178" s="4">
        <v>33.692810000000001</v>
      </c>
      <c r="T178" s="4">
        <v>-116.37076999999999</v>
      </c>
      <c r="U178">
        <v>413</v>
      </c>
      <c r="V178" s="6">
        <f t="shared" si="11"/>
        <v>125.8824</v>
      </c>
      <c r="W178" s="2" t="s">
        <v>2350</v>
      </c>
      <c r="X178" t="s">
        <v>2349</v>
      </c>
      <c r="Y178" t="s">
        <v>435</v>
      </c>
      <c r="Z178" t="s">
        <v>438</v>
      </c>
      <c r="AA178" t="s">
        <v>491</v>
      </c>
      <c r="AJ178" s="41">
        <v>0</v>
      </c>
      <c r="AL178">
        <f t="shared" si="8"/>
        <v>0</v>
      </c>
      <c r="AM178">
        <f t="shared" si="9"/>
        <v>0</v>
      </c>
      <c r="AN178">
        <f t="shared" si="10"/>
        <v>0</v>
      </c>
    </row>
    <row r="179" spans="1:40" x14ac:dyDescent="0.2">
      <c r="A179">
        <v>13</v>
      </c>
      <c r="B179" t="s">
        <v>439</v>
      </c>
      <c r="C179" s="2">
        <v>0</v>
      </c>
      <c r="D179" s="2">
        <v>0</v>
      </c>
      <c r="E179" s="2">
        <v>0</v>
      </c>
      <c r="F179" t="s">
        <v>1186</v>
      </c>
      <c r="G179" t="s">
        <v>1186</v>
      </c>
      <c r="H179" s="2" t="s">
        <v>1191</v>
      </c>
      <c r="I179">
        <v>3</v>
      </c>
      <c r="J179" t="s">
        <v>319</v>
      </c>
      <c r="K179">
        <v>2019</v>
      </c>
      <c r="L179" t="s">
        <v>320</v>
      </c>
      <c r="M179" t="s">
        <v>321</v>
      </c>
      <c r="N179">
        <v>17</v>
      </c>
      <c r="P179" t="s">
        <v>37</v>
      </c>
      <c r="R179" t="s">
        <v>89</v>
      </c>
      <c r="S179" s="4">
        <v>33.692810000000001</v>
      </c>
      <c r="T179" s="4">
        <v>-116.37076999999999</v>
      </c>
      <c r="U179">
        <v>413</v>
      </c>
      <c r="V179" s="6">
        <f t="shared" si="11"/>
        <v>125.8824</v>
      </c>
      <c r="W179" s="2" t="s">
        <v>2350</v>
      </c>
      <c r="X179" t="s">
        <v>2349</v>
      </c>
      <c r="Y179" t="s">
        <v>440</v>
      </c>
      <c r="Z179" t="s">
        <v>134</v>
      </c>
      <c r="AJ179" s="41">
        <v>0</v>
      </c>
      <c r="AL179">
        <f t="shared" si="8"/>
        <v>0</v>
      </c>
      <c r="AM179">
        <f t="shared" si="9"/>
        <v>0</v>
      </c>
      <c r="AN179">
        <f t="shared" si="10"/>
        <v>0</v>
      </c>
    </row>
    <row r="180" spans="1:40" x14ac:dyDescent="0.2">
      <c r="A180">
        <v>13</v>
      </c>
      <c r="B180" t="s">
        <v>441</v>
      </c>
      <c r="C180" s="2">
        <v>0</v>
      </c>
      <c r="D180" s="2">
        <v>0</v>
      </c>
      <c r="E180" s="2">
        <v>0</v>
      </c>
      <c r="F180" t="s">
        <v>1186</v>
      </c>
      <c r="G180" t="s">
        <v>1186</v>
      </c>
      <c r="H180" s="2" t="s">
        <v>1191</v>
      </c>
      <c r="I180">
        <v>3</v>
      </c>
      <c r="J180" t="s">
        <v>319</v>
      </c>
      <c r="K180">
        <v>2019</v>
      </c>
      <c r="L180" t="s">
        <v>320</v>
      </c>
      <c r="M180" t="s">
        <v>321</v>
      </c>
      <c r="N180">
        <v>26.5</v>
      </c>
      <c r="O180">
        <v>2</v>
      </c>
      <c r="P180" t="s">
        <v>37</v>
      </c>
      <c r="R180" t="s">
        <v>89</v>
      </c>
      <c r="S180" s="4">
        <v>33.693600000000004</v>
      </c>
      <c r="T180" s="4">
        <v>-116.37072000000001</v>
      </c>
      <c r="U180">
        <v>414</v>
      </c>
      <c r="V180" s="6">
        <f t="shared" si="11"/>
        <v>126.1872</v>
      </c>
      <c r="W180" s="2" t="s">
        <v>2350</v>
      </c>
      <c r="X180" t="s">
        <v>2349</v>
      </c>
      <c r="Y180" t="s">
        <v>435</v>
      </c>
      <c r="Z180" t="s">
        <v>134</v>
      </c>
      <c r="AA180" t="s">
        <v>492</v>
      </c>
      <c r="AJ180" s="41">
        <v>0</v>
      </c>
      <c r="AL180">
        <f t="shared" si="8"/>
        <v>0</v>
      </c>
      <c r="AM180">
        <f t="shared" si="9"/>
        <v>0</v>
      </c>
      <c r="AN180">
        <f t="shared" si="10"/>
        <v>0</v>
      </c>
    </row>
    <row r="181" spans="1:40" x14ac:dyDescent="0.2">
      <c r="A181">
        <v>13</v>
      </c>
      <c r="B181" t="s">
        <v>442</v>
      </c>
      <c r="C181" s="2">
        <v>0</v>
      </c>
      <c r="D181" s="2">
        <v>0</v>
      </c>
      <c r="E181" s="2">
        <v>0</v>
      </c>
      <c r="G181" t="s">
        <v>1186</v>
      </c>
      <c r="H181" s="2" t="s">
        <v>1191</v>
      </c>
      <c r="I181">
        <v>3</v>
      </c>
      <c r="J181" t="s">
        <v>319</v>
      </c>
      <c r="K181">
        <v>2019</v>
      </c>
      <c r="L181" t="s">
        <v>320</v>
      </c>
      <c r="M181" t="s">
        <v>321</v>
      </c>
      <c r="N181">
        <v>75</v>
      </c>
      <c r="P181" t="s">
        <v>37</v>
      </c>
      <c r="Q181" t="s">
        <v>38</v>
      </c>
      <c r="R181" t="s">
        <v>39</v>
      </c>
      <c r="S181" s="4">
        <v>33.693600000000004</v>
      </c>
      <c r="T181" s="4">
        <v>-116.37072000000001</v>
      </c>
      <c r="U181">
        <v>414</v>
      </c>
      <c r="V181" s="6">
        <f t="shared" si="11"/>
        <v>126.1872</v>
      </c>
      <c r="W181" s="2" t="s">
        <v>2350</v>
      </c>
      <c r="X181" t="s">
        <v>2349</v>
      </c>
      <c r="Y181" t="s">
        <v>171</v>
      </c>
      <c r="Z181" t="s">
        <v>134</v>
      </c>
      <c r="AA181" t="s">
        <v>493</v>
      </c>
      <c r="AJ181" s="41">
        <v>0</v>
      </c>
      <c r="AL181">
        <f t="shared" si="8"/>
        <v>0</v>
      </c>
      <c r="AM181">
        <f t="shared" si="9"/>
        <v>0</v>
      </c>
      <c r="AN181">
        <f t="shared" si="10"/>
        <v>0</v>
      </c>
    </row>
    <row r="182" spans="1:40" x14ac:dyDescent="0.2">
      <c r="A182">
        <v>13</v>
      </c>
      <c r="B182" t="s">
        <v>443</v>
      </c>
      <c r="C182" s="2">
        <v>0</v>
      </c>
      <c r="D182" s="2">
        <v>0</v>
      </c>
      <c r="E182" s="2">
        <v>0</v>
      </c>
      <c r="G182" t="s">
        <v>1186</v>
      </c>
      <c r="H182" s="2" t="s">
        <v>1191</v>
      </c>
      <c r="I182">
        <v>3</v>
      </c>
      <c r="J182" t="s">
        <v>319</v>
      </c>
      <c r="K182">
        <v>2019</v>
      </c>
      <c r="L182" t="s">
        <v>320</v>
      </c>
      <c r="M182" t="s">
        <v>321</v>
      </c>
      <c r="N182">
        <v>74</v>
      </c>
      <c r="O182">
        <v>62.5</v>
      </c>
      <c r="P182" t="s">
        <v>30</v>
      </c>
      <c r="Q182" t="s">
        <v>38</v>
      </c>
      <c r="R182" t="s">
        <v>39</v>
      </c>
      <c r="S182" s="4">
        <v>33.693600000000004</v>
      </c>
      <c r="T182" s="4">
        <v>-116.37072000000001</v>
      </c>
      <c r="U182">
        <v>414</v>
      </c>
      <c r="V182" s="6">
        <f t="shared" si="11"/>
        <v>126.1872</v>
      </c>
      <c r="W182" s="2" t="s">
        <v>2350</v>
      </c>
      <c r="X182" t="s">
        <v>2349</v>
      </c>
      <c r="Y182" t="s">
        <v>174</v>
      </c>
      <c r="Z182" t="s">
        <v>134</v>
      </c>
      <c r="AA182" t="s">
        <v>494</v>
      </c>
      <c r="AJ182" s="41">
        <v>0</v>
      </c>
      <c r="AL182">
        <f t="shared" si="8"/>
        <v>0</v>
      </c>
      <c r="AM182">
        <f t="shared" si="9"/>
        <v>0</v>
      </c>
      <c r="AN182">
        <f t="shared" si="10"/>
        <v>0</v>
      </c>
    </row>
    <row r="183" spans="1:40" x14ac:dyDescent="0.2">
      <c r="A183">
        <v>13</v>
      </c>
      <c r="B183" t="s">
        <v>444</v>
      </c>
      <c r="C183" s="2">
        <v>0</v>
      </c>
      <c r="D183" s="2">
        <v>0</v>
      </c>
      <c r="E183" s="2">
        <v>0</v>
      </c>
      <c r="F183" t="s">
        <v>1186</v>
      </c>
      <c r="G183" t="s">
        <v>1186</v>
      </c>
      <c r="H183" s="2" t="s">
        <v>1191</v>
      </c>
      <c r="I183">
        <v>3</v>
      </c>
      <c r="J183" t="s">
        <v>319</v>
      </c>
      <c r="K183">
        <v>2019</v>
      </c>
      <c r="L183" t="s">
        <v>302</v>
      </c>
      <c r="M183" t="s">
        <v>321</v>
      </c>
      <c r="N183">
        <v>21</v>
      </c>
      <c r="O183">
        <v>4</v>
      </c>
      <c r="P183" t="s">
        <v>30</v>
      </c>
      <c r="R183" t="s">
        <v>89</v>
      </c>
      <c r="S183" s="4">
        <v>33.693600000000004</v>
      </c>
      <c r="T183" s="4">
        <v>-116.37072000000001</v>
      </c>
      <c r="U183">
        <v>414</v>
      </c>
      <c r="V183" s="6">
        <f t="shared" si="11"/>
        <v>126.1872</v>
      </c>
      <c r="W183" s="2" t="s">
        <v>2350</v>
      </c>
      <c r="X183" t="s">
        <v>2349</v>
      </c>
      <c r="Y183" t="s">
        <v>226</v>
      </c>
      <c r="Z183" t="s">
        <v>134</v>
      </c>
      <c r="AA183" t="s">
        <v>495</v>
      </c>
      <c r="AJ183" s="41">
        <v>0</v>
      </c>
      <c r="AL183">
        <f t="shared" si="8"/>
        <v>0</v>
      </c>
      <c r="AM183">
        <f t="shared" si="9"/>
        <v>0</v>
      </c>
      <c r="AN183">
        <f t="shared" si="10"/>
        <v>0</v>
      </c>
    </row>
    <row r="184" spans="1:40" x14ac:dyDescent="0.2">
      <c r="A184">
        <v>13</v>
      </c>
      <c r="B184" t="s">
        <v>445</v>
      </c>
      <c r="C184" s="2">
        <v>0</v>
      </c>
      <c r="D184" s="2">
        <v>0</v>
      </c>
      <c r="E184" s="2">
        <v>0</v>
      </c>
      <c r="G184" s="9" t="s">
        <v>1191</v>
      </c>
      <c r="H184" s="2" t="s">
        <v>1191</v>
      </c>
      <c r="I184">
        <v>3</v>
      </c>
      <c r="J184" t="s">
        <v>319</v>
      </c>
      <c r="K184">
        <v>2019</v>
      </c>
      <c r="L184" t="s">
        <v>320</v>
      </c>
      <c r="M184" t="s">
        <v>321</v>
      </c>
      <c r="N184">
        <v>76.5</v>
      </c>
      <c r="P184" t="s">
        <v>30</v>
      </c>
      <c r="Q184" t="s">
        <v>42</v>
      </c>
      <c r="R184" t="s">
        <v>39</v>
      </c>
      <c r="S184" s="4">
        <v>33.693800000000003</v>
      </c>
      <c r="T184" s="4">
        <v>-116.37090999999999</v>
      </c>
      <c r="U184">
        <v>424</v>
      </c>
      <c r="V184" s="6">
        <f t="shared" si="11"/>
        <v>129.23520000000002</v>
      </c>
      <c r="W184" s="2" t="s">
        <v>2350</v>
      </c>
      <c r="X184" t="s">
        <v>2349</v>
      </c>
      <c r="Y184" t="s">
        <v>90</v>
      </c>
      <c r="Z184" t="s">
        <v>134</v>
      </c>
      <c r="AA184" t="s">
        <v>496</v>
      </c>
      <c r="AJ184" s="41">
        <v>0</v>
      </c>
      <c r="AL184">
        <f t="shared" si="8"/>
        <v>0</v>
      </c>
      <c r="AM184">
        <f t="shared" si="9"/>
        <v>0</v>
      </c>
      <c r="AN184">
        <f t="shared" si="10"/>
        <v>0</v>
      </c>
    </row>
    <row r="185" spans="1:40" x14ac:dyDescent="0.2">
      <c r="A185">
        <v>13</v>
      </c>
      <c r="B185" t="s">
        <v>446</v>
      </c>
      <c r="C185" s="2">
        <v>0</v>
      </c>
      <c r="D185" s="2">
        <v>0</v>
      </c>
      <c r="E185" s="2">
        <v>0</v>
      </c>
      <c r="G185" t="s">
        <v>1186</v>
      </c>
      <c r="H185" s="2" t="s">
        <v>1191</v>
      </c>
      <c r="I185">
        <v>3</v>
      </c>
      <c r="J185" t="s">
        <v>319</v>
      </c>
      <c r="K185">
        <v>2019</v>
      </c>
      <c r="L185" t="s">
        <v>320</v>
      </c>
      <c r="M185" t="s">
        <v>321</v>
      </c>
      <c r="N185">
        <v>79</v>
      </c>
      <c r="P185" t="s">
        <v>30</v>
      </c>
      <c r="Q185" t="s">
        <v>38</v>
      </c>
      <c r="R185" t="s">
        <v>39</v>
      </c>
      <c r="S185" s="4">
        <v>33.693800000000003</v>
      </c>
      <c r="T185" s="4">
        <v>-116.37090999999999</v>
      </c>
      <c r="U185">
        <v>424</v>
      </c>
      <c r="V185" s="6">
        <f t="shared" si="11"/>
        <v>129.23520000000002</v>
      </c>
      <c r="W185" s="2" t="s">
        <v>2350</v>
      </c>
      <c r="X185" t="s">
        <v>2349</v>
      </c>
      <c r="Y185" t="s">
        <v>447</v>
      </c>
      <c r="Z185" t="s">
        <v>448</v>
      </c>
      <c r="AA185" t="s">
        <v>497</v>
      </c>
      <c r="AJ185" s="41">
        <v>0</v>
      </c>
      <c r="AL185">
        <f t="shared" si="8"/>
        <v>0</v>
      </c>
      <c r="AM185">
        <f t="shared" si="9"/>
        <v>0</v>
      </c>
      <c r="AN185">
        <f t="shared" si="10"/>
        <v>0</v>
      </c>
    </row>
    <row r="186" spans="1:40" x14ac:dyDescent="0.2">
      <c r="A186">
        <v>13</v>
      </c>
      <c r="B186" t="s">
        <v>449</v>
      </c>
      <c r="C186" s="2">
        <v>0</v>
      </c>
      <c r="D186" s="2">
        <v>0</v>
      </c>
      <c r="E186" s="2">
        <v>0</v>
      </c>
      <c r="G186" t="s">
        <v>1186</v>
      </c>
      <c r="H186" s="2" t="s">
        <v>1191</v>
      </c>
      <c r="I186">
        <v>3</v>
      </c>
      <c r="J186" t="s">
        <v>319</v>
      </c>
      <c r="K186">
        <v>2019</v>
      </c>
      <c r="L186" t="s">
        <v>320</v>
      </c>
      <c r="M186" t="s">
        <v>321</v>
      </c>
      <c r="N186">
        <v>70.5</v>
      </c>
      <c r="P186" t="s">
        <v>37</v>
      </c>
      <c r="Q186" t="s">
        <v>38</v>
      </c>
      <c r="R186" t="s">
        <v>39</v>
      </c>
      <c r="S186" s="4">
        <v>33.693800000000003</v>
      </c>
      <c r="T186" s="4">
        <v>-116.37090999999999</v>
      </c>
      <c r="U186">
        <v>424</v>
      </c>
      <c r="V186" s="6">
        <f t="shared" si="11"/>
        <v>129.23520000000002</v>
      </c>
      <c r="W186" s="2" t="s">
        <v>2350</v>
      </c>
      <c r="X186" t="s">
        <v>2349</v>
      </c>
      <c r="Y186" t="s">
        <v>249</v>
      </c>
      <c r="Z186" t="s">
        <v>134</v>
      </c>
      <c r="AA186" t="s">
        <v>498</v>
      </c>
      <c r="AJ186" s="41">
        <v>0</v>
      </c>
      <c r="AL186">
        <f t="shared" si="8"/>
        <v>0</v>
      </c>
      <c r="AM186">
        <f t="shared" si="9"/>
        <v>0</v>
      </c>
      <c r="AN186">
        <f t="shared" si="10"/>
        <v>0</v>
      </c>
    </row>
    <row r="187" spans="1:40" x14ac:dyDescent="0.2">
      <c r="A187">
        <v>13</v>
      </c>
      <c r="B187" t="s">
        <v>450</v>
      </c>
      <c r="C187" s="2">
        <v>0</v>
      </c>
      <c r="D187" s="2">
        <v>0</v>
      </c>
      <c r="E187" s="2">
        <v>0</v>
      </c>
      <c r="G187" t="s">
        <v>1186</v>
      </c>
      <c r="H187" s="2" t="s">
        <v>1191</v>
      </c>
      <c r="I187">
        <v>3</v>
      </c>
      <c r="J187" t="s">
        <v>319</v>
      </c>
      <c r="K187">
        <v>2019</v>
      </c>
      <c r="L187" t="s">
        <v>302</v>
      </c>
      <c r="M187" t="s">
        <v>321</v>
      </c>
      <c r="N187">
        <v>28</v>
      </c>
      <c r="P187" t="s">
        <v>37</v>
      </c>
      <c r="Q187" t="s">
        <v>38</v>
      </c>
      <c r="R187" s="45" t="s">
        <v>89</v>
      </c>
      <c r="S187" s="4">
        <v>33.693800000000003</v>
      </c>
      <c r="T187" s="4">
        <v>-116.37090999999999</v>
      </c>
      <c r="U187">
        <v>424</v>
      </c>
      <c r="V187" s="6">
        <f t="shared" si="11"/>
        <v>129.23520000000002</v>
      </c>
      <c r="W187" s="2" t="s">
        <v>2350</v>
      </c>
      <c r="X187" t="s">
        <v>2349</v>
      </c>
      <c r="Y187" t="s">
        <v>96</v>
      </c>
      <c r="Z187" t="s">
        <v>134</v>
      </c>
      <c r="AA187" t="s">
        <v>499</v>
      </c>
      <c r="AJ187" s="41">
        <v>0</v>
      </c>
      <c r="AL187">
        <f t="shared" si="8"/>
        <v>0</v>
      </c>
      <c r="AM187">
        <f t="shared" si="9"/>
        <v>0</v>
      </c>
      <c r="AN187">
        <f t="shared" si="10"/>
        <v>0</v>
      </c>
    </row>
    <row r="188" spans="1:40" x14ac:dyDescent="0.2">
      <c r="A188">
        <v>13</v>
      </c>
      <c r="B188" t="s">
        <v>451</v>
      </c>
      <c r="C188" s="2">
        <v>0</v>
      </c>
      <c r="D188" s="2">
        <v>0</v>
      </c>
      <c r="E188" s="2">
        <v>0</v>
      </c>
      <c r="G188" t="s">
        <v>1186</v>
      </c>
      <c r="H188" s="2" t="s">
        <v>1191</v>
      </c>
      <c r="I188">
        <v>3</v>
      </c>
      <c r="J188" t="s">
        <v>319</v>
      </c>
      <c r="K188">
        <v>2019</v>
      </c>
      <c r="L188" t="s">
        <v>320</v>
      </c>
      <c r="M188" t="s">
        <v>321</v>
      </c>
      <c r="N188">
        <v>66</v>
      </c>
      <c r="P188" t="s">
        <v>30</v>
      </c>
      <c r="Q188" t="s">
        <v>38</v>
      </c>
      <c r="R188" t="s">
        <v>39</v>
      </c>
      <c r="S188" s="4">
        <v>33.693800000000003</v>
      </c>
      <c r="T188" s="4">
        <v>-116.37090999999999</v>
      </c>
      <c r="U188">
        <v>424</v>
      </c>
      <c r="V188" s="6">
        <f t="shared" si="11"/>
        <v>129.23520000000002</v>
      </c>
      <c r="W188" s="2" t="s">
        <v>2350</v>
      </c>
      <c r="X188" t="s">
        <v>2349</v>
      </c>
      <c r="Y188" t="s">
        <v>56</v>
      </c>
      <c r="Z188" t="s">
        <v>452</v>
      </c>
      <c r="AJ188" s="41">
        <v>0</v>
      </c>
      <c r="AL188">
        <f t="shared" si="8"/>
        <v>0</v>
      </c>
      <c r="AM188">
        <f t="shared" si="9"/>
        <v>0</v>
      </c>
      <c r="AN188">
        <f t="shared" si="10"/>
        <v>0</v>
      </c>
    </row>
    <row r="189" spans="1:40" x14ac:dyDescent="0.2">
      <c r="A189">
        <v>13</v>
      </c>
      <c r="B189" t="s">
        <v>453</v>
      </c>
      <c r="C189" s="2">
        <v>0</v>
      </c>
      <c r="D189" s="2">
        <v>0</v>
      </c>
      <c r="E189" s="2">
        <v>0</v>
      </c>
      <c r="G189" t="s">
        <v>1186</v>
      </c>
      <c r="H189" s="2" t="s">
        <v>1191</v>
      </c>
      <c r="I189">
        <v>3</v>
      </c>
      <c r="J189" t="s">
        <v>319</v>
      </c>
      <c r="K189">
        <v>2019</v>
      </c>
      <c r="L189" t="s">
        <v>320</v>
      </c>
      <c r="M189" t="s">
        <v>321</v>
      </c>
      <c r="N189">
        <v>75</v>
      </c>
      <c r="P189" t="s">
        <v>30</v>
      </c>
      <c r="Q189" t="s">
        <v>38</v>
      </c>
      <c r="R189" t="s">
        <v>39</v>
      </c>
      <c r="S189" s="4">
        <v>33.693800000000003</v>
      </c>
      <c r="T189" s="4">
        <v>-116.37090999999999</v>
      </c>
      <c r="U189">
        <v>424</v>
      </c>
      <c r="V189" s="6">
        <f t="shared" si="11"/>
        <v>129.23520000000002</v>
      </c>
      <c r="W189" s="2" t="s">
        <v>2350</v>
      </c>
      <c r="X189" t="s">
        <v>2349</v>
      </c>
      <c r="Y189" t="s">
        <v>454</v>
      </c>
      <c r="Z189" t="s">
        <v>134</v>
      </c>
      <c r="AA189" t="s">
        <v>500</v>
      </c>
      <c r="AJ189" s="41">
        <v>0</v>
      </c>
      <c r="AL189">
        <f t="shared" si="8"/>
        <v>0</v>
      </c>
      <c r="AM189">
        <f t="shared" si="9"/>
        <v>0</v>
      </c>
      <c r="AN189">
        <f t="shared" si="10"/>
        <v>0</v>
      </c>
    </row>
    <row r="190" spans="1:40" x14ac:dyDescent="0.2">
      <c r="A190">
        <v>13</v>
      </c>
      <c r="B190" t="s">
        <v>455</v>
      </c>
      <c r="C190" s="2">
        <v>0</v>
      </c>
      <c r="D190" s="2">
        <v>0</v>
      </c>
      <c r="E190" s="2">
        <v>0</v>
      </c>
      <c r="F190" t="s">
        <v>1186</v>
      </c>
      <c r="G190" t="s">
        <v>1186</v>
      </c>
      <c r="H190" s="2" t="s">
        <v>1191</v>
      </c>
      <c r="I190">
        <v>3</v>
      </c>
      <c r="J190" t="s">
        <v>319</v>
      </c>
      <c r="K190">
        <v>2019</v>
      </c>
      <c r="L190" t="s">
        <v>320</v>
      </c>
      <c r="M190" t="s">
        <v>321</v>
      </c>
      <c r="N190">
        <v>25</v>
      </c>
      <c r="O190">
        <v>2</v>
      </c>
      <c r="P190" t="s">
        <v>37</v>
      </c>
      <c r="R190" t="s">
        <v>89</v>
      </c>
      <c r="S190" s="4">
        <v>33.694130000000001</v>
      </c>
      <c r="T190" s="4">
        <v>-116.37123</v>
      </c>
      <c r="U190">
        <v>417</v>
      </c>
      <c r="V190" s="6">
        <f t="shared" si="11"/>
        <v>127.1016</v>
      </c>
      <c r="W190" s="2" t="s">
        <v>2350</v>
      </c>
      <c r="X190" t="s">
        <v>2349</v>
      </c>
      <c r="Y190" t="s">
        <v>456</v>
      </c>
      <c r="Z190" t="s">
        <v>134</v>
      </c>
      <c r="AA190" t="s">
        <v>501</v>
      </c>
      <c r="AJ190" s="41">
        <v>0</v>
      </c>
      <c r="AL190">
        <f t="shared" si="8"/>
        <v>0</v>
      </c>
      <c r="AM190">
        <f t="shared" si="9"/>
        <v>0</v>
      </c>
      <c r="AN190">
        <f t="shared" si="10"/>
        <v>0</v>
      </c>
    </row>
    <row r="191" spans="1:40" x14ac:dyDescent="0.2">
      <c r="A191">
        <v>13</v>
      </c>
      <c r="B191" t="s">
        <v>457</v>
      </c>
      <c r="C191" s="2">
        <v>0</v>
      </c>
      <c r="D191" s="2">
        <v>0</v>
      </c>
      <c r="E191" s="2">
        <v>0</v>
      </c>
      <c r="G191" t="s">
        <v>1186</v>
      </c>
      <c r="H191" s="2" t="s">
        <v>1191</v>
      </c>
      <c r="I191">
        <v>3</v>
      </c>
      <c r="J191" t="s">
        <v>319</v>
      </c>
      <c r="K191">
        <v>2019</v>
      </c>
      <c r="L191" t="s">
        <v>320</v>
      </c>
      <c r="M191" t="s">
        <v>321</v>
      </c>
      <c r="N191">
        <v>69</v>
      </c>
      <c r="P191" t="s">
        <v>30</v>
      </c>
      <c r="Q191" t="s">
        <v>38</v>
      </c>
      <c r="R191" t="s">
        <v>39</v>
      </c>
      <c r="S191" s="4">
        <v>33.694130000000001</v>
      </c>
      <c r="T191" s="4">
        <v>-116.37123</v>
      </c>
      <c r="U191">
        <v>417</v>
      </c>
      <c r="V191" s="6">
        <f t="shared" si="11"/>
        <v>127.1016</v>
      </c>
      <c r="W191" s="2" t="s">
        <v>2350</v>
      </c>
      <c r="X191" t="s">
        <v>2349</v>
      </c>
      <c r="Y191" t="s">
        <v>456</v>
      </c>
      <c r="Z191" t="s">
        <v>134</v>
      </c>
      <c r="AJ191" s="41">
        <v>0</v>
      </c>
      <c r="AL191">
        <f t="shared" si="8"/>
        <v>0</v>
      </c>
      <c r="AM191">
        <f t="shared" si="9"/>
        <v>0</v>
      </c>
      <c r="AN191">
        <f t="shared" si="10"/>
        <v>0</v>
      </c>
    </row>
    <row r="192" spans="1:40" x14ac:dyDescent="0.2">
      <c r="A192">
        <v>13</v>
      </c>
      <c r="B192" t="s">
        <v>458</v>
      </c>
      <c r="C192" s="2">
        <v>0</v>
      </c>
      <c r="D192" s="2">
        <v>0</v>
      </c>
      <c r="E192" s="2">
        <v>0</v>
      </c>
      <c r="G192" t="s">
        <v>1186</v>
      </c>
      <c r="H192" s="2" t="s">
        <v>1191</v>
      </c>
      <c r="I192">
        <v>3</v>
      </c>
      <c r="J192" t="s">
        <v>319</v>
      </c>
      <c r="K192">
        <v>2019</v>
      </c>
      <c r="L192" t="s">
        <v>320</v>
      </c>
      <c r="M192" t="s">
        <v>321</v>
      </c>
      <c r="N192">
        <v>79.5</v>
      </c>
      <c r="P192" t="s">
        <v>30</v>
      </c>
      <c r="Q192" t="s">
        <v>38</v>
      </c>
      <c r="R192" t="s">
        <v>39</v>
      </c>
      <c r="S192" s="4">
        <v>33.6935</v>
      </c>
      <c r="T192" s="4">
        <v>-116.37063000000001</v>
      </c>
      <c r="U192">
        <v>437</v>
      </c>
      <c r="V192" s="6">
        <f t="shared" si="11"/>
        <v>133.19759999999999</v>
      </c>
      <c r="W192" s="2" t="s">
        <v>2350</v>
      </c>
      <c r="X192" t="s">
        <v>2349</v>
      </c>
      <c r="Y192" t="s">
        <v>459</v>
      </c>
      <c r="Z192" t="s">
        <v>134</v>
      </c>
      <c r="AJ192" s="41">
        <v>0</v>
      </c>
      <c r="AL192">
        <f t="shared" si="8"/>
        <v>0</v>
      </c>
      <c r="AM192">
        <f t="shared" si="9"/>
        <v>0</v>
      </c>
      <c r="AN192">
        <f t="shared" si="10"/>
        <v>0</v>
      </c>
    </row>
    <row r="193" spans="1:40" x14ac:dyDescent="0.2">
      <c r="A193">
        <v>13</v>
      </c>
      <c r="B193" t="s">
        <v>460</v>
      </c>
      <c r="C193" s="2">
        <v>0</v>
      </c>
      <c r="D193" s="2">
        <v>0</v>
      </c>
      <c r="E193" s="2">
        <v>0</v>
      </c>
      <c r="G193" t="s">
        <v>1186</v>
      </c>
      <c r="H193" s="2" t="s">
        <v>1191</v>
      </c>
      <c r="I193">
        <v>3</v>
      </c>
      <c r="J193" t="s">
        <v>319</v>
      </c>
      <c r="K193">
        <v>2019</v>
      </c>
      <c r="L193" t="s">
        <v>302</v>
      </c>
      <c r="M193" t="s">
        <v>321</v>
      </c>
      <c r="N193">
        <v>28.5</v>
      </c>
      <c r="O193">
        <v>8</v>
      </c>
      <c r="P193" t="s">
        <v>37</v>
      </c>
      <c r="R193" t="s">
        <v>89</v>
      </c>
      <c r="S193" s="4">
        <v>33.6935</v>
      </c>
      <c r="T193" s="4">
        <v>-116.37063000000001</v>
      </c>
      <c r="U193">
        <v>437</v>
      </c>
      <c r="V193" s="6">
        <f t="shared" si="11"/>
        <v>133.19759999999999</v>
      </c>
      <c r="W193" s="2" t="s">
        <v>2350</v>
      </c>
      <c r="X193" t="s">
        <v>2349</v>
      </c>
      <c r="Y193" t="s">
        <v>461</v>
      </c>
      <c r="Z193" t="s">
        <v>134</v>
      </c>
      <c r="AA193" t="s">
        <v>502</v>
      </c>
      <c r="AJ193" s="41">
        <v>0</v>
      </c>
      <c r="AL193">
        <f t="shared" si="8"/>
        <v>0</v>
      </c>
      <c r="AM193">
        <f t="shared" si="9"/>
        <v>0</v>
      </c>
      <c r="AN193">
        <f t="shared" si="10"/>
        <v>0</v>
      </c>
    </row>
    <row r="194" spans="1:40" x14ac:dyDescent="0.2">
      <c r="A194">
        <v>13</v>
      </c>
      <c r="B194" t="s">
        <v>462</v>
      </c>
      <c r="C194" s="2">
        <v>0</v>
      </c>
      <c r="D194" s="2">
        <v>0</v>
      </c>
      <c r="E194" s="2">
        <v>0</v>
      </c>
      <c r="G194" t="s">
        <v>1186</v>
      </c>
      <c r="H194" s="2" t="s">
        <v>1191</v>
      </c>
      <c r="I194">
        <v>3</v>
      </c>
      <c r="J194" t="s">
        <v>319</v>
      </c>
      <c r="K194">
        <v>2019</v>
      </c>
      <c r="L194" t="s">
        <v>320</v>
      </c>
      <c r="M194" t="s">
        <v>321</v>
      </c>
      <c r="N194">
        <v>89</v>
      </c>
      <c r="O194" t="s">
        <v>43</v>
      </c>
      <c r="P194" t="s">
        <v>30</v>
      </c>
      <c r="Q194" t="s">
        <v>42</v>
      </c>
      <c r="R194" t="s">
        <v>39</v>
      </c>
      <c r="S194" s="4">
        <v>33.693489999999997</v>
      </c>
      <c r="T194" s="4">
        <v>-116.37063999999999</v>
      </c>
      <c r="U194">
        <v>414</v>
      </c>
      <c r="V194" s="6">
        <f t="shared" si="11"/>
        <v>126.1872</v>
      </c>
      <c r="W194" s="2" t="s">
        <v>2350</v>
      </c>
      <c r="X194" t="s">
        <v>2349</v>
      </c>
      <c r="Y194" t="s">
        <v>463</v>
      </c>
      <c r="Z194" t="s">
        <v>134</v>
      </c>
      <c r="AJ194" s="41">
        <v>0</v>
      </c>
      <c r="AL194">
        <f t="shared" si="8"/>
        <v>0</v>
      </c>
      <c r="AM194">
        <f t="shared" si="9"/>
        <v>0</v>
      </c>
      <c r="AN194">
        <f t="shared" si="10"/>
        <v>0</v>
      </c>
    </row>
    <row r="195" spans="1:40" x14ac:dyDescent="0.2">
      <c r="A195">
        <v>16</v>
      </c>
      <c r="B195" t="s">
        <v>606</v>
      </c>
      <c r="C195" s="2">
        <v>0</v>
      </c>
      <c r="D195" s="2">
        <v>0</v>
      </c>
      <c r="E195" s="2">
        <v>0</v>
      </c>
      <c r="G195" t="s">
        <v>1186</v>
      </c>
      <c r="H195" s="2" t="s">
        <v>1191</v>
      </c>
      <c r="I195">
        <v>7</v>
      </c>
      <c r="J195" t="s">
        <v>319</v>
      </c>
      <c r="K195">
        <v>2019</v>
      </c>
      <c r="L195" t="s">
        <v>32</v>
      </c>
      <c r="M195" t="s">
        <v>578</v>
      </c>
      <c r="N195">
        <v>16</v>
      </c>
      <c r="O195">
        <f>9.5-9.5</f>
        <v>0</v>
      </c>
      <c r="P195" t="s">
        <v>37</v>
      </c>
      <c r="R195" t="s">
        <v>89</v>
      </c>
      <c r="S195" s="4">
        <v>36.387099999999997</v>
      </c>
      <c r="T195" s="4">
        <v>-121.54994000000001</v>
      </c>
      <c r="U195">
        <v>1716</v>
      </c>
      <c r="V195" s="6">
        <f t="shared" si="11"/>
        <v>523.03679999999997</v>
      </c>
      <c r="W195" s="2" t="s">
        <v>31</v>
      </c>
      <c r="X195" t="s">
        <v>2351</v>
      </c>
      <c r="Y195" t="s">
        <v>692</v>
      </c>
      <c r="Z195" t="s">
        <v>698</v>
      </c>
      <c r="AA195" t="s">
        <v>703</v>
      </c>
      <c r="AJ195" s="41">
        <v>0</v>
      </c>
      <c r="AL195">
        <f t="shared" ref="AL195:AL258" si="12">C195*80</f>
        <v>0</v>
      </c>
      <c r="AM195">
        <f t="shared" ref="AM195:AM258" si="13">D195*80</f>
        <v>0</v>
      </c>
      <c r="AN195">
        <f t="shared" ref="AN195:AN258" si="14">E195*80</f>
        <v>0</v>
      </c>
    </row>
    <row r="196" spans="1:40" x14ac:dyDescent="0.2">
      <c r="A196">
        <v>16</v>
      </c>
      <c r="B196" t="s">
        <v>607</v>
      </c>
      <c r="C196" s="2">
        <v>0</v>
      </c>
      <c r="D196" s="2">
        <v>0</v>
      </c>
      <c r="E196" s="2">
        <v>0</v>
      </c>
      <c r="G196" s="9" t="s">
        <v>1186</v>
      </c>
      <c r="H196" s="2" t="s">
        <v>1191</v>
      </c>
      <c r="I196">
        <v>7</v>
      </c>
      <c r="J196" t="s">
        <v>319</v>
      </c>
      <c r="K196">
        <v>2019</v>
      </c>
      <c r="L196" t="s">
        <v>33</v>
      </c>
      <c r="M196" t="s">
        <v>578</v>
      </c>
      <c r="N196">
        <v>77</v>
      </c>
      <c r="O196">
        <f>82.5-19</f>
        <v>63.5</v>
      </c>
      <c r="P196" t="s">
        <v>30</v>
      </c>
      <c r="Q196" t="s">
        <v>42</v>
      </c>
      <c r="R196" t="s">
        <v>39</v>
      </c>
      <c r="S196" s="4">
        <v>36.387099999999997</v>
      </c>
      <c r="T196" s="4">
        <v>-121.54994000000001</v>
      </c>
      <c r="U196">
        <v>1716</v>
      </c>
      <c r="V196" s="6">
        <f t="shared" si="11"/>
        <v>523.03679999999997</v>
      </c>
      <c r="W196" s="2" t="s">
        <v>31</v>
      </c>
      <c r="X196" t="s">
        <v>2351</v>
      </c>
      <c r="Y196" t="s">
        <v>76</v>
      </c>
      <c r="Z196" t="s">
        <v>699</v>
      </c>
      <c r="AA196" t="s">
        <v>704</v>
      </c>
      <c r="AJ196" s="41">
        <v>0</v>
      </c>
      <c r="AL196">
        <f t="shared" si="12"/>
        <v>0</v>
      </c>
      <c r="AM196">
        <f t="shared" si="13"/>
        <v>0</v>
      </c>
      <c r="AN196">
        <f t="shared" si="14"/>
        <v>0</v>
      </c>
    </row>
    <row r="197" spans="1:40" x14ac:dyDescent="0.2">
      <c r="A197">
        <v>16</v>
      </c>
      <c r="B197" t="s">
        <v>608</v>
      </c>
      <c r="C197">
        <v>0.68040293455123901</v>
      </c>
      <c r="D197" s="2">
        <v>0.44271278381347656</v>
      </c>
      <c r="E197" s="2">
        <v>0.49998486042022705</v>
      </c>
      <c r="G197" t="s">
        <v>1186</v>
      </c>
      <c r="H197" s="2" t="s">
        <v>1191</v>
      </c>
      <c r="I197">
        <v>7</v>
      </c>
      <c r="J197" t="s">
        <v>319</v>
      </c>
      <c r="K197">
        <v>2019</v>
      </c>
      <c r="L197" t="s">
        <v>32</v>
      </c>
      <c r="M197" t="s">
        <v>578</v>
      </c>
      <c r="N197">
        <v>15.5</v>
      </c>
      <c r="O197">
        <f>11-10.5</f>
        <v>0.5</v>
      </c>
      <c r="P197" t="s">
        <v>37</v>
      </c>
      <c r="R197" t="s">
        <v>89</v>
      </c>
      <c r="S197" s="4">
        <v>36.387099999999997</v>
      </c>
      <c r="T197" s="4">
        <v>-121.54994000000001</v>
      </c>
      <c r="U197">
        <v>1716</v>
      </c>
      <c r="V197" s="6">
        <f t="shared" si="11"/>
        <v>523.03679999999997</v>
      </c>
      <c r="W197" s="2" t="s">
        <v>31</v>
      </c>
      <c r="X197" t="s">
        <v>2351</v>
      </c>
      <c r="Y197" t="s">
        <v>101</v>
      </c>
      <c r="Z197" t="s">
        <v>698</v>
      </c>
      <c r="AA197" t="s">
        <v>705</v>
      </c>
      <c r="AJ197" s="41">
        <v>0</v>
      </c>
      <c r="AL197">
        <f t="shared" si="12"/>
        <v>54.432234764099121</v>
      </c>
      <c r="AM197">
        <f t="shared" si="13"/>
        <v>35.417022705078125</v>
      </c>
      <c r="AN197">
        <f t="shared" si="14"/>
        <v>39.998788833618164</v>
      </c>
    </row>
    <row r="198" spans="1:40" x14ac:dyDescent="0.2">
      <c r="A198">
        <v>16</v>
      </c>
      <c r="B198" t="s">
        <v>609</v>
      </c>
      <c r="C198" s="2">
        <v>0</v>
      </c>
      <c r="D198" s="2">
        <v>0</v>
      </c>
      <c r="E198" s="2">
        <v>0</v>
      </c>
      <c r="G198" t="s">
        <v>1186</v>
      </c>
      <c r="H198" s="2" t="s">
        <v>1191</v>
      </c>
      <c r="I198">
        <v>7</v>
      </c>
      <c r="J198" t="s">
        <v>319</v>
      </c>
      <c r="K198">
        <v>2019</v>
      </c>
      <c r="L198" t="s">
        <v>32</v>
      </c>
      <c r="M198" t="s">
        <v>578</v>
      </c>
      <c r="N198">
        <v>16</v>
      </c>
      <c r="O198">
        <f>20.5-19.5</f>
        <v>1</v>
      </c>
      <c r="P198" t="s">
        <v>41</v>
      </c>
      <c r="R198" t="s">
        <v>89</v>
      </c>
      <c r="S198" s="4">
        <v>36.387099999999997</v>
      </c>
      <c r="T198" s="4">
        <v>-121.54994000000001</v>
      </c>
      <c r="U198">
        <v>1716</v>
      </c>
      <c r="V198" s="6">
        <f t="shared" si="11"/>
        <v>523.03679999999997</v>
      </c>
      <c r="W198" s="2" t="s">
        <v>31</v>
      </c>
      <c r="X198" t="s">
        <v>2351</v>
      </c>
      <c r="Y198" t="s">
        <v>79</v>
      </c>
      <c r="Z198" t="s">
        <v>700</v>
      </c>
      <c r="AA198" t="s">
        <v>706</v>
      </c>
      <c r="AJ198" s="41">
        <v>0</v>
      </c>
      <c r="AL198">
        <f t="shared" si="12"/>
        <v>0</v>
      </c>
      <c r="AM198">
        <f t="shared" si="13"/>
        <v>0</v>
      </c>
      <c r="AN198">
        <f t="shared" si="14"/>
        <v>0</v>
      </c>
    </row>
    <row r="199" spans="1:40" s="11" customFormat="1" x14ac:dyDescent="0.2">
      <c r="A199" s="11">
        <v>16</v>
      </c>
      <c r="B199" s="11" t="s">
        <v>610</v>
      </c>
      <c r="G199" s="11" t="s">
        <v>1186</v>
      </c>
      <c r="H199" s="11" t="s">
        <v>1191</v>
      </c>
      <c r="I199" s="11">
        <v>7</v>
      </c>
      <c r="J199" s="11" t="s">
        <v>319</v>
      </c>
      <c r="K199" s="11">
        <v>2019</v>
      </c>
      <c r="L199" s="11" t="s">
        <v>32</v>
      </c>
      <c r="M199" s="11" t="s">
        <v>578</v>
      </c>
      <c r="R199" s="11" t="s">
        <v>89</v>
      </c>
      <c r="S199" s="23">
        <v>36.387099999999997</v>
      </c>
      <c r="T199" s="23">
        <v>-121.54994000000001</v>
      </c>
      <c r="U199" s="11">
        <v>1716</v>
      </c>
      <c r="V199" s="24">
        <f t="shared" si="11"/>
        <v>523.03679999999997</v>
      </c>
      <c r="W199" s="11" t="s">
        <v>31</v>
      </c>
      <c r="X199" s="11" t="s">
        <v>2351</v>
      </c>
      <c r="Y199" s="11" t="s">
        <v>587</v>
      </c>
      <c r="Z199" s="11" t="s">
        <v>701</v>
      </c>
      <c r="AJ199" s="41">
        <v>0</v>
      </c>
      <c r="AL199">
        <f t="shared" si="12"/>
        <v>0</v>
      </c>
      <c r="AM199">
        <f t="shared" si="13"/>
        <v>0</v>
      </c>
      <c r="AN199">
        <f t="shared" si="14"/>
        <v>0</v>
      </c>
    </row>
    <row r="200" spans="1:40" x14ac:dyDescent="0.2">
      <c r="A200">
        <v>16</v>
      </c>
      <c r="B200" t="s">
        <v>611</v>
      </c>
      <c r="C200" s="2">
        <v>0</v>
      </c>
      <c r="D200">
        <v>2.5346115231513977E-2</v>
      </c>
      <c r="E200" s="2">
        <v>0</v>
      </c>
      <c r="G200" t="s">
        <v>1186</v>
      </c>
      <c r="H200" s="2" t="s">
        <v>1191</v>
      </c>
      <c r="I200">
        <v>7</v>
      </c>
      <c r="J200" t="s">
        <v>319</v>
      </c>
      <c r="K200">
        <v>2019</v>
      </c>
      <c r="L200" t="s">
        <v>32</v>
      </c>
      <c r="M200" t="s">
        <v>578</v>
      </c>
      <c r="N200">
        <v>15</v>
      </c>
      <c r="O200">
        <v>0.5</v>
      </c>
      <c r="P200" t="s">
        <v>37</v>
      </c>
      <c r="R200" t="s">
        <v>89</v>
      </c>
      <c r="S200" s="4">
        <v>36.387099999999997</v>
      </c>
      <c r="T200" s="4">
        <v>-121.54994000000001</v>
      </c>
      <c r="U200">
        <v>1716</v>
      </c>
      <c r="V200" s="6">
        <f t="shared" si="11"/>
        <v>523.03679999999997</v>
      </c>
      <c r="W200" s="2" t="s">
        <v>31</v>
      </c>
      <c r="X200" t="s">
        <v>2351</v>
      </c>
      <c r="Y200" t="s">
        <v>84</v>
      </c>
      <c r="AA200" t="s">
        <v>707</v>
      </c>
      <c r="AJ200" s="41">
        <v>0</v>
      </c>
      <c r="AL200">
        <f t="shared" si="12"/>
        <v>0</v>
      </c>
      <c r="AM200">
        <f t="shared" si="13"/>
        <v>2.0276892185211182</v>
      </c>
      <c r="AN200">
        <f t="shared" si="14"/>
        <v>0</v>
      </c>
    </row>
    <row r="201" spans="1:40" x14ac:dyDescent="0.2">
      <c r="A201">
        <v>16</v>
      </c>
      <c r="B201" t="s">
        <v>612</v>
      </c>
      <c r="C201" s="2">
        <v>0</v>
      </c>
      <c r="D201" s="2">
        <v>0</v>
      </c>
      <c r="E201" s="2">
        <v>0</v>
      </c>
      <c r="G201" s="9" t="s">
        <v>1186</v>
      </c>
      <c r="H201" s="2" t="s">
        <v>1191</v>
      </c>
      <c r="I201">
        <v>7</v>
      </c>
      <c r="J201" t="s">
        <v>319</v>
      </c>
      <c r="K201">
        <v>2019</v>
      </c>
      <c r="L201" t="s">
        <v>32</v>
      </c>
      <c r="M201" t="s">
        <v>578</v>
      </c>
      <c r="N201">
        <v>15</v>
      </c>
      <c r="O201">
        <v>0.5</v>
      </c>
      <c r="P201" t="s">
        <v>37</v>
      </c>
      <c r="R201" t="s">
        <v>89</v>
      </c>
      <c r="S201" s="4">
        <v>36.387099999999997</v>
      </c>
      <c r="T201" s="4">
        <v>-121.54994000000001</v>
      </c>
      <c r="U201">
        <v>1716</v>
      </c>
      <c r="V201" s="6">
        <f t="shared" si="11"/>
        <v>523.03679999999997</v>
      </c>
      <c r="W201" s="2" t="s">
        <v>31</v>
      </c>
      <c r="X201" t="s">
        <v>2351</v>
      </c>
      <c r="Y201" t="s">
        <v>84</v>
      </c>
      <c r="AA201" t="s">
        <v>708</v>
      </c>
      <c r="AJ201" s="41">
        <v>0</v>
      </c>
      <c r="AL201">
        <f t="shared" si="12"/>
        <v>0</v>
      </c>
      <c r="AM201">
        <f t="shared" si="13"/>
        <v>0</v>
      </c>
      <c r="AN201">
        <f t="shared" si="14"/>
        <v>0</v>
      </c>
    </row>
    <row r="202" spans="1:40" x14ac:dyDescent="0.2">
      <c r="A202">
        <v>16</v>
      </c>
      <c r="B202" t="s">
        <v>613</v>
      </c>
      <c r="C202" s="2">
        <v>0</v>
      </c>
      <c r="D202" s="2">
        <v>0</v>
      </c>
      <c r="E202" s="2">
        <v>0</v>
      </c>
      <c r="G202" t="s">
        <v>1186</v>
      </c>
      <c r="H202" s="2" t="s">
        <v>1191</v>
      </c>
      <c r="I202">
        <v>7</v>
      </c>
      <c r="J202" t="s">
        <v>319</v>
      </c>
      <c r="K202">
        <v>2019</v>
      </c>
      <c r="L202" t="s">
        <v>32</v>
      </c>
      <c r="M202" t="s">
        <v>578</v>
      </c>
      <c r="N202">
        <v>16</v>
      </c>
      <c r="O202">
        <v>0.5</v>
      </c>
      <c r="P202" t="s">
        <v>37</v>
      </c>
      <c r="R202" t="s">
        <v>89</v>
      </c>
      <c r="S202" s="4">
        <v>36.387099999999997</v>
      </c>
      <c r="T202" s="4">
        <v>-121.54994000000001</v>
      </c>
      <c r="U202">
        <v>1716</v>
      </c>
      <c r="V202" s="6">
        <f t="shared" si="11"/>
        <v>523.03679999999997</v>
      </c>
      <c r="W202" s="2" t="s">
        <v>31</v>
      </c>
      <c r="X202" t="s">
        <v>2351</v>
      </c>
      <c r="Y202" t="s">
        <v>84</v>
      </c>
      <c r="Z202" t="s">
        <v>700</v>
      </c>
      <c r="AA202" t="s">
        <v>709</v>
      </c>
      <c r="AJ202" s="41">
        <v>0</v>
      </c>
      <c r="AL202">
        <f t="shared" si="12"/>
        <v>0</v>
      </c>
      <c r="AM202">
        <f t="shared" si="13"/>
        <v>0</v>
      </c>
      <c r="AN202">
        <f t="shared" si="14"/>
        <v>0</v>
      </c>
    </row>
    <row r="203" spans="1:40" x14ac:dyDescent="0.2">
      <c r="A203">
        <v>16</v>
      </c>
      <c r="B203" t="s">
        <v>614</v>
      </c>
      <c r="C203">
        <v>1.2340917587280273</v>
      </c>
      <c r="D203">
        <v>0.395808726549149</v>
      </c>
      <c r="E203">
        <v>0.30660369992256165</v>
      </c>
      <c r="G203" t="s">
        <v>1186</v>
      </c>
      <c r="H203" s="2" t="s">
        <v>1191</v>
      </c>
      <c r="I203">
        <v>7</v>
      </c>
      <c r="J203" t="s">
        <v>319</v>
      </c>
      <c r="K203">
        <v>2019</v>
      </c>
      <c r="L203" t="s">
        <v>32</v>
      </c>
      <c r="M203" t="s">
        <v>578</v>
      </c>
      <c r="N203">
        <v>17</v>
      </c>
      <c r="O203">
        <v>1</v>
      </c>
      <c r="P203" t="s">
        <v>37</v>
      </c>
      <c r="R203" t="s">
        <v>89</v>
      </c>
      <c r="S203" s="4">
        <v>36.387099999999997</v>
      </c>
      <c r="T203" s="4">
        <v>-121.54994000000001</v>
      </c>
      <c r="U203">
        <v>1716</v>
      </c>
      <c r="V203" s="6">
        <f t="shared" si="11"/>
        <v>523.03679999999997</v>
      </c>
      <c r="W203" s="2" t="s">
        <v>31</v>
      </c>
      <c r="X203" t="s">
        <v>2351</v>
      </c>
      <c r="Y203" t="s">
        <v>87</v>
      </c>
      <c r="AA203" t="s">
        <v>710</v>
      </c>
      <c r="AJ203" s="41">
        <v>0</v>
      </c>
      <c r="AL203">
        <f t="shared" si="12"/>
        <v>98.727340698242188</v>
      </c>
      <c r="AM203">
        <f t="shared" si="13"/>
        <v>31.66469812393192</v>
      </c>
      <c r="AN203">
        <f t="shared" si="14"/>
        <v>24.528295993804932</v>
      </c>
    </row>
    <row r="204" spans="1:40" x14ac:dyDescent="0.2">
      <c r="A204">
        <v>16</v>
      </c>
      <c r="B204" t="s">
        <v>615</v>
      </c>
      <c r="C204" s="2">
        <v>0</v>
      </c>
      <c r="D204" s="2">
        <v>0</v>
      </c>
      <c r="E204" s="2">
        <v>0</v>
      </c>
      <c r="G204" t="s">
        <v>1186</v>
      </c>
      <c r="H204" s="2" t="s">
        <v>1191</v>
      </c>
      <c r="I204">
        <v>7</v>
      </c>
      <c r="J204" t="s">
        <v>319</v>
      </c>
      <c r="K204">
        <v>2019</v>
      </c>
      <c r="L204" t="s">
        <v>32</v>
      </c>
      <c r="M204" t="s">
        <v>578</v>
      </c>
      <c r="N204">
        <v>12.5</v>
      </c>
      <c r="O204">
        <f>22.5-22.5</f>
        <v>0</v>
      </c>
      <c r="P204" t="s">
        <v>37</v>
      </c>
      <c r="R204" t="s">
        <v>89</v>
      </c>
      <c r="S204" s="4">
        <v>36.387099999999997</v>
      </c>
      <c r="T204" s="4">
        <v>-121.54994000000001</v>
      </c>
      <c r="U204">
        <v>1716</v>
      </c>
      <c r="V204" s="6">
        <f t="shared" si="11"/>
        <v>523.03679999999997</v>
      </c>
      <c r="W204" s="2" t="s">
        <v>31</v>
      </c>
      <c r="X204" t="s">
        <v>2351</v>
      </c>
      <c r="Y204" t="s">
        <v>693</v>
      </c>
      <c r="AA204" t="s">
        <v>711</v>
      </c>
      <c r="AJ204" s="41">
        <v>0</v>
      </c>
      <c r="AL204">
        <f t="shared" si="12"/>
        <v>0</v>
      </c>
      <c r="AM204">
        <f t="shared" si="13"/>
        <v>0</v>
      </c>
      <c r="AN204">
        <f t="shared" si="14"/>
        <v>0</v>
      </c>
    </row>
    <row r="205" spans="1:40" x14ac:dyDescent="0.2">
      <c r="A205">
        <v>16</v>
      </c>
      <c r="B205" t="s">
        <v>616</v>
      </c>
      <c r="C205" s="18">
        <v>0.42841800000000002</v>
      </c>
      <c r="D205">
        <v>0.13340896368026733</v>
      </c>
      <c r="E205">
        <v>0.15309420228004456</v>
      </c>
      <c r="G205" t="s">
        <v>1186</v>
      </c>
      <c r="H205" s="2" t="s">
        <v>1191</v>
      </c>
      <c r="I205">
        <v>7</v>
      </c>
      <c r="J205" t="s">
        <v>319</v>
      </c>
      <c r="K205">
        <v>2019</v>
      </c>
      <c r="L205" t="s">
        <v>32</v>
      </c>
      <c r="M205" t="s">
        <v>578</v>
      </c>
      <c r="N205">
        <v>13.5</v>
      </c>
      <c r="O205">
        <v>0.5</v>
      </c>
      <c r="P205" t="s">
        <v>37</v>
      </c>
      <c r="R205" t="s">
        <v>89</v>
      </c>
      <c r="S205" s="4">
        <v>36.387099999999997</v>
      </c>
      <c r="T205" s="4">
        <v>-121.54994000000001</v>
      </c>
      <c r="U205">
        <v>1716</v>
      </c>
      <c r="V205" s="6">
        <f t="shared" si="11"/>
        <v>523.03679999999997</v>
      </c>
      <c r="W205" s="2" t="s">
        <v>31</v>
      </c>
      <c r="X205" t="s">
        <v>2351</v>
      </c>
      <c r="Y205" t="s">
        <v>693</v>
      </c>
      <c r="Z205" t="s">
        <v>700</v>
      </c>
      <c r="AA205" t="s">
        <v>712</v>
      </c>
      <c r="AJ205" s="41">
        <v>0</v>
      </c>
      <c r="AL205">
        <f t="shared" si="12"/>
        <v>34.273440000000001</v>
      </c>
      <c r="AM205">
        <f t="shared" si="13"/>
        <v>10.672717094421387</v>
      </c>
      <c r="AN205">
        <f t="shared" si="14"/>
        <v>12.247536182403564</v>
      </c>
    </row>
    <row r="206" spans="1:40" x14ac:dyDescent="0.2">
      <c r="A206">
        <v>16</v>
      </c>
      <c r="B206" t="s">
        <v>617</v>
      </c>
      <c r="C206" s="2">
        <v>0</v>
      </c>
      <c r="D206">
        <v>2.7214612811803818E-2</v>
      </c>
      <c r="E206">
        <v>9.5331981778144836E-2</v>
      </c>
      <c r="G206" t="s">
        <v>1186</v>
      </c>
      <c r="H206" s="2" t="s">
        <v>1191</v>
      </c>
      <c r="I206">
        <v>7</v>
      </c>
      <c r="J206" t="s">
        <v>319</v>
      </c>
      <c r="K206">
        <v>2019</v>
      </c>
      <c r="L206" t="s">
        <v>32</v>
      </c>
      <c r="M206" t="s">
        <v>578</v>
      </c>
      <c r="N206">
        <v>17</v>
      </c>
      <c r="O206">
        <v>0.5</v>
      </c>
      <c r="P206" t="s">
        <v>37</v>
      </c>
      <c r="R206" t="s">
        <v>89</v>
      </c>
      <c r="S206" s="4">
        <v>36.387099999999997</v>
      </c>
      <c r="T206" s="4">
        <v>-121.54994000000001</v>
      </c>
      <c r="U206">
        <v>1716</v>
      </c>
      <c r="V206" s="6">
        <f t="shared" si="11"/>
        <v>523.03679999999997</v>
      </c>
      <c r="W206" s="2" t="s">
        <v>31</v>
      </c>
      <c r="X206" t="s">
        <v>2351</v>
      </c>
      <c r="Y206" t="s">
        <v>694</v>
      </c>
      <c r="Z206" t="s">
        <v>702</v>
      </c>
      <c r="AA206" t="s">
        <v>713</v>
      </c>
      <c r="AJ206" s="41">
        <v>0</v>
      </c>
      <c r="AL206">
        <f t="shared" si="12"/>
        <v>0</v>
      </c>
      <c r="AM206">
        <f t="shared" si="13"/>
        <v>2.1771690249443054</v>
      </c>
      <c r="AN206">
        <f t="shared" si="14"/>
        <v>7.6265585422515869</v>
      </c>
    </row>
    <row r="207" spans="1:40" x14ac:dyDescent="0.2">
      <c r="A207">
        <v>16</v>
      </c>
      <c r="B207" t="s">
        <v>618</v>
      </c>
      <c r="C207">
        <v>2.1653578281402588</v>
      </c>
      <c r="D207">
        <v>0.33684426546096802</v>
      </c>
      <c r="E207">
        <v>0.77327382564544678</v>
      </c>
      <c r="G207" t="s">
        <v>1186</v>
      </c>
      <c r="H207" s="2" t="s">
        <v>1191</v>
      </c>
      <c r="I207">
        <v>7</v>
      </c>
      <c r="J207" t="s">
        <v>319</v>
      </c>
      <c r="K207">
        <v>2019</v>
      </c>
      <c r="L207" t="s">
        <v>32</v>
      </c>
      <c r="M207" t="s">
        <v>578</v>
      </c>
      <c r="N207">
        <v>15.5</v>
      </c>
      <c r="O207">
        <v>0.5</v>
      </c>
      <c r="P207" t="s">
        <v>37</v>
      </c>
      <c r="R207" t="s">
        <v>89</v>
      </c>
      <c r="S207" s="4">
        <v>36.387099999999997</v>
      </c>
      <c r="T207" s="4">
        <v>-121.54994000000001</v>
      </c>
      <c r="U207">
        <v>1716</v>
      </c>
      <c r="V207" s="6">
        <f t="shared" si="11"/>
        <v>523.03679999999997</v>
      </c>
      <c r="W207" s="2" t="s">
        <v>31</v>
      </c>
      <c r="X207" t="s">
        <v>2351</v>
      </c>
      <c r="Y207" t="s">
        <v>695</v>
      </c>
      <c r="AA207" t="s">
        <v>714</v>
      </c>
      <c r="AJ207" s="41">
        <v>0</v>
      </c>
      <c r="AL207">
        <f t="shared" si="12"/>
        <v>173.2286262512207</v>
      </c>
      <c r="AM207">
        <f t="shared" si="13"/>
        <v>26.947541236877441</v>
      </c>
      <c r="AN207">
        <f t="shared" si="14"/>
        <v>61.861906051635742</v>
      </c>
    </row>
    <row r="208" spans="1:40" x14ac:dyDescent="0.2">
      <c r="A208">
        <v>16</v>
      </c>
      <c r="B208" t="s">
        <v>619</v>
      </c>
      <c r="C208">
        <v>1.2129716873168945</v>
      </c>
      <c r="D208">
        <v>0.73074907064437866</v>
      </c>
      <c r="E208">
        <v>0.38649842143058777</v>
      </c>
      <c r="G208" t="s">
        <v>1186</v>
      </c>
      <c r="H208" s="2" t="s">
        <v>1191</v>
      </c>
      <c r="I208">
        <v>7</v>
      </c>
      <c r="J208" t="s">
        <v>319</v>
      </c>
      <c r="K208">
        <v>2019</v>
      </c>
      <c r="L208" t="s">
        <v>32</v>
      </c>
      <c r="M208" t="s">
        <v>578</v>
      </c>
      <c r="N208">
        <v>15</v>
      </c>
      <c r="O208">
        <f>9-9</f>
        <v>0</v>
      </c>
      <c r="P208" t="s">
        <v>37</v>
      </c>
      <c r="R208" t="s">
        <v>89</v>
      </c>
      <c r="S208" s="4">
        <v>36.387099999999997</v>
      </c>
      <c r="T208" s="4">
        <v>-121.54994000000001</v>
      </c>
      <c r="U208">
        <v>1716</v>
      </c>
      <c r="V208" s="6">
        <f t="shared" si="11"/>
        <v>523.03679999999997</v>
      </c>
      <c r="W208" s="2" t="s">
        <v>31</v>
      </c>
      <c r="X208" t="s">
        <v>2351</v>
      </c>
      <c r="Y208" t="s">
        <v>311</v>
      </c>
      <c r="AA208" t="s">
        <v>715</v>
      </c>
      <c r="AJ208" s="41">
        <v>0</v>
      </c>
      <c r="AL208">
        <f t="shared" si="12"/>
        <v>97.037734985351562</v>
      </c>
      <c r="AM208">
        <f t="shared" si="13"/>
        <v>58.459925651550293</v>
      </c>
      <c r="AN208">
        <f t="shared" si="14"/>
        <v>30.919873714447021</v>
      </c>
    </row>
    <row r="209" spans="1:40" x14ac:dyDescent="0.2">
      <c r="A209">
        <v>16</v>
      </c>
      <c r="B209" t="s">
        <v>620</v>
      </c>
      <c r="C209">
        <v>0.10586261004209518</v>
      </c>
      <c r="D209">
        <v>2.8118299320340157E-2</v>
      </c>
      <c r="E209">
        <v>0</v>
      </c>
      <c r="G209" t="s">
        <v>1186</v>
      </c>
      <c r="H209" s="2" t="s">
        <v>1191</v>
      </c>
      <c r="I209">
        <v>7</v>
      </c>
      <c r="J209" t="s">
        <v>319</v>
      </c>
      <c r="K209">
        <v>2019</v>
      </c>
      <c r="L209" t="s">
        <v>32</v>
      </c>
      <c r="M209" t="s">
        <v>578</v>
      </c>
      <c r="N209">
        <v>14</v>
      </c>
      <c r="O209">
        <v>0</v>
      </c>
      <c r="P209" t="s">
        <v>37</v>
      </c>
      <c r="R209" t="s">
        <v>89</v>
      </c>
      <c r="S209" s="4">
        <v>36.387099999999997</v>
      </c>
      <c r="T209" s="4">
        <v>-121.54994000000001</v>
      </c>
      <c r="U209">
        <v>1716</v>
      </c>
      <c r="V209" s="6">
        <f t="shared" si="11"/>
        <v>523.03679999999997</v>
      </c>
      <c r="W209" s="2" t="s">
        <v>31</v>
      </c>
      <c r="X209" t="s">
        <v>2351</v>
      </c>
      <c r="Y209" t="s">
        <v>696</v>
      </c>
      <c r="Z209" t="s">
        <v>700</v>
      </c>
      <c r="AA209" t="s">
        <v>716</v>
      </c>
      <c r="AJ209" s="41">
        <v>0</v>
      </c>
      <c r="AL209">
        <f t="shared" si="12"/>
        <v>8.4690088033676147</v>
      </c>
      <c r="AM209">
        <f t="shared" si="13"/>
        <v>2.2494639456272125</v>
      </c>
      <c r="AN209">
        <f t="shared" si="14"/>
        <v>0</v>
      </c>
    </row>
    <row r="210" spans="1:40" x14ac:dyDescent="0.2">
      <c r="A210">
        <v>16</v>
      </c>
      <c r="B210" t="s">
        <v>621</v>
      </c>
      <c r="C210">
        <v>2.2662646770477295</v>
      </c>
      <c r="D210">
        <v>1.3879445791244507</v>
      </c>
      <c r="E210">
        <v>0.61199122667312622</v>
      </c>
      <c r="G210" t="s">
        <v>1186</v>
      </c>
      <c r="H210" s="2" t="s">
        <v>1191</v>
      </c>
      <c r="I210">
        <v>7</v>
      </c>
      <c r="J210" t="s">
        <v>319</v>
      </c>
      <c r="K210">
        <v>2019</v>
      </c>
      <c r="L210" t="s">
        <v>32</v>
      </c>
      <c r="M210" t="s">
        <v>578</v>
      </c>
      <c r="N210">
        <v>11</v>
      </c>
      <c r="O210">
        <f>9-9</f>
        <v>0</v>
      </c>
      <c r="P210" t="s">
        <v>37</v>
      </c>
      <c r="R210" t="s">
        <v>89</v>
      </c>
      <c r="S210" s="4">
        <v>36.387099999999997</v>
      </c>
      <c r="T210" s="4">
        <v>-121.54994000000001</v>
      </c>
      <c r="U210">
        <v>1716</v>
      </c>
      <c r="V210" s="6">
        <f t="shared" si="11"/>
        <v>523.03679999999997</v>
      </c>
      <c r="W210" s="2" t="s">
        <v>31</v>
      </c>
      <c r="X210" t="s">
        <v>2351</v>
      </c>
      <c r="Y210" t="s">
        <v>697</v>
      </c>
      <c r="AA210" t="s">
        <v>717</v>
      </c>
      <c r="AJ210" s="41">
        <v>0</v>
      </c>
      <c r="AL210">
        <f t="shared" si="12"/>
        <v>181.30117416381836</v>
      </c>
      <c r="AM210">
        <f t="shared" si="13"/>
        <v>111.03556632995605</v>
      </c>
      <c r="AN210">
        <f t="shared" si="14"/>
        <v>48.959298133850098</v>
      </c>
    </row>
    <row r="211" spans="1:40" x14ac:dyDescent="0.2">
      <c r="A211">
        <v>16</v>
      </c>
      <c r="B211" t="s">
        <v>622</v>
      </c>
      <c r="C211">
        <v>2.2765207290649414</v>
      </c>
      <c r="D211">
        <v>0.48970276117324829</v>
      </c>
      <c r="E211">
        <v>0.59199237823486328</v>
      </c>
      <c r="G211" t="s">
        <v>1186</v>
      </c>
      <c r="H211" s="2" t="s">
        <v>1191</v>
      </c>
      <c r="I211">
        <v>7</v>
      </c>
      <c r="J211" t="s">
        <v>319</v>
      </c>
      <c r="K211">
        <v>2019</v>
      </c>
      <c r="L211" t="s">
        <v>32</v>
      </c>
      <c r="M211" t="s">
        <v>578</v>
      </c>
      <c r="N211">
        <v>15</v>
      </c>
      <c r="O211">
        <v>0</v>
      </c>
      <c r="P211" t="s">
        <v>37</v>
      </c>
      <c r="R211" t="s">
        <v>89</v>
      </c>
      <c r="S211" s="4">
        <v>36.387099999999997</v>
      </c>
      <c r="T211" s="4">
        <v>-121.54994000000001</v>
      </c>
      <c r="U211">
        <v>1716</v>
      </c>
      <c r="V211" s="6">
        <f t="shared" si="11"/>
        <v>523.03679999999997</v>
      </c>
      <c r="W211" s="2" t="s">
        <v>31</v>
      </c>
      <c r="X211" t="s">
        <v>2351</v>
      </c>
      <c r="Y211" t="s">
        <v>696</v>
      </c>
      <c r="AA211" t="s">
        <v>718</v>
      </c>
      <c r="AJ211" s="41">
        <v>0</v>
      </c>
      <c r="AL211">
        <f t="shared" si="12"/>
        <v>182.12165832519531</v>
      </c>
      <c r="AM211">
        <f t="shared" si="13"/>
        <v>39.176220893859863</v>
      </c>
      <c r="AN211">
        <f t="shared" si="14"/>
        <v>47.359390258789062</v>
      </c>
    </row>
    <row r="212" spans="1:40" x14ac:dyDescent="0.2">
      <c r="A212">
        <v>16</v>
      </c>
      <c r="B212" t="s">
        <v>623</v>
      </c>
      <c r="C212" s="2">
        <v>0</v>
      </c>
      <c r="D212">
        <v>0</v>
      </c>
      <c r="E212">
        <v>0</v>
      </c>
      <c r="G212" s="9" t="s">
        <v>1186</v>
      </c>
      <c r="H212" s="2" t="s">
        <v>1191</v>
      </c>
      <c r="I212">
        <v>7</v>
      </c>
      <c r="J212" t="s">
        <v>319</v>
      </c>
      <c r="K212">
        <v>2019</v>
      </c>
      <c r="L212" t="s">
        <v>32</v>
      </c>
      <c r="M212" t="s">
        <v>578</v>
      </c>
      <c r="N212">
        <v>15.5</v>
      </c>
      <c r="O212">
        <v>0.5</v>
      </c>
      <c r="P212" t="s">
        <v>37</v>
      </c>
      <c r="R212" t="s">
        <v>89</v>
      </c>
      <c r="S212" s="4">
        <v>36.387099999999997</v>
      </c>
      <c r="T212" s="4">
        <v>-121.54994000000001</v>
      </c>
      <c r="U212">
        <v>1716</v>
      </c>
      <c r="V212" s="6">
        <f t="shared" si="11"/>
        <v>523.03679999999997</v>
      </c>
      <c r="W212" s="2" t="s">
        <v>31</v>
      </c>
      <c r="X212" t="s">
        <v>2351</v>
      </c>
      <c r="Y212" t="s">
        <v>696</v>
      </c>
      <c r="AA212" t="s">
        <v>719</v>
      </c>
      <c r="AJ212" s="41">
        <v>0</v>
      </c>
      <c r="AL212">
        <f t="shared" si="12"/>
        <v>0</v>
      </c>
      <c r="AM212">
        <f t="shared" si="13"/>
        <v>0</v>
      </c>
      <c r="AN212">
        <f t="shared" si="14"/>
        <v>0</v>
      </c>
    </row>
    <row r="213" spans="1:40" x14ac:dyDescent="0.2">
      <c r="A213">
        <v>16</v>
      </c>
      <c r="B213" t="s">
        <v>624</v>
      </c>
      <c r="C213">
        <v>0.485875904560089</v>
      </c>
      <c r="D213">
        <v>0.35420271754264832</v>
      </c>
      <c r="E213">
        <v>8.7777130305767059E-2</v>
      </c>
      <c r="G213" t="s">
        <v>1186</v>
      </c>
      <c r="H213" s="2" t="s">
        <v>1191</v>
      </c>
      <c r="I213">
        <v>7</v>
      </c>
      <c r="J213" t="s">
        <v>319</v>
      </c>
      <c r="K213">
        <v>2019</v>
      </c>
      <c r="L213" t="s">
        <v>32</v>
      </c>
      <c r="M213" t="s">
        <v>578</v>
      </c>
      <c r="N213">
        <v>16</v>
      </c>
      <c r="O213">
        <v>0</v>
      </c>
      <c r="P213" t="s">
        <v>37</v>
      </c>
      <c r="R213" t="s">
        <v>89</v>
      </c>
      <c r="S213" s="4">
        <v>36.387099999999997</v>
      </c>
      <c r="T213" s="4">
        <v>-121.54994000000001</v>
      </c>
      <c r="U213">
        <v>1716</v>
      </c>
      <c r="V213" s="6">
        <f t="shared" si="11"/>
        <v>523.03679999999997</v>
      </c>
      <c r="W213" s="2" t="s">
        <v>31</v>
      </c>
      <c r="X213" t="s">
        <v>2351</v>
      </c>
      <c r="Y213" t="s">
        <v>577</v>
      </c>
      <c r="Z213" t="s">
        <v>700</v>
      </c>
      <c r="AA213" t="s">
        <v>720</v>
      </c>
      <c r="AJ213" s="41">
        <v>0</v>
      </c>
      <c r="AL213">
        <f t="shared" si="12"/>
        <v>38.870072364807122</v>
      </c>
      <c r="AM213">
        <f t="shared" si="13"/>
        <v>28.336217403411865</v>
      </c>
      <c r="AN213">
        <f t="shared" si="14"/>
        <v>7.0221704244613647</v>
      </c>
    </row>
    <row r="214" spans="1:40" x14ac:dyDescent="0.2">
      <c r="A214">
        <v>18</v>
      </c>
      <c r="B214" t="s">
        <v>625</v>
      </c>
      <c r="C214" s="2">
        <v>0</v>
      </c>
      <c r="D214">
        <v>0</v>
      </c>
      <c r="E214">
        <v>5.600806325674057E-2</v>
      </c>
      <c r="G214" t="s">
        <v>1186</v>
      </c>
      <c r="H214" s="2" t="s">
        <v>1191</v>
      </c>
      <c r="I214">
        <v>8</v>
      </c>
      <c r="J214" t="s">
        <v>319</v>
      </c>
      <c r="K214">
        <v>2019</v>
      </c>
      <c r="L214" t="s">
        <v>32</v>
      </c>
      <c r="M214" t="s">
        <v>578</v>
      </c>
      <c r="N214">
        <v>24</v>
      </c>
      <c r="O214">
        <v>1</v>
      </c>
      <c r="P214" t="s">
        <v>37</v>
      </c>
      <c r="Q214" t="s">
        <v>42</v>
      </c>
      <c r="R214" t="s">
        <v>39</v>
      </c>
      <c r="S214" s="4">
        <v>36.3767</v>
      </c>
      <c r="T214" s="4">
        <v>-121.56155</v>
      </c>
      <c r="U214">
        <v>1552</v>
      </c>
      <c r="V214" s="6">
        <f t="shared" si="11"/>
        <v>473.0496</v>
      </c>
      <c r="W214" s="2" t="s">
        <v>31</v>
      </c>
      <c r="X214" t="s">
        <v>2352</v>
      </c>
      <c r="Y214" t="s">
        <v>693</v>
      </c>
      <c r="Z214" t="s">
        <v>721</v>
      </c>
      <c r="AA214" t="s">
        <v>723</v>
      </c>
      <c r="AJ214" s="41">
        <v>0</v>
      </c>
      <c r="AL214">
        <f t="shared" si="12"/>
        <v>0</v>
      </c>
      <c r="AM214">
        <f t="shared" si="13"/>
        <v>0</v>
      </c>
      <c r="AN214">
        <f t="shared" si="14"/>
        <v>4.4806450605392456</v>
      </c>
    </row>
    <row r="215" spans="1:40" x14ac:dyDescent="0.2">
      <c r="A215">
        <v>18</v>
      </c>
      <c r="B215" t="s">
        <v>626</v>
      </c>
      <c r="C215">
        <v>4.8750114440917969</v>
      </c>
      <c r="D215">
        <v>1.4925554990768433</v>
      </c>
      <c r="E215">
        <v>1.6737933158874512</v>
      </c>
      <c r="G215" t="s">
        <v>1186</v>
      </c>
      <c r="H215" s="2" t="s">
        <v>1191</v>
      </c>
      <c r="I215">
        <v>8</v>
      </c>
      <c r="J215" t="s">
        <v>319</v>
      </c>
      <c r="K215">
        <v>2019</v>
      </c>
      <c r="L215" t="s">
        <v>32</v>
      </c>
      <c r="M215" t="s">
        <v>578</v>
      </c>
      <c r="N215">
        <v>33</v>
      </c>
      <c r="O215">
        <f>38.5-35.5</f>
        <v>3</v>
      </c>
      <c r="P215" t="s">
        <v>37</v>
      </c>
      <c r="Q215" t="s">
        <v>38</v>
      </c>
      <c r="R215" t="s">
        <v>39</v>
      </c>
      <c r="S215" s="4">
        <v>36.3767</v>
      </c>
      <c r="T215" s="4">
        <v>-121.56155</v>
      </c>
      <c r="U215">
        <v>1552</v>
      </c>
      <c r="V215" s="6">
        <f t="shared" si="11"/>
        <v>473.0496</v>
      </c>
      <c r="W215" s="2" t="s">
        <v>31</v>
      </c>
      <c r="X215" t="s">
        <v>2352</v>
      </c>
      <c r="Y215" t="s">
        <v>577</v>
      </c>
      <c r="Z215" t="s">
        <v>722</v>
      </c>
      <c r="AA215" t="s">
        <v>724</v>
      </c>
      <c r="AJ215" s="41">
        <v>0</v>
      </c>
      <c r="AL215">
        <f t="shared" si="12"/>
        <v>390.00091552734375</v>
      </c>
      <c r="AM215">
        <f t="shared" si="13"/>
        <v>119.40443992614746</v>
      </c>
      <c r="AN215">
        <f t="shared" si="14"/>
        <v>133.90346527099609</v>
      </c>
    </row>
    <row r="216" spans="1:40" x14ac:dyDescent="0.2">
      <c r="A216">
        <v>18</v>
      </c>
      <c r="B216" t="s">
        <v>627</v>
      </c>
      <c r="C216">
        <v>16.680789947509766</v>
      </c>
      <c r="D216">
        <v>4.8884997367858887</v>
      </c>
      <c r="E216">
        <v>3.4668385982513428</v>
      </c>
      <c r="G216" t="s">
        <v>1186</v>
      </c>
      <c r="H216" s="2" t="s">
        <v>1191</v>
      </c>
      <c r="I216">
        <v>8</v>
      </c>
      <c r="J216" t="s">
        <v>319</v>
      </c>
      <c r="K216">
        <v>2019</v>
      </c>
      <c r="L216" t="s">
        <v>32</v>
      </c>
      <c r="M216" t="s">
        <v>578</v>
      </c>
      <c r="N216">
        <v>22</v>
      </c>
      <c r="O216">
        <v>1</v>
      </c>
      <c r="P216" t="s">
        <v>37</v>
      </c>
      <c r="Q216" t="s">
        <v>42</v>
      </c>
      <c r="R216" t="s">
        <v>39</v>
      </c>
      <c r="S216" s="4">
        <v>36.3767</v>
      </c>
      <c r="T216" s="4">
        <v>-121.56155</v>
      </c>
      <c r="U216">
        <v>1552</v>
      </c>
      <c r="V216" s="6">
        <f t="shared" si="11"/>
        <v>473.0496</v>
      </c>
      <c r="W216" s="2" t="s">
        <v>31</v>
      </c>
      <c r="X216" t="s">
        <v>2352</v>
      </c>
      <c r="Y216" t="s">
        <v>580</v>
      </c>
      <c r="AA216" t="s">
        <v>725</v>
      </c>
      <c r="AJ216" s="41">
        <v>0</v>
      </c>
      <c r="AL216">
        <f t="shared" si="12"/>
        <v>1334.4631958007812</v>
      </c>
      <c r="AM216">
        <f t="shared" si="13"/>
        <v>391.07997894287109</v>
      </c>
      <c r="AN216">
        <f t="shared" si="14"/>
        <v>277.34708786010742</v>
      </c>
    </row>
    <row r="217" spans="1:40" x14ac:dyDescent="0.2">
      <c r="A217">
        <v>20</v>
      </c>
      <c r="B217" t="s">
        <v>628</v>
      </c>
      <c r="C217">
        <v>0.11000343412160873</v>
      </c>
      <c r="D217">
        <v>0</v>
      </c>
      <c r="E217">
        <v>0</v>
      </c>
      <c r="G217" s="9" t="s">
        <v>1186</v>
      </c>
      <c r="H217" s="2" t="s">
        <v>1191</v>
      </c>
      <c r="I217">
        <v>9</v>
      </c>
      <c r="J217" t="s">
        <v>319</v>
      </c>
      <c r="K217">
        <v>2019</v>
      </c>
      <c r="L217" t="s">
        <v>32</v>
      </c>
      <c r="M217" t="s">
        <v>578</v>
      </c>
      <c r="N217">
        <v>25</v>
      </c>
      <c r="O217">
        <f>20.5-17</f>
        <v>3.5</v>
      </c>
      <c r="P217" t="s">
        <v>37</v>
      </c>
      <c r="Q217" t="s">
        <v>42</v>
      </c>
      <c r="R217" t="s">
        <v>39</v>
      </c>
      <c r="S217" s="4">
        <v>36.37923</v>
      </c>
      <c r="T217" s="4">
        <v>-121.56601999999999</v>
      </c>
      <c r="U217">
        <v>1540</v>
      </c>
      <c r="V217" s="6">
        <f t="shared" si="11"/>
        <v>469.392</v>
      </c>
      <c r="W217" s="2" t="s">
        <v>31</v>
      </c>
      <c r="X217" t="s">
        <v>2353</v>
      </c>
      <c r="Y217" t="s">
        <v>459</v>
      </c>
      <c r="AA217" t="s">
        <v>728</v>
      </c>
      <c r="AJ217" s="41">
        <v>0</v>
      </c>
      <c r="AL217">
        <f t="shared" si="12"/>
        <v>8.8002747297286987</v>
      </c>
      <c r="AM217">
        <f t="shared" si="13"/>
        <v>0</v>
      </c>
      <c r="AN217">
        <f t="shared" si="14"/>
        <v>0</v>
      </c>
    </row>
    <row r="218" spans="1:40" x14ac:dyDescent="0.2">
      <c r="A218">
        <v>20</v>
      </c>
      <c r="B218" t="s">
        <v>629</v>
      </c>
      <c r="C218">
        <v>3.4372744560241699</v>
      </c>
      <c r="D218">
        <v>0.99447113275527954</v>
      </c>
      <c r="E218">
        <v>0.57554888725280762</v>
      </c>
      <c r="G218" s="9" t="s">
        <v>1186</v>
      </c>
      <c r="H218" s="2" t="s">
        <v>1191</v>
      </c>
      <c r="I218">
        <v>9</v>
      </c>
      <c r="J218" t="s">
        <v>319</v>
      </c>
      <c r="K218">
        <v>2019</v>
      </c>
      <c r="L218" t="s">
        <v>691</v>
      </c>
      <c r="M218" t="s">
        <v>578</v>
      </c>
      <c r="N218">
        <v>69</v>
      </c>
      <c r="O218">
        <f>87.5-45.5</f>
        <v>42</v>
      </c>
      <c r="P218" t="s">
        <v>30</v>
      </c>
      <c r="R218" t="s">
        <v>89</v>
      </c>
      <c r="S218" s="4">
        <v>36.37923</v>
      </c>
      <c r="T218" s="4">
        <v>-121.56601999999999</v>
      </c>
      <c r="U218">
        <v>1540</v>
      </c>
      <c r="V218" s="6">
        <f t="shared" si="11"/>
        <v>469.392</v>
      </c>
      <c r="W218" s="2" t="s">
        <v>31</v>
      </c>
      <c r="X218" t="s">
        <v>2353</v>
      </c>
      <c r="Y218" t="s">
        <v>363</v>
      </c>
      <c r="AA218" t="s">
        <v>729</v>
      </c>
      <c r="AJ218" s="41">
        <v>0</v>
      </c>
      <c r="AL218">
        <f t="shared" si="12"/>
        <v>274.98195648193359</v>
      </c>
      <c r="AM218">
        <f t="shared" si="13"/>
        <v>79.557690620422363</v>
      </c>
      <c r="AN218">
        <f t="shared" si="14"/>
        <v>46.043910980224609</v>
      </c>
    </row>
    <row r="219" spans="1:40" x14ac:dyDescent="0.2">
      <c r="A219">
        <v>21</v>
      </c>
      <c r="B219" t="s">
        <v>630</v>
      </c>
      <c r="C219">
        <v>22.631311416625977</v>
      </c>
      <c r="D219">
        <v>7.6303286552429199</v>
      </c>
      <c r="E219">
        <v>6.036433219909668</v>
      </c>
      <c r="G219" t="s">
        <v>1186</v>
      </c>
      <c r="H219" s="2" t="s">
        <v>1191</v>
      </c>
      <c r="I219">
        <v>9</v>
      </c>
      <c r="J219" t="s">
        <v>319</v>
      </c>
      <c r="K219">
        <v>2019</v>
      </c>
      <c r="L219" t="s">
        <v>32</v>
      </c>
      <c r="M219" t="s">
        <v>578</v>
      </c>
      <c r="N219">
        <v>21.5</v>
      </c>
      <c r="O219">
        <v>1</v>
      </c>
      <c r="P219" t="s">
        <v>37</v>
      </c>
      <c r="Q219" s="2"/>
      <c r="R219" s="45" t="s">
        <v>39</v>
      </c>
      <c r="S219" s="4">
        <v>36.382579999999997</v>
      </c>
      <c r="T219" s="4">
        <v>-121.55844999999999</v>
      </c>
      <c r="U219">
        <v>1631</v>
      </c>
      <c r="V219" s="6">
        <f t="shared" si="11"/>
        <v>497.12880000000001</v>
      </c>
      <c r="W219" s="2" t="s">
        <v>31</v>
      </c>
      <c r="X219" t="s">
        <v>2354</v>
      </c>
      <c r="Y219" t="s">
        <v>726</v>
      </c>
      <c r="AA219" t="s">
        <v>730</v>
      </c>
      <c r="AJ219" s="41">
        <v>0</v>
      </c>
      <c r="AL219">
        <f t="shared" si="12"/>
        <v>1810.5049133300781</v>
      </c>
      <c r="AM219">
        <f t="shared" si="13"/>
        <v>610.42629241943359</v>
      </c>
      <c r="AN219">
        <f t="shared" si="14"/>
        <v>482.91465759277344</v>
      </c>
    </row>
    <row r="220" spans="1:40" x14ac:dyDescent="0.2">
      <c r="A220">
        <v>21</v>
      </c>
      <c r="B220" t="s">
        <v>631</v>
      </c>
      <c r="C220">
        <v>17.952474594116211</v>
      </c>
      <c r="D220">
        <v>4.5841007232666016</v>
      </c>
      <c r="E220">
        <v>4.544499397277832</v>
      </c>
      <c r="G220" t="s">
        <v>1186</v>
      </c>
      <c r="H220" s="2" t="s">
        <v>1191</v>
      </c>
      <c r="I220">
        <v>9</v>
      </c>
      <c r="J220" t="s">
        <v>319</v>
      </c>
      <c r="K220">
        <v>2019</v>
      </c>
      <c r="L220" t="s">
        <v>33</v>
      </c>
      <c r="M220" t="s">
        <v>578</v>
      </c>
      <c r="N220">
        <v>70</v>
      </c>
      <c r="O220">
        <v>35</v>
      </c>
      <c r="P220" t="s">
        <v>30</v>
      </c>
      <c r="Q220" t="s">
        <v>42</v>
      </c>
      <c r="R220" t="s">
        <v>39</v>
      </c>
      <c r="S220" s="4">
        <v>36.387099999999997</v>
      </c>
      <c r="T220" s="4">
        <v>-121.55</v>
      </c>
      <c r="U220">
        <v>1779</v>
      </c>
      <c r="V220" s="6">
        <f t="shared" si="11"/>
        <v>542.23919999999998</v>
      </c>
      <c r="W220" s="2" t="s">
        <v>31</v>
      </c>
      <c r="X220" t="s">
        <v>2355</v>
      </c>
      <c r="Y220" s="2" t="s">
        <v>581</v>
      </c>
      <c r="Z220" t="s">
        <v>727</v>
      </c>
      <c r="AA220" t="s">
        <v>731</v>
      </c>
      <c r="AJ220" s="41">
        <v>0</v>
      </c>
      <c r="AL220">
        <f t="shared" si="12"/>
        <v>1436.1979675292969</v>
      </c>
      <c r="AM220">
        <f t="shared" si="13"/>
        <v>366.72805786132812</v>
      </c>
      <c r="AN220">
        <f t="shared" si="14"/>
        <v>363.55995178222656</v>
      </c>
    </row>
    <row r="221" spans="1:40" x14ac:dyDescent="0.2">
      <c r="A221">
        <v>23</v>
      </c>
      <c r="B221" t="s">
        <v>632</v>
      </c>
      <c r="C221" s="2">
        <v>0</v>
      </c>
      <c r="D221">
        <v>0</v>
      </c>
      <c r="E221">
        <v>0</v>
      </c>
      <c r="G221" t="s">
        <v>1186</v>
      </c>
      <c r="H221" s="2" t="s">
        <v>1191</v>
      </c>
      <c r="I221">
        <v>17</v>
      </c>
      <c r="J221" t="s">
        <v>319</v>
      </c>
      <c r="K221">
        <v>2019</v>
      </c>
      <c r="L221" t="s">
        <v>137</v>
      </c>
      <c r="M221" t="s">
        <v>594</v>
      </c>
      <c r="N221">
        <v>28</v>
      </c>
      <c r="O221">
        <v>2</v>
      </c>
      <c r="P221" t="s">
        <v>30</v>
      </c>
      <c r="Q221" t="s">
        <v>42</v>
      </c>
      <c r="R221" t="s">
        <v>39</v>
      </c>
      <c r="S221" s="4">
        <v>39.425339999999998</v>
      </c>
      <c r="T221" s="4">
        <v>-120.28497</v>
      </c>
      <c r="U221">
        <v>7065</v>
      </c>
      <c r="V221" s="6">
        <f t="shared" si="11"/>
        <v>2153.4120000000003</v>
      </c>
      <c r="W221" t="s">
        <v>2331</v>
      </c>
      <c r="X221" t="s">
        <v>732</v>
      </c>
      <c r="Y221" t="s">
        <v>733</v>
      </c>
      <c r="AA221" t="s">
        <v>734</v>
      </c>
      <c r="AJ221" s="41">
        <v>0</v>
      </c>
      <c r="AL221">
        <f t="shared" si="12"/>
        <v>0</v>
      </c>
      <c r="AM221">
        <f t="shared" si="13"/>
        <v>0</v>
      </c>
      <c r="AN221">
        <f t="shared" si="14"/>
        <v>0</v>
      </c>
    </row>
    <row r="222" spans="1:40" x14ac:dyDescent="0.2">
      <c r="A222">
        <v>26</v>
      </c>
      <c r="B222" t="s">
        <v>633</v>
      </c>
      <c r="C222">
        <v>0.12019981443881989</v>
      </c>
      <c r="D222">
        <v>0</v>
      </c>
      <c r="E222">
        <v>0</v>
      </c>
      <c r="G222" t="s">
        <v>1186</v>
      </c>
      <c r="H222" s="2" t="s">
        <v>1191</v>
      </c>
      <c r="I222">
        <v>18</v>
      </c>
      <c r="J222" t="s">
        <v>319</v>
      </c>
      <c r="K222">
        <v>2019</v>
      </c>
      <c r="L222" t="s">
        <v>137</v>
      </c>
      <c r="M222" t="s">
        <v>594</v>
      </c>
      <c r="N222">
        <v>40</v>
      </c>
      <c r="O222">
        <f>11.5-6.5</f>
        <v>5</v>
      </c>
      <c r="P222" t="s">
        <v>30</v>
      </c>
      <c r="Q222" t="s">
        <v>42</v>
      </c>
      <c r="R222" t="s">
        <v>39</v>
      </c>
      <c r="S222" s="4">
        <v>39.432029999999997</v>
      </c>
      <c r="T222" s="4">
        <v>-120.2405</v>
      </c>
      <c r="U222">
        <v>6355</v>
      </c>
      <c r="V222" s="6">
        <f t="shared" si="11"/>
        <v>1937.0040000000001</v>
      </c>
      <c r="W222" t="s">
        <v>2331</v>
      </c>
      <c r="X222" t="s">
        <v>2356</v>
      </c>
      <c r="Y222" t="s">
        <v>596</v>
      </c>
      <c r="AA222" t="s">
        <v>735</v>
      </c>
      <c r="AJ222" s="41">
        <v>0</v>
      </c>
      <c r="AL222">
        <f t="shared" si="12"/>
        <v>9.6159851551055908</v>
      </c>
      <c r="AM222">
        <f t="shared" si="13"/>
        <v>0</v>
      </c>
      <c r="AN222">
        <f t="shared" si="14"/>
        <v>0</v>
      </c>
    </row>
    <row r="223" spans="1:40" x14ac:dyDescent="0.2">
      <c r="A223">
        <v>26</v>
      </c>
      <c r="B223" t="s">
        <v>634</v>
      </c>
      <c r="C223" s="2">
        <v>0</v>
      </c>
      <c r="D223">
        <v>0</v>
      </c>
      <c r="E223">
        <v>0</v>
      </c>
      <c r="G223" t="s">
        <v>1186</v>
      </c>
      <c r="H223" s="2" t="s">
        <v>1191</v>
      </c>
      <c r="I223">
        <v>18</v>
      </c>
      <c r="J223" t="s">
        <v>319</v>
      </c>
      <c r="K223">
        <v>2019</v>
      </c>
      <c r="L223" t="s">
        <v>137</v>
      </c>
      <c r="M223" t="s">
        <v>594</v>
      </c>
      <c r="N223">
        <v>26</v>
      </c>
      <c r="O223">
        <v>2</v>
      </c>
      <c r="P223" t="s">
        <v>37</v>
      </c>
      <c r="Q223" t="s">
        <v>42</v>
      </c>
      <c r="R223" t="s">
        <v>39</v>
      </c>
      <c r="S223" s="4">
        <v>39.431750000000001</v>
      </c>
      <c r="T223" s="4">
        <v>-120.24072</v>
      </c>
      <c r="U223">
        <v>6397</v>
      </c>
      <c r="V223" s="6">
        <f t="shared" si="11"/>
        <v>1949.8056000000001</v>
      </c>
      <c r="W223" t="s">
        <v>2358</v>
      </c>
      <c r="X223" t="s">
        <v>2357</v>
      </c>
      <c r="Y223" t="s">
        <v>604</v>
      </c>
      <c r="AA223" t="s">
        <v>736</v>
      </c>
      <c r="AJ223" s="41">
        <v>0</v>
      </c>
      <c r="AL223">
        <f t="shared" si="12"/>
        <v>0</v>
      </c>
      <c r="AM223">
        <f t="shared" si="13"/>
        <v>0</v>
      </c>
      <c r="AN223">
        <f t="shared" si="14"/>
        <v>0</v>
      </c>
    </row>
    <row r="224" spans="1:40" x14ac:dyDescent="0.2">
      <c r="A224">
        <v>29</v>
      </c>
      <c r="B224" t="s">
        <v>635</v>
      </c>
      <c r="C224" s="2">
        <v>0</v>
      </c>
      <c r="D224">
        <v>0</v>
      </c>
      <c r="E224">
        <v>0</v>
      </c>
      <c r="G224" t="s">
        <v>1186</v>
      </c>
      <c r="H224" s="2" t="s">
        <v>1191</v>
      </c>
      <c r="I224">
        <v>19</v>
      </c>
      <c r="J224" t="s">
        <v>319</v>
      </c>
      <c r="K224">
        <v>2019</v>
      </c>
      <c r="L224" t="s">
        <v>137</v>
      </c>
      <c r="M224" t="s">
        <v>594</v>
      </c>
      <c r="N224">
        <v>35.5</v>
      </c>
      <c r="O224">
        <f>10.5-7</f>
        <v>3.5</v>
      </c>
      <c r="P224" t="s">
        <v>30</v>
      </c>
      <c r="Q224" t="s">
        <v>38</v>
      </c>
      <c r="R224" t="s">
        <v>39</v>
      </c>
      <c r="S224" s="4">
        <v>39.431750000000001</v>
      </c>
      <c r="T224" s="4">
        <v>-120.24072</v>
      </c>
      <c r="U224">
        <v>6397</v>
      </c>
      <c r="V224" s="6">
        <f t="shared" si="11"/>
        <v>1949.8056000000001</v>
      </c>
      <c r="W224" t="s">
        <v>2358</v>
      </c>
      <c r="X224" t="s">
        <v>2359</v>
      </c>
      <c r="Y224" t="s">
        <v>686</v>
      </c>
      <c r="AA224" t="s">
        <v>738</v>
      </c>
      <c r="AJ224" s="41">
        <v>0</v>
      </c>
      <c r="AL224">
        <f t="shared" si="12"/>
        <v>0</v>
      </c>
      <c r="AM224">
        <f t="shared" si="13"/>
        <v>0</v>
      </c>
      <c r="AN224">
        <f t="shared" si="14"/>
        <v>0</v>
      </c>
    </row>
    <row r="225" spans="1:40" x14ac:dyDescent="0.2">
      <c r="A225">
        <v>29</v>
      </c>
      <c r="B225" t="s">
        <v>636</v>
      </c>
      <c r="C225" s="2">
        <v>0</v>
      </c>
      <c r="D225">
        <v>0</v>
      </c>
      <c r="E225">
        <v>0</v>
      </c>
      <c r="G225" t="s">
        <v>1186</v>
      </c>
      <c r="H225" s="2" t="s">
        <v>1191</v>
      </c>
      <c r="I225">
        <v>19</v>
      </c>
      <c r="J225" t="s">
        <v>319</v>
      </c>
      <c r="K225">
        <v>2019</v>
      </c>
      <c r="L225" t="s">
        <v>137</v>
      </c>
      <c r="M225" t="s">
        <v>594</v>
      </c>
      <c r="N225">
        <v>41.5</v>
      </c>
      <c r="O225">
        <f>13-6</f>
        <v>7</v>
      </c>
      <c r="P225" t="s">
        <v>37</v>
      </c>
      <c r="Q225" t="s">
        <v>42</v>
      </c>
      <c r="R225" t="s">
        <v>39</v>
      </c>
      <c r="S225" s="4">
        <v>39.431750000000001</v>
      </c>
      <c r="T225" s="4">
        <v>-120.24072</v>
      </c>
      <c r="U225">
        <v>6397</v>
      </c>
      <c r="V225" s="6">
        <f t="shared" si="11"/>
        <v>1949.8056000000001</v>
      </c>
      <c r="W225" t="s">
        <v>2358</v>
      </c>
      <c r="X225" t="s">
        <v>2357</v>
      </c>
      <c r="Y225" t="s">
        <v>187</v>
      </c>
      <c r="Z225" t="s">
        <v>737</v>
      </c>
      <c r="AA225" t="s">
        <v>739</v>
      </c>
      <c r="AJ225" s="41">
        <v>0</v>
      </c>
      <c r="AL225">
        <f t="shared" si="12"/>
        <v>0</v>
      </c>
      <c r="AM225">
        <f t="shared" si="13"/>
        <v>0</v>
      </c>
      <c r="AN225">
        <f t="shared" si="14"/>
        <v>0</v>
      </c>
    </row>
    <row r="226" spans="1:40" x14ac:dyDescent="0.2">
      <c r="A226">
        <v>30</v>
      </c>
      <c r="B226" t="s">
        <v>637</v>
      </c>
      <c r="C226">
        <v>3.0096352100372314</v>
      </c>
      <c r="D226">
        <v>0.69144821166992188</v>
      </c>
      <c r="E226">
        <v>0.88157588243484497</v>
      </c>
      <c r="G226" t="s">
        <v>1186</v>
      </c>
      <c r="H226" s="2" t="s">
        <v>1191</v>
      </c>
      <c r="I226">
        <v>21</v>
      </c>
      <c r="J226" t="s">
        <v>319</v>
      </c>
      <c r="K226">
        <v>2019</v>
      </c>
      <c r="L226" t="s">
        <v>32</v>
      </c>
      <c r="M226" t="s">
        <v>759</v>
      </c>
      <c r="N226">
        <v>34</v>
      </c>
      <c r="O226">
        <f>17-12</f>
        <v>5</v>
      </c>
      <c r="P226" t="s">
        <v>30</v>
      </c>
      <c r="Q226" t="s">
        <v>38</v>
      </c>
      <c r="R226" t="s">
        <v>39</v>
      </c>
      <c r="S226" s="4">
        <v>39.740029999999997</v>
      </c>
      <c r="T226" s="4">
        <v>-123.63226</v>
      </c>
      <c r="U226">
        <v>1271</v>
      </c>
      <c r="V226" s="6">
        <f t="shared" si="11"/>
        <v>387.4008</v>
      </c>
      <c r="W226" t="s">
        <v>2360</v>
      </c>
      <c r="X226" t="s">
        <v>2362</v>
      </c>
      <c r="Y226" t="s">
        <v>750</v>
      </c>
      <c r="Z226" t="s">
        <v>760</v>
      </c>
      <c r="AA226" t="s">
        <v>761</v>
      </c>
      <c r="AJ226" s="41">
        <v>0</v>
      </c>
      <c r="AL226">
        <f t="shared" si="12"/>
        <v>240.77081680297852</v>
      </c>
      <c r="AM226">
        <f t="shared" si="13"/>
        <v>55.31585693359375</v>
      </c>
      <c r="AN226">
        <f t="shared" si="14"/>
        <v>70.526070594787598</v>
      </c>
    </row>
    <row r="227" spans="1:40" x14ac:dyDescent="0.2">
      <c r="A227">
        <v>30</v>
      </c>
      <c r="B227" t="s">
        <v>638</v>
      </c>
      <c r="C227" s="2">
        <v>0</v>
      </c>
      <c r="D227">
        <v>0</v>
      </c>
      <c r="E227">
        <v>0</v>
      </c>
      <c r="G227" t="s">
        <v>1186</v>
      </c>
      <c r="H227" s="2" t="s">
        <v>1191</v>
      </c>
      <c r="I227">
        <v>21</v>
      </c>
      <c r="J227" t="s">
        <v>319</v>
      </c>
      <c r="K227">
        <v>2019</v>
      </c>
      <c r="L227" t="s">
        <v>758</v>
      </c>
      <c r="M227" t="s">
        <v>759</v>
      </c>
      <c r="N227">
        <v>46</v>
      </c>
      <c r="O227">
        <f>29-18</f>
        <v>11</v>
      </c>
      <c r="P227" t="s">
        <v>37</v>
      </c>
      <c r="Q227" t="s">
        <v>38</v>
      </c>
      <c r="R227" t="s">
        <v>39</v>
      </c>
      <c r="S227" s="4">
        <v>39.739870000000003</v>
      </c>
      <c r="T227" s="4">
        <v>-123.63213</v>
      </c>
      <c r="U227">
        <v>1270</v>
      </c>
      <c r="V227" s="6">
        <f t="shared" si="11"/>
        <v>387.096</v>
      </c>
      <c r="W227" t="s">
        <v>2360</v>
      </c>
      <c r="X227" t="s">
        <v>2362</v>
      </c>
      <c r="Y227" t="s">
        <v>751</v>
      </c>
      <c r="AA227" t="s">
        <v>762</v>
      </c>
      <c r="AJ227" s="41">
        <v>0</v>
      </c>
      <c r="AL227">
        <f t="shared" si="12"/>
        <v>0</v>
      </c>
      <c r="AM227">
        <f t="shared" si="13"/>
        <v>0</v>
      </c>
      <c r="AN227">
        <f t="shared" si="14"/>
        <v>0</v>
      </c>
    </row>
    <row r="228" spans="1:40" x14ac:dyDescent="0.2">
      <c r="A228">
        <v>30</v>
      </c>
      <c r="B228" t="s">
        <v>639</v>
      </c>
      <c r="C228" s="2">
        <v>0</v>
      </c>
      <c r="D228">
        <v>0</v>
      </c>
      <c r="E228">
        <v>0</v>
      </c>
      <c r="G228" t="s">
        <v>1186</v>
      </c>
      <c r="H228" s="2" t="s">
        <v>1191</v>
      </c>
      <c r="I228">
        <v>21</v>
      </c>
      <c r="J228" t="s">
        <v>319</v>
      </c>
      <c r="K228">
        <v>2019</v>
      </c>
      <c r="L228" t="s">
        <v>758</v>
      </c>
      <c r="M228" t="s">
        <v>759</v>
      </c>
      <c r="N228">
        <v>38</v>
      </c>
      <c r="O228">
        <f>24-18</f>
        <v>6</v>
      </c>
      <c r="P228" t="s">
        <v>30</v>
      </c>
      <c r="Q228" s="2" t="s">
        <v>42</v>
      </c>
      <c r="R228" s="2" t="s">
        <v>39</v>
      </c>
      <c r="S228" s="4">
        <v>39.739849999999997</v>
      </c>
      <c r="T228" s="4">
        <v>-123.63213</v>
      </c>
      <c r="U228">
        <v>1267</v>
      </c>
      <c r="V228" s="6">
        <f t="shared" si="11"/>
        <v>386.1816</v>
      </c>
      <c r="W228" t="s">
        <v>2360</v>
      </c>
      <c r="X228" t="s">
        <v>2362</v>
      </c>
      <c r="Y228" t="s">
        <v>752</v>
      </c>
      <c r="AA228" t="s">
        <v>763</v>
      </c>
      <c r="AJ228" s="41">
        <v>0</v>
      </c>
      <c r="AL228">
        <f t="shared" si="12"/>
        <v>0</v>
      </c>
      <c r="AM228">
        <f t="shared" si="13"/>
        <v>0</v>
      </c>
      <c r="AN228">
        <f t="shared" si="14"/>
        <v>0</v>
      </c>
    </row>
    <row r="229" spans="1:40" x14ac:dyDescent="0.2">
      <c r="A229">
        <v>30</v>
      </c>
      <c r="B229" t="s">
        <v>640</v>
      </c>
      <c r="C229" s="2">
        <v>0</v>
      </c>
      <c r="D229">
        <v>0</v>
      </c>
      <c r="E229">
        <v>0</v>
      </c>
      <c r="G229" t="s">
        <v>1186</v>
      </c>
      <c r="H229" s="2" t="s">
        <v>1191</v>
      </c>
      <c r="I229">
        <v>21</v>
      </c>
      <c r="J229" t="s">
        <v>319</v>
      </c>
      <c r="K229">
        <v>2019</v>
      </c>
      <c r="L229" t="s">
        <v>32</v>
      </c>
      <c r="M229" t="s">
        <v>759</v>
      </c>
      <c r="N229">
        <v>34</v>
      </c>
      <c r="O229">
        <f>22-17.5</f>
        <v>4.5</v>
      </c>
      <c r="P229" t="s">
        <v>30</v>
      </c>
      <c r="Q229" t="s">
        <v>38</v>
      </c>
      <c r="R229" t="s">
        <v>39</v>
      </c>
      <c r="S229" s="4">
        <v>39.739620000000002</v>
      </c>
      <c r="T229" s="4">
        <v>-123.63232000000001</v>
      </c>
      <c r="U229">
        <v>1263</v>
      </c>
      <c r="V229" s="6">
        <f t="shared" si="11"/>
        <v>384.9624</v>
      </c>
      <c r="W229" t="s">
        <v>2360</v>
      </c>
      <c r="X229" t="s">
        <v>2362</v>
      </c>
      <c r="Y229" t="s">
        <v>753</v>
      </c>
      <c r="AA229" t="s">
        <v>764</v>
      </c>
      <c r="AJ229" s="41">
        <v>0</v>
      </c>
      <c r="AL229">
        <f t="shared" si="12"/>
        <v>0</v>
      </c>
      <c r="AM229">
        <f t="shared" si="13"/>
        <v>0</v>
      </c>
      <c r="AN229">
        <f t="shared" si="14"/>
        <v>0</v>
      </c>
    </row>
    <row r="230" spans="1:40" x14ac:dyDescent="0.2">
      <c r="A230">
        <v>30</v>
      </c>
      <c r="B230" t="s">
        <v>641</v>
      </c>
      <c r="C230">
        <v>4.4676241874694824</v>
      </c>
      <c r="D230">
        <v>4.4919486045837402</v>
      </c>
      <c r="E230">
        <v>5.0089373588562012</v>
      </c>
      <c r="G230" t="s">
        <v>1186</v>
      </c>
      <c r="H230" s="2" t="s">
        <v>1191</v>
      </c>
      <c r="I230">
        <v>21</v>
      </c>
      <c r="J230" t="s">
        <v>319</v>
      </c>
      <c r="K230">
        <v>2019</v>
      </c>
      <c r="L230" t="s">
        <v>32</v>
      </c>
      <c r="M230" t="s">
        <v>759</v>
      </c>
      <c r="N230">
        <v>33</v>
      </c>
      <c r="O230">
        <f>21.5-18</f>
        <v>3.5</v>
      </c>
      <c r="P230" t="s">
        <v>37</v>
      </c>
      <c r="Q230" t="s">
        <v>38</v>
      </c>
      <c r="R230" t="s">
        <v>39</v>
      </c>
      <c r="S230" s="4">
        <v>39.739739999999998</v>
      </c>
      <c r="T230" s="4">
        <v>-123.63209999999999</v>
      </c>
      <c r="U230">
        <v>1250</v>
      </c>
      <c r="V230" s="6">
        <f t="shared" si="11"/>
        <v>381</v>
      </c>
      <c r="W230" t="s">
        <v>2360</v>
      </c>
      <c r="X230" t="s">
        <v>2362</v>
      </c>
      <c r="Y230" t="s">
        <v>754</v>
      </c>
      <c r="AA230" t="s">
        <v>765</v>
      </c>
      <c r="AJ230" s="41">
        <v>0</v>
      </c>
      <c r="AL230">
        <f t="shared" si="12"/>
        <v>357.40993499755859</v>
      </c>
      <c r="AM230">
        <f t="shared" si="13"/>
        <v>359.35588836669922</v>
      </c>
      <c r="AN230">
        <f t="shared" si="14"/>
        <v>400.71498870849609</v>
      </c>
    </row>
    <row r="231" spans="1:40" x14ac:dyDescent="0.2">
      <c r="A231">
        <v>30</v>
      </c>
      <c r="B231" t="s">
        <v>642</v>
      </c>
      <c r="C231" s="2">
        <v>0</v>
      </c>
      <c r="D231">
        <v>0</v>
      </c>
      <c r="E231" s="2">
        <v>2.9707588255405426E-2</v>
      </c>
      <c r="G231" t="s">
        <v>1186</v>
      </c>
      <c r="H231" s="2" t="s">
        <v>1191</v>
      </c>
      <c r="I231">
        <v>21</v>
      </c>
      <c r="J231" t="s">
        <v>319</v>
      </c>
      <c r="K231">
        <v>2019</v>
      </c>
      <c r="L231" t="s">
        <v>32</v>
      </c>
      <c r="M231" t="s">
        <v>759</v>
      </c>
      <c r="N231">
        <v>33.5</v>
      </c>
      <c r="O231">
        <f>28.5-19</f>
        <v>9.5</v>
      </c>
      <c r="P231" t="s">
        <v>37</v>
      </c>
      <c r="Q231" t="s">
        <v>38</v>
      </c>
      <c r="R231" t="s">
        <v>39</v>
      </c>
      <c r="S231" s="4">
        <v>39.739930000000001</v>
      </c>
      <c r="T231" s="4">
        <v>-123.63209000000001</v>
      </c>
      <c r="U231">
        <v>1253</v>
      </c>
      <c r="V231" s="6">
        <f t="shared" si="11"/>
        <v>381.9144</v>
      </c>
      <c r="W231" t="s">
        <v>2360</v>
      </c>
      <c r="X231" t="s">
        <v>2362</v>
      </c>
      <c r="Y231" t="s">
        <v>742</v>
      </c>
      <c r="AA231" t="s">
        <v>766</v>
      </c>
      <c r="AJ231" s="41">
        <v>0</v>
      </c>
      <c r="AL231">
        <f t="shared" si="12"/>
        <v>0</v>
      </c>
      <c r="AM231">
        <f t="shared" si="13"/>
        <v>0</v>
      </c>
      <c r="AN231">
        <f t="shared" si="14"/>
        <v>2.3766070604324341</v>
      </c>
    </row>
    <row r="232" spans="1:40" x14ac:dyDescent="0.2">
      <c r="A232">
        <v>30</v>
      </c>
      <c r="B232" t="s">
        <v>643</v>
      </c>
      <c r="C232">
        <v>1.634499192237854</v>
      </c>
      <c r="D232">
        <v>1.3476212024688721</v>
      </c>
      <c r="E232">
        <v>1.6357252597808838</v>
      </c>
      <c r="G232" t="s">
        <v>1186</v>
      </c>
      <c r="H232" s="2" t="s">
        <v>1191</v>
      </c>
      <c r="I232">
        <v>21</v>
      </c>
      <c r="J232" t="s">
        <v>319</v>
      </c>
      <c r="K232">
        <v>2019</v>
      </c>
      <c r="L232" t="s">
        <v>32</v>
      </c>
      <c r="M232" t="s">
        <v>759</v>
      </c>
      <c r="N232">
        <v>38</v>
      </c>
      <c r="O232">
        <f>37-32.5</f>
        <v>4.5</v>
      </c>
      <c r="P232" t="s">
        <v>30</v>
      </c>
      <c r="Q232" t="s">
        <v>38</v>
      </c>
      <c r="R232" t="s">
        <v>39</v>
      </c>
      <c r="S232" s="4">
        <v>39.739190000000001</v>
      </c>
      <c r="T232" s="4">
        <v>-123.63181</v>
      </c>
      <c r="U232">
        <v>1347</v>
      </c>
      <c r="V232" s="6">
        <f t="shared" si="11"/>
        <v>410.56560000000002</v>
      </c>
      <c r="W232" t="s">
        <v>2360</v>
      </c>
      <c r="X232" t="s">
        <v>2362</v>
      </c>
      <c r="Y232" t="s">
        <v>233</v>
      </c>
      <c r="AA232" t="s">
        <v>767</v>
      </c>
      <c r="AJ232" s="41">
        <v>0</v>
      </c>
      <c r="AL232">
        <f t="shared" si="12"/>
        <v>130.75993537902832</v>
      </c>
      <c r="AM232">
        <f t="shared" si="13"/>
        <v>107.80969619750977</v>
      </c>
      <c r="AN232">
        <f t="shared" si="14"/>
        <v>130.8580207824707</v>
      </c>
    </row>
    <row r="233" spans="1:40" x14ac:dyDescent="0.2">
      <c r="A233">
        <v>30</v>
      </c>
      <c r="B233" t="s">
        <v>644</v>
      </c>
      <c r="C233">
        <v>0.31307303905487061</v>
      </c>
      <c r="D233">
        <v>0.41359460353851318</v>
      </c>
      <c r="E233">
        <v>6.2290094792842865E-2</v>
      </c>
      <c r="G233" t="s">
        <v>1186</v>
      </c>
      <c r="H233" s="2" t="s">
        <v>1191</v>
      </c>
      <c r="I233">
        <v>21</v>
      </c>
      <c r="J233" t="s">
        <v>319</v>
      </c>
      <c r="K233">
        <v>2019</v>
      </c>
      <c r="L233" t="s">
        <v>32</v>
      </c>
      <c r="M233" t="s">
        <v>759</v>
      </c>
      <c r="N233">
        <v>33</v>
      </c>
      <c r="O233">
        <f>36.5-33.5</f>
        <v>3</v>
      </c>
      <c r="P233" t="s">
        <v>37</v>
      </c>
      <c r="Q233" t="s">
        <v>38</v>
      </c>
      <c r="R233" t="s">
        <v>39</v>
      </c>
      <c r="S233" s="4">
        <v>39.738669999999999</v>
      </c>
      <c r="T233" s="4">
        <v>-123.63154</v>
      </c>
      <c r="U233">
        <v>1353</v>
      </c>
      <c r="V233" s="6">
        <f t="shared" si="11"/>
        <v>412.39440000000002</v>
      </c>
      <c r="W233" t="s">
        <v>2360</v>
      </c>
      <c r="X233" t="s">
        <v>2362</v>
      </c>
      <c r="Y233" t="s">
        <v>755</v>
      </c>
      <c r="Z233" t="s">
        <v>769</v>
      </c>
      <c r="AA233" t="s">
        <v>768</v>
      </c>
      <c r="AJ233" s="41">
        <v>0</v>
      </c>
      <c r="AL233">
        <f t="shared" si="12"/>
        <v>25.045843124389648</v>
      </c>
      <c r="AM233">
        <f t="shared" si="13"/>
        <v>33.087568283081055</v>
      </c>
      <c r="AN233">
        <f t="shared" si="14"/>
        <v>4.9832075834274292</v>
      </c>
    </row>
    <row r="234" spans="1:40" x14ac:dyDescent="0.2">
      <c r="A234">
        <v>30</v>
      </c>
      <c r="B234" t="s">
        <v>645</v>
      </c>
      <c r="C234">
        <v>0.11782547831535339</v>
      </c>
      <c r="D234">
        <v>0</v>
      </c>
      <c r="E234">
        <v>0</v>
      </c>
      <c r="G234" t="s">
        <v>1186</v>
      </c>
      <c r="H234" s="2" t="s">
        <v>1191</v>
      </c>
      <c r="I234">
        <v>21</v>
      </c>
      <c r="J234" t="s">
        <v>319</v>
      </c>
      <c r="K234">
        <v>2019</v>
      </c>
      <c r="L234" t="s">
        <v>32</v>
      </c>
      <c r="M234" t="s">
        <v>759</v>
      </c>
      <c r="N234">
        <v>33</v>
      </c>
      <c r="O234">
        <f>24.5-20</f>
        <v>4.5</v>
      </c>
      <c r="P234" t="s">
        <v>37</v>
      </c>
      <c r="Q234" t="s">
        <v>38</v>
      </c>
      <c r="R234" t="s">
        <v>39</v>
      </c>
      <c r="S234" s="4">
        <v>39.738669999999999</v>
      </c>
      <c r="T234" s="4">
        <v>-123.63154</v>
      </c>
      <c r="U234">
        <v>1353</v>
      </c>
      <c r="V234" s="6">
        <f t="shared" si="11"/>
        <v>412.39440000000002</v>
      </c>
      <c r="W234" t="s">
        <v>2360</v>
      </c>
      <c r="X234" t="s">
        <v>2362</v>
      </c>
      <c r="Y234" t="s">
        <v>756</v>
      </c>
      <c r="AA234" t="s">
        <v>770</v>
      </c>
      <c r="AJ234" s="41">
        <v>0</v>
      </c>
      <c r="AL234">
        <f t="shared" si="12"/>
        <v>9.4260382652282715</v>
      </c>
      <c r="AM234">
        <f t="shared" si="13"/>
        <v>0</v>
      </c>
      <c r="AN234">
        <f t="shared" si="14"/>
        <v>0</v>
      </c>
    </row>
    <row r="235" spans="1:40" x14ac:dyDescent="0.2">
      <c r="A235">
        <v>30</v>
      </c>
      <c r="B235" t="s">
        <v>646</v>
      </c>
      <c r="C235">
        <v>0.49950194358825684</v>
      </c>
      <c r="D235">
        <v>0.38163554668426514</v>
      </c>
      <c r="E235">
        <v>0.10375113040208817</v>
      </c>
      <c r="G235" t="s">
        <v>1186</v>
      </c>
      <c r="H235" s="2" t="s">
        <v>1191</v>
      </c>
      <c r="I235">
        <v>21</v>
      </c>
      <c r="J235" t="s">
        <v>319</v>
      </c>
      <c r="K235">
        <v>2019</v>
      </c>
      <c r="L235" t="s">
        <v>32</v>
      </c>
      <c r="M235" t="s">
        <v>759</v>
      </c>
      <c r="N235">
        <v>35.5</v>
      </c>
      <c r="O235">
        <f>32.5-29</f>
        <v>3.5</v>
      </c>
      <c r="P235" t="s">
        <v>37</v>
      </c>
      <c r="Q235" t="s">
        <v>38</v>
      </c>
      <c r="R235" t="s">
        <v>39</v>
      </c>
      <c r="S235" s="4">
        <v>39.738610000000001</v>
      </c>
      <c r="T235" s="4">
        <v>-123.63162</v>
      </c>
      <c r="U235">
        <v>1355</v>
      </c>
      <c r="V235" s="6">
        <f t="shared" si="11"/>
        <v>413.00400000000002</v>
      </c>
      <c r="W235" t="s">
        <v>2360</v>
      </c>
      <c r="X235" t="s">
        <v>2362</v>
      </c>
      <c r="Y235" t="s">
        <v>757</v>
      </c>
      <c r="Z235" t="s">
        <v>771</v>
      </c>
      <c r="AA235" t="s">
        <v>772</v>
      </c>
      <c r="AJ235" s="41">
        <v>0</v>
      </c>
      <c r="AL235">
        <f t="shared" si="12"/>
        <v>39.960155487060547</v>
      </c>
      <c r="AM235">
        <f t="shared" si="13"/>
        <v>30.530843734741211</v>
      </c>
      <c r="AN235">
        <f t="shared" si="14"/>
        <v>8.3000904321670532</v>
      </c>
    </row>
    <row r="236" spans="1:40" x14ac:dyDescent="0.2">
      <c r="A236">
        <v>30</v>
      </c>
      <c r="B236" t="s">
        <v>647</v>
      </c>
      <c r="C236">
        <v>0.30178853869438171</v>
      </c>
      <c r="D236">
        <v>0.17514801025390625</v>
      </c>
      <c r="E236">
        <v>5.5863469839096069E-2</v>
      </c>
      <c r="G236" t="s">
        <v>1186</v>
      </c>
      <c r="H236" s="2" t="s">
        <v>1191</v>
      </c>
      <c r="I236">
        <v>21</v>
      </c>
      <c r="J236" t="s">
        <v>319</v>
      </c>
      <c r="K236">
        <v>2019</v>
      </c>
      <c r="L236" t="s">
        <v>32</v>
      </c>
      <c r="M236" t="s">
        <v>759</v>
      </c>
      <c r="N236">
        <v>35</v>
      </c>
      <c r="O236">
        <f>28.5-24.5</f>
        <v>4</v>
      </c>
      <c r="P236" t="s">
        <v>37</v>
      </c>
      <c r="Q236" t="s">
        <v>38</v>
      </c>
      <c r="R236" t="s">
        <v>39</v>
      </c>
      <c r="S236" s="4">
        <v>39.738750000000003</v>
      </c>
      <c r="T236" s="4">
        <v>-123.63160999999999</v>
      </c>
      <c r="U236">
        <v>1352</v>
      </c>
      <c r="V236" s="6">
        <f t="shared" ref="V236:V299" si="15">U236*0.3048</f>
        <v>412.08960000000002</v>
      </c>
      <c r="W236" t="s">
        <v>2360</v>
      </c>
      <c r="X236" t="s">
        <v>2362</v>
      </c>
      <c r="Y236" t="s">
        <v>745</v>
      </c>
      <c r="AA236" t="s">
        <v>773</v>
      </c>
      <c r="AJ236" s="41">
        <v>0</v>
      </c>
      <c r="AL236">
        <f t="shared" si="12"/>
        <v>24.143083095550537</v>
      </c>
      <c r="AM236">
        <f t="shared" si="13"/>
        <v>14.0118408203125</v>
      </c>
      <c r="AN236">
        <f t="shared" si="14"/>
        <v>4.4690775871276855</v>
      </c>
    </row>
    <row r="237" spans="1:40" x14ac:dyDescent="0.2">
      <c r="A237">
        <v>32</v>
      </c>
      <c r="B237" t="s">
        <v>648</v>
      </c>
      <c r="C237" s="2">
        <v>0</v>
      </c>
      <c r="D237">
        <v>0</v>
      </c>
      <c r="E237">
        <v>0</v>
      </c>
      <c r="G237" t="s">
        <v>1186</v>
      </c>
      <c r="H237" s="2" t="s">
        <v>1191</v>
      </c>
      <c r="I237">
        <v>22</v>
      </c>
      <c r="J237" t="s">
        <v>319</v>
      </c>
      <c r="K237">
        <v>2019</v>
      </c>
      <c r="L237" t="s">
        <v>758</v>
      </c>
      <c r="M237" t="s">
        <v>759</v>
      </c>
      <c r="N237">
        <v>59</v>
      </c>
      <c r="O237">
        <f>60-33.5</f>
        <v>26.5</v>
      </c>
      <c r="P237" t="s">
        <v>30</v>
      </c>
      <c r="Q237" t="s">
        <v>42</v>
      </c>
      <c r="R237" t="s">
        <v>39</v>
      </c>
      <c r="S237" s="4">
        <v>39.729280000000003</v>
      </c>
      <c r="T237" s="4">
        <v>-123.64636</v>
      </c>
      <c r="U237">
        <v>1399</v>
      </c>
      <c r="V237" s="6">
        <f t="shared" si="15"/>
        <v>426.41520000000003</v>
      </c>
      <c r="W237" t="s">
        <v>31</v>
      </c>
      <c r="X237" t="s">
        <v>2361</v>
      </c>
      <c r="Y237" t="s">
        <v>532</v>
      </c>
      <c r="Z237" t="s">
        <v>776</v>
      </c>
      <c r="AA237" t="s">
        <v>778</v>
      </c>
      <c r="AJ237" s="41">
        <v>0</v>
      </c>
      <c r="AL237">
        <f t="shared" si="12"/>
        <v>0</v>
      </c>
      <c r="AM237">
        <f t="shared" si="13"/>
        <v>0</v>
      </c>
      <c r="AN237">
        <f t="shared" si="14"/>
        <v>0</v>
      </c>
    </row>
    <row r="238" spans="1:40" x14ac:dyDescent="0.2">
      <c r="A238">
        <v>32</v>
      </c>
      <c r="B238" t="s">
        <v>649</v>
      </c>
      <c r="C238" s="2">
        <v>0</v>
      </c>
      <c r="D238">
        <v>0</v>
      </c>
      <c r="E238">
        <v>0</v>
      </c>
      <c r="G238" s="9" t="s">
        <v>1186</v>
      </c>
      <c r="H238" s="2" t="s">
        <v>1191</v>
      </c>
      <c r="I238">
        <v>22</v>
      </c>
      <c r="J238" t="s">
        <v>319</v>
      </c>
      <c r="K238">
        <v>2019</v>
      </c>
      <c r="L238" t="s">
        <v>758</v>
      </c>
      <c r="M238" t="s">
        <v>759</v>
      </c>
      <c r="N238">
        <v>54</v>
      </c>
      <c r="O238">
        <f>56-41.5</f>
        <v>14.5</v>
      </c>
      <c r="P238" t="s">
        <v>30</v>
      </c>
      <c r="Q238" t="s">
        <v>38</v>
      </c>
      <c r="R238" t="s">
        <v>39</v>
      </c>
      <c r="S238" s="4">
        <v>39.72954</v>
      </c>
      <c r="T238" s="4">
        <v>-123.64442</v>
      </c>
      <c r="U238">
        <v>1395</v>
      </c>
      <c r="V238" s="6">
        <f t="shared" si="15"/>
        <v>425.19600000000003</v>
      </c>
      <c r="W238" t="s">
        <v>31</v>
      </c>
      <c r="X238" t="s">
        <v>2361</v>
      </c>
      <c r="Y238" t="s">
        <v>783</v>
      </c>
      <c r="Z238" t="s">
        <v>777</v>
      </c>
      <c r="AA238" t="s">
        <v>779</v>
      </c>
      <c r="AJ238" s="41">
        <v>0</v>
      </c>
      <c r="AL238">
        <f t="shared" si="12"/>
        <v>0</v>
      </c>
      <c r="AM238">
        <f t="shared" si="13"/>
        <v>0</v>
      </c>
      <c r="AN238">
        <f t="shared" si="14"/>
        <v>0</v>
      </c>
    </row>
    <row r="239" spans="1:40" x14ac:dyDescent="0.2">
      <c r="A239">
        <v>32</v>
      </c>
      <c r="B239" t="s">
        <v>650</v>
      </c>
      <c r="C239" s="2">
        <v>0</v>
      </c>
      <c r="D239">
        <v>0</v>
      </c>
      <c r="E239">
        <v>0</v>
      </c>
      <c r="G239" t="s">
        <v>1186</v>
      </c>
      <c r="H239" s="2" t="s">
        <v>1191</v>
      </c>
      <c r="I239">
        <v>22</v>
      </c>
      <c r="J239" t="s">
        <v>319</v>
      </c>
      <c r="K239">
        <v>2019</v>
      </c>
      <c r="L239" t="s">
        <v>758</v>
      </c>
      <c r="M239" t="s">
        <v>759</v>
      </c>
      <c r="N239">
        <v>63</v>
      </c>
      <c r="O239">
        <f>64.5-35.5</f>
        <v>29</v>
      </c>
      <c r="P239" t="s">
        <v>37</v>
      </c>
      <c r="Q239" t="s">
        <v>38</v>
      </c>
      <c r="R239" t="s">
        <v>39</v>
      </c>
      <c r="S239" s="4">
        <v>39.729619999999997</v>
      </c>
      <c r="T239" s="4">
        <v>-123.64442</v>
      </c>
      <c r="U239">
        <v>1404</v>
      </c>
      <c r="V239" s="6">
        <f t="shared" si="15"/>
        <v>427.93920000000003</v>
      </c>
      <c r="W239" t="s">
        <v>31</v>
      </c>
      <c r="X239" t="s">
        <v>2361</v>
      </c>
      <c r="Y239" t="s">
        <v>592</v>
      </c>
      <c r="AA239" t="s">
        <v>780</v>
      </c>
      <c r="AJ239" s="41">
        <v>0</v>
      </c>
      <c r="AL239">
        <f t="shared" si="12"/>
        <v>0</v>
      </c>
      <c r="AM239">
        <f t="shared" si="13"/>
        <v>0</v>
      </c>
      <c r="AN239">
        <f t="shared" si="14"/>
        <v>0</v>
      </c>
    </row>
    <row r="240" spans="1:40" x14ac:dyDescent="0.2">
      <c r="A240">
        <v>32</v>
      </c>
      <c r="B240" t="s">
        <v>651</v>
      </c>
      <c r="C240" s="2">
        <v>0</v>
      </c>
      <c r="D240">
        <v>0</v>
      </c>
      <c r="E240">
        <v>0</v>
      </c>
      <c r="G240" t="s">
        <v>1186</v>
      </c>
      <c r="H240" s="2" t="s">
        <v>1191</v>
      </c>
      <c r="I240">
        <v>22</v>
      </c>
      <c r="J240" t="s">
        <v>319</v>
      </c>
      <c r="K240">
        <v>2019</v>
      </c>
      <c r="L240" t="s">
        <v>758</v>
      </c>
      <c r="M240" t="s">
        <v>759</v>
      </c>
      <c r="N240">
        <v>57</v>
      </c>
      <c r="O240">
        <f>89.5-35</f>
        <v>54.5</v>
      </c>
      <c r="P240" t="s">
        <v>30</v>
      </c>
      <c r="Q240" t="s">
        <v>42</v>
      </c>
      <c r="R240" t="s">
        <v>39</v>
      </c>
      <c r="S240" s="4">
        <v>39.729619999999997</v>
      </c>
      <c r="T240" s="4">
        <v>-123.64413</v>
      </c>
      <c r="U240">
        <v>1409</v>
      </c>
      <c r="V240" s="6">
        <f t="shared" si="15"/>
        <v>429.46320000000003</v>
      </c>
      <c r="W240" t="s">
        <v>31</v>
      </c>
      <c r="X240" t="s">
        <v>2361</v>
      </c>
      <c r="Y240" t="s">
        <v>304</v>
      </c>
      <c r="Z240" t="s">
        <v>777</v>
      </c>
      <c r="AA240" t="s">
        <v>781</v>
      </c>
      <c r="AJ240" s="41">
        <v>0</v>
      </c>
      <c r="AL240">
        <f t="shared" si="12"/>
        <v>0</v>
      </c>
      <c r="AM240">
        <f t="shared" si="13"/>
        <v>0</v>
      </c>
      <c r="AN240">
        <f t="shared" si="14"/>
        <v>0</v>
      </c>
    </row>
    <row r="241" spans="1:40" x14ac:dyDescent="0.2">
      <c r="A241">
        <v>32</v>
      </c>
      <c r="B241" t="s">
        <v>652</v>
      </c>
      <c r="C241" s="2">
        <v>0</v>
      </c>
      <c r="D241">
        <v>0</v>
      </c>
      <c r="E241">
        <v>0</v>
      </c>
      <c r="G241" t="s">
        <v>1186</v>
      </c>
      <c r="H241" s="2" t="s">
        <v>1191</v>
      </c>
      <c r="I241">
        <v>22</v>
      </c>
      <c r="J241" t="s">
        <v>319</v>
      </c>
      <c r="K241">
        <v>2019</v>
      </c>
      <c r="L241" t="s">
        <v>758</v>
      </c>
      <c r="M241" t="s">
        <v>759</v>
      </c>
      <c r="N241">
        <v>30</v>
      </c>
      <c r="O241">
        <f>23-19</f>
        <v>4</v>
      </c>
      <c r="P241" t="s">
        <v>37</v>
      </c>
      <c r="R241" t="s">
        <v>89</v>
      </c>
      <c r="S241" s="4">
        <v>39.729570000000002</v>
      </c>
      <c r="T241" s="4">
        <v>-123.64404</v>
      </c>
      <c r="U241">
        <v>1407</v>
      </c>
      <c r="V241" s="6">
        <f t="shared" si="15"/>
        <v>428.85360000000003</v>
      </c>
      <c r="W241" t="s">
        <v>31</v>
      </c>
      <c r="X241" t="s">
        <v>2361</v>
      </c>
      <c r="Y241" t="s">
        <v>784</v>
      </c>
      <c r="AA241" t="s">
        <v>782</v>
      </c>
      <c r="AJ241" s="41">
        <v>0</v>
      </c>
      <c r="AL241">
        <f t="shared" si="12"/>
        <v>0</v>
      </c>
      <c r="AM241">
        <f t="shared" si="13"/>
        <v>0</v>
      </c>
      <c r="AN241">
        <f t="shared" si="14"/>
        <v>0</v>
      </c>
    </row>
    <row r="242" spans="1:40" x14ac:dyDescent="0.2">
      <c r="A242">
        <v>34</v>
      </c>
      <c r="B242" t="s">
        <v>653</v>
      </c>
      <c r="C242" s="2">
        <v>0</v>
      </c>
      <c r="D242">
        <v>0</v>
      </c>
      <c r="E242">
        <v>3.6438893526792526E-2</v>
      </c>
      <c r="G242" t="s">
        <v>1186</v>
      </c>
      <c r="H242" s="2" t="s">
        <v>1191</v>
      </c>
      <c r="I242">
        <v>23</v>
      </c>
      <c r="J242" t="s">
        <v>319</v>
      </c>
      <c r="K242">
        <v>2019</v>
      </c>
      <c r="L242" t="s">
        <v>32</v>
      </c>
      <c r="M242" t="s">
        <v>759</v>
      </c>
      <c r="N242">
        <v>36.5</v>
      </c>
      <c r="O242">
        <f>45.5-38.5</f>
        <v>7</v>
      </c>
      <c r="P242" t="s">
        <v>37</v>
      </c>
      <c r="Q242" t="s">
        <v>38</v>
      </c>
      <c r="R242" t="s">
        <v>39</v>
      </c>
      <c r="S242" s="4">
        <v>39.725850000000001</v>
      </c>
      <c r="T242" s="4">
        <v>-123.64433</v>
      </c>
      <c r="U242">
        <v>1351</v>
      </c>
      <c r="V242" s="6">
        <f t="shared" si="15"/>
        <v>411.78480000000002</v>
      </c>
      <c r="W242" t="s">
        <v>2360</v>
      </c>
      <c r="X242" t="s">
        <v>2362</v>
      </c>
      <c r="Y242" t="s">
        <v>597</v>
      </c>
      <c r="AA242" t="s">
        <v>789</v>
      </c>
      <c r="AJ242" s="41">
        <v>0</v>
      </c>
      <c r="AL242">
        <f t="shared" si="12"/>
        <v>0</v>
      </c>
      <c r="AM242">
        <f t="shared" si="13"/>
        <v>0</v>
      </c>
      <c r="AN242">
        <f t="shared" si="14"/>
        <v>2.9151114821434021</v>
      </c>
    </row>
    <row r="243" spans="1:40" x14ac:dyDescent="0.2">
      <c r="A243">
        <v>34</v>
      </c>
      <c r="B243" t="s">
        <v>654</v>
      </c>
      <c r="C243" s="2">
        <v>0</v>
      </c>
      <c r="D243">
        <v>0</v>
      </c>
      <c r="E243">
        <v>0</v>
      </c>
      <c r="G243" t="s">
        <v>1186</v>
      </c>
      <c r="H243" s="2" t="s">
        <v>1191</v>
      </c>
      <c r="I243">
        <v>23</v>
      </c>
      <c r="J243" t="s">
        <v>319</v>
      </c>
      <c r="K243">
        <v>2019</v>
      </c>
      <c r="L243" t="s">
        <v>32</v>
      </c>
      <c r="M243" t="s">
        <v>759</v>
      </c>
      <c r="N243">
        <v>36</v>
      </c>
      <c r="O243">
        <f>66-62</f>
        <v>4</v>
      </c>
      <c r="P243" t="s">
        <v>37</v>
      </c>
      <c r="Q243" t="s">
        <v>38</v>
      </c>
      <c r="R243" t="s">
        <v>39</v>
      </c>
      <c r="S243" s="4">
        <v>39.725850000000001</v>
      </c>
      <c r="T243" s="4">
        <v>-123.64433</v>
      </c>
      <c r="U243">
        <v>1351</v>
      </c>
      <c r="V243" s="6">
        <f t="shared" si="15"/>
        <v>411.78480000000002</v>
      </c>
      <c r="W243" t="s">
        <v>2360</v>
      </c>
      <c r="X243" t="s">
        <v>2362</v>
      </c>
      <c r="Y243" t="s">
        <v>70</v>
      </c>
      <c r="AA243" t="s">
        <v>791</v>
      </c>
      <c r="AJ243" s="41">
        <v>0</v>
      </c>
      <c r="AL243">
        <f t="shared" si="12"/>
        <v>0</v>
      </c>
      <c r="AM243">
        <f t="shared" si="13"/>
        <v>0</v>
      </c>
      <c r="AN243">
        <f t="shared" si="14"/>
        <v>0</v>
      </c>
    </row>
    <row r="244" spans="1:40" x14ac:dyDescent="0.2">
      <c r="A244">
        <v>34</v>
      </c>
      <c r="B244" t="s">
        <v>655</v>
      </c>
      <c r="C244" s="2">
        <v>0</v>
      </c>
      <c r="D244">
        <v>0</v>
      </c>
      <c r="E244">
        <v>0</v>
      </c>
      <c r="G244" t="s">
        <v>1186</v>
      </c>
      <c r="H244" s="2" t="s">
        <v>1191</v>
      </c>
      <c r="I244">
        <v>23</v>
      </c>
      <c r="J244" t="s">
        <v>319</v>
      </c>
      <c r="K244">
        <v>2019</v>
      </c>
      <c r="L244" t="s">
        <v>32</v>
      </c>
      <c r="M244" t="s">
        <v>759</v>
      </c>
      <c r="N244">
        <v>39</v>
      </c>
      <c r="O244">
        <f>49.5-43</f>
        <v>6.5</v>
      </c>
      <c r="P244" t="s">
        <v>37</v>
      </c>
      <c r="Q244" t="s">
        <v>42</v>
      </c>
      <c r="R244" t="s">
        <v>39</v>
      </c>
      <c r="S244" s="4">
        <v>39.725569999999998</v>
      </c>
      <c r="T244" s="4">
        <v>123.64417</v>
      </c>
      <c r="U244">
        <v>1340</v>
      </c>
      <c r="V244" s="6">
        <f t="shared" si="15"/>
        <v>408.43200000000002</v>
      </c>
      <c r="W244" t="s">
        <v>2360</v>
      </c>
      <c r="X244" t="s">
        <v>2362</v>
      </c>
      <c r="Y244" t="s">
        <v>805</v>
      </c>
      <c r="Z244" t="s">
        <v>786</v>
      </c>
      <c r="AA244" t="s">
        <v>792</v>
      </c>
      <c r="AJ244" s="41">
        <v>0</v>
      </c>
      <c r="AL244">
        <f t="shared" si="12"/>
        <v>0</v>
      </c>
      <c r="AM244">
        <f t="shared" si="13"/>
        <v>0</v>
      </c>
      <c r="AN244">
        <f t="shared" si="14"/>
        <v>0</v>
      </c>
    </row>
    <row r="245" spans="1:40" x14ac:dyDescent="0.2">
      <c r="A245">
        <v>34</v>
      </c>
      <c r="B245" t="s">
        <v>656</v>
      </c>
      <c r="C245">
        <v>0.39827063679695129</v>
      </c>
      <c r="D245">
        <v>0.16659753024578094</v>
      </c>
      <c r="E245">
        <v>3.8011893630027771E-2</v>
      </c>
      <c r="H245" s="2" t="s">
        <v>1191</v>
      </c>
      <c r="I245">
        <v>23</v>
      </c>
      <c r="J245" t="s">
        <v>319</v>
      </c>
      <c r="K245">
        <v>2019</v>
      </c>
      <c r="L245" t="s">
        <v>32</v>
      </c>
      <c r="M245" t="s">
        <v>759</v>
      </c>
      <c r="N245">
        <v>37.5</v>
      </c>
      <c r="O245">
        <f>23.5-19</f>
        <v>4.5</v>
      </c>
      <c r="P245" t="s">
        <v>37</v>
      </c>
      <c r="Q245" t="s">
        <v>38</v>
      </c>
      <c r="R245" t="s">
        <v>39</v>
      </c>
      <c r="S245" s="4">
        <v>39.725569999999998</v>
      </c>
      <c r="T245" s="4">
        <v>123.64417</v>
      </c>
      <c r="U245">
        <v>1340</v>
      </c>
      <c r="V245" s="6">
        <f t="shared" si="15"/>
        <v>408.43200000000002</v>
      </c>
      <c r="W245" t="s">
        <v>2360</v>
      </c>
      <c r="X245" t="s">
        <v>2362</v>
      </c>
      <c r="Y245" t="s">
        <v>806</v>
      </c>
      <c r="Z245" t="s">
        <v>786</v>
      </c>
      <c r="AA245" t="s">
        <v>790</v>
      </c>
      <c r="AJ245" s="41">
        <v>0</v>
      </c>
      <c r="AL245">
        <f t="shared" si="12"/>
        <v>31.861650943756104</v>
      </c>
      <c r="AM245">
        <f t="shared" si="13"/>
        <v>13.327802419662476</v>
      </c>
      <c r="AN245">
        <f t="shared" si="14"/>
        <v>3.0409514904022217</v>
      </c>
    </row>
    <row r="246" spans="1:40" x14ac:dyDescent="0.2">
      <c r="A246">
        <v>34</v>
      </c>
      <c r="B246" t="s">
        <v>657</v>
      </c>
      <c r="C246" s="2">
        <v>0</v>
      </c>
      <c r="D246" s="2">
        <v>0</v>
      </c>
      <c r="E246" s="2">
        <v>0</v>
      </c>
      <c r="H246" s="2" t="s">
        <v>1191</v>
      </c>
      <c r="I246">
        <v>23</v>
      </c>
      <c r="J246" t="s">
        <v>319</v>
      </c>
      <c r="K246">
        <v>2019</v>
      </c>
      <c r="L246" t="s">
        <v>32</v>
      </c>
      <c r="M246" t="s">
        <v>759</v>
      </c>
      <c r="N246">
        <v>35.5</v>
      </c>
      <c r="O246">
        <f>31.5-28</f>
        <v>3.5</v>
      </c>
      <c r="P246" t="s">
        <v>37</v>
      </c>
      <c r="Q246" t="s">
        <v>38</v>
      </c>
      <c r="R246" t="s">
        <v>39</v>
      </c>
      <c r="S246" s="4">
        <v>39.725720000000003</v>
      </c>
      <c r="T246" s="4">
        <v>123.64451</v>
      </c>
      <c r="U246">
        <v>1367</v>
      </c>
      <c r="V246" s="6">
        <f t="shared" si="15"/>
        <v>416.66160000000002</v>
      </c>
      <c r="W246" t="s">
        <v>2360</v>
      </c>
      <c r="X246" t="s">
        <v>2362</v>
      </c>
      <c r="Y246" t="s">
        <v>807</v>
      </c>
      <c r="AA246" t="s">
        <v>793</v>
      </c>
      <c r="AJ246" s="41">
        <v>0</v>
      </c>
      <c r="AL246">
        <f t="shared" si="12"/>
        <v>0</v>
      </c>
      <c r="AM246">
        <f t="shared" si="13"/>
        <v>0</v>
      </c>
      <c r="AN246">
        <f t="shared" si="14"/>
        <v>0</v>
      </c>
    </row>
    <row r="247" spans="1:40" x14ac:dyDescent="0.2">
      <c r="A247">
        <v>34</v>
      </c>
      <c r="B247" t="s">
        <v>658</v>
      </c>
      <c r="C247" s="2">
        <v>0</v>
      </c>
      <c r="D247" s="2">
        <v>0</v>
      </c>
      <c r="E247" s="2">
        <v>0</v>
      </c>
      <c r="H247" s="2" t="s">
        <v>1191</v>
      </c>
      <c r="I247">
        <v>23</v>
      </c>
      <c r="J247" t="s">
        <v>319</v>
      </c>
      <c r="K247">
        <v>2019</v>
      </c>
      <c r="L247" t="s">
        <v>32</v>
      </c>
      <c r="M247" t="s">
        <v>759</v>
      </c>
      <c r="N247">
        <v>30</v>
      </c>
      <c r="O247">
        <f>30-24</f>
        <v>6</v>
      </c>
      <c r="P247" t="s">
        <v>30</v>
      </c>
      <c r="Q247" t="s">
        <v>38</v>
      </c>
      <c r="R247" t="s">
        <v>39</v>
      </c>
      <c r="S247" s="4">
        <v>39.725740000000002</v>
      </c>
      <c r="T247" s="4">
        <v>-123.64449</v>
      </c>
      <c r="U247">
        <v>1379</v>
      </c>
      <c r="V247" s="6">
        <f t="shared" si="15"/>
        <v>420.31920000000002</v>
      </c>
      <c r="W247" t="s">
        <v>2360</v>
      </c>
      <c r="X247" t="s">
        <v>2362</v>
      </c>
      <c r="Y247" t="s">
        <v>808</v>
      </c>
      <c r="AA247" t="s">
        <v>794</v>
      </c>
      <c r="AJ247" s="41">
        <v>0</v>
      </c>
      <c r="AL247">
        <f t="shared" si="12"/>
        <v>0</v>
      </c>
      <c r="AM247">
        <f t="shared" si="13"/>
        <v>0</v>
      </c>
      <c r="AN247">
        <f t="shared" si="14"/>
        <v>0</v>
      </c>
    </row>
    <row r="248" spans="1:40" x14ac:dyDescent="0.2">
      <c r="A248">
        <v>34</v>
      </c>
      <c r="B248" t="s">
        <v>659</v>
      </c>
      <c r="C248" s="2">
        <v>0</v>
      </c>
      <c r="D248" s="2">
        <v>0</v>
      </c>
      <c r="E248" s="2">
        <v>0</v>
      </c>
      <c r="H248" s="2" t="s">
        <v>1191</v>
      </c>
      <c r="I248">
        <v>23</v>
      </c>
      <c r="J248" t="s">
        <v>319</v>
      </c>
      <c r="K248">
        <v>2019</v>
      </c>
      <c r="L248" t="s">
        <v>32</v>
      </c>
      <c r="M248" t="s">
        <v>759</v>
      </c>
      <c r="N248">
        <v>33</v>
      </c>
      <c r="O248">
        <f>28-24</f>
        <v>4</v>
      </c>
      <c r="P248" t="s">
        <v>37</v>
      </c>
      <c r="Q248" t="s">
        <v>38</v>
      </c>
      <c r="R248" t="s">
        <v>39</v>
      </c>
      <c r="S248" s="4">
        <v>39.725589999999997</v>
      </c>
      <c r="T248" s="4">
        <v>-123.64431999999999</v>
      </c>
      <c r="U248">
        <v>1379</v>
      </c>
      <c r="V248" s="6">
        <f t="shared" si="15"/>
        <v>420.31920000000002</v>
      </c>
      <c r="W248" t="s">
        <v>2360</v>
      </c>
      <c r="X248" t="s">
        <v>2362</v>
      </c>
      <c r="Y248" t="s">
        <v>809</v>
      </c>
      <c r="AA248" t="s">
        <v>795</v>
      </c>
      <c r="AJ248" s="41">
        <v>0</v>
      </c>
      <c r="AL248">
        <f t="shared" si="12"/>
        <v>0</v>
      </c>
      <c r="AM248">
        <f t="shared" si="13"/>
        <v>0</v>
      </c>
      <c r="AN248">
        <f t="shared" si="14"/>
        <v>0</v>
      </c>
    </row>
    <row r="249" spans="1:40" x14ac:dyDescent="0.2">
      <c r="A249">
        <v>34</v>
      </c>
      <c r="B249" t="s">
        <v>660</v>
      </c>
      <c r="C249" s="2">
        <v>0</v>
      </c>
      <c r="D249" s="2">
        <v>0</v>
      </c>
      <c r="E249" s="2">
        <v>0</v>
      </c>
      <c r="H249" s="2" t="s">
        <v>1191</v>
      </c>
      <c r="I249">
        <v>23</v>
      </c>
      <c r="J249" t="s">
        <v>319</v>
      </c>
      <c r="K249">
        <v>2019</v>
      </c>
      <c r="L249" t="s">
        <v>32</v>
      </c>
      <c r="M249" t="s">
        <v>759</v>
      </c>
      <c r="N249">
        <v>35</v>
      </c>
      <c r="O249">
        <f>28.5-23</f>
        <v>5.5</v>
      </c>
      <c r="P249" t="s">
        <v>37</v>
      </c>
      <c r="Q249" t="s">
        <v>38</v>
      </c>
      <c r="R249" t="s">
        <v>39</v>
      </c>
      <c r="S249" s="4">
        <v>39.725589999999997</v>
      </c>
      <c r="T249" s="4">
        <v>-123.64431999999999</v>
      </c>
      <c r="U249">
        <v>1379</v>
      </c>
      <c r="V249" s="6">
        <f t="shared" si="15"/>
        <v>420.31920000000002</v>
      </c>
      <c r="W249" t="s">
        <v>2360</v>
      </c>
      <c r="X249" t="s">
        <v>2362</v>
      </c>
      <c r="Y249" t="s">
        <v>809</v>
      </c>
      <c r="AA249" t="s">
        <v>796</v>
      </c>
      <c r="AJ249" s="41">
        <v>0</v>
      </c>
      <c r="AL249">
        <f t="shared" si="12"/>
        <v>0</v>
      </c>
      <c r="AM249">
        <f t="shared" si="13"/>
        <v>0</v>
      </c>
      <c r="AN249">
        <f t="shared" si="14"/>
        <v>0</v>
      </c>
    </row>
    <row r="250" spans="1:40" x14ac:dyDescent="0.2">
      <c r="A250">
        <v>34</v>
      </c>
      <c r="B250" t="s">
        <v>661</v>
      </c>
      <c r="C250" s="2">
        <v>0</v>
      </c>
      <c r="D250" s="2">
        <v>0</v>
      </c>
      <c r="E250" s="2">
        <v>0</v>
      </c>
      <c r="H250" s="2" t="s">
        <v>1191</v>
      </c>
      <c r="I250">
        <v>23</v>
      </c>
      <c r="J250" t="s">
        <v>319</v>
      </c>
      <c r="K250">
        <v>2019</v>
      </c>
      <c r="L250" t="s">
        <v>32</v>
      </c>
      <c r="M250" t="s">
        <v>759</v>
      </c>
      <c r="N250">
        <v>34</v>
      </c>
      <c r="O250">
        <f>29-25</f>
        <v>4</v>
      </c>
      <c r="P250" t="s">
        <v>30</v>
      </c>
      <c r="Q250" t="s">
        <v>38</v>
      </c>
      <c r="R250" t="s">
        <v>39</v>
      </c>
      <c r="S250" s="4">
        <v>39.725529999999999</v>
      </c>
      <c r="T250" s="4">
        <v>-123.64422</v>
      </c>
      <c r="U250">
        <v>1388</v>
      </c>
      <c r="V250" s="6">
        <f t="shared" si="15"/>
        <v>423.06240000000003</v>
      </c>
      <c r="W250" t="s">
        <v>2360</v>
      </c>
      <c r="X250" t="s">
        <v>2362</v>
      </c>
      <c r="Y250" t="s">
        <v>810</v>
      </c>
      <c r="Z250" t="s">
        <v>787</v>
      </c>
      <c r="AA250" t="s">
        <v>797</v>
      </c>
      <c r="AJ250" s="41">
        <v>0</v>
      </c>
      <c r="AL250">
        <f t="shared" si="12"/>
        <v>0</v>
      </c>
      <c r="AM250">
        <f t="shared" si="13"/>
        <v>0</v>
      </c>
      <c r="AN250">
        <f t="shared" si="14"/>
        <v>0</v>
      </c>
    </row>
    <row r="251" spans="1:40" x14ac:dyDescent="0.2">
      <c r="A251">
        <v>34</v>
      </c>
      <c r="B251" t="s">
        <v>662</v>
      </c>
      <c r="C251" s="2">
        <v>0</v>
      </c>
      <c r="D251" s="2">
        <v>0</v>
      </c>
      <c r="E251">
        <v>3.3516779541969299E-2</v>
      </c>
      <c r="H251" s="2" t="s">
        <v>1191</v>
      </c>
      <c r="I251">
        <v>23</v>
      </c>
      <c r="J251" t="s">
        <v>319</v>
      </c>
      <c r="K251">
        <v>2019</v>
      </c>
      <c r="L251" t="s">
        <v>32</v>
      </c>
      <c r="M251" t="s">
        <v>759</v>
      </c>
      <c r="N251">
        <v>35</v>
      </c>
      <c r="O251">
        <f>27.5-25</f>
        <v>2.5</v>
      </c>
      <c r="P251" t="s">
        <v>37</v>
      </c>
      <c r="Q251" t="s">
        <v>38</v>
      </c>
      <c r="R251" t="s">
        <v>39</v>
      </c>
      <c r="S251" s="4">
        <v>39.725740000000002</v>
      </c>
      <c r="T251" s="4">
        <v>-123.64449</v>
      </c>
      <c r="U251">
        <v>1379</v>
      </c>
      <c r="V251" s="6">
        <f t="shared" si="15"/>
        <v>420.31920000000002</v>
      </c>
      <c r="W251" t="s">
        <v>2360</v>
      </c>
      <c r="X251" t="s">
        <v>2362</v>
      </c>
      <c r="Y251" t="s">
        <v>811</v>
      </c>
      <c r="Z251" t="s">
        <v>788</v>
      </c>
      <c r="AA251" t="s">
        <v>798</v>
      </c>
      <c r="AJ251" s="41">
        <v>0</v>
      </c>
      <c r="AL251">
        <f t="shared" si="12"/>
        <v>0</v>
      </c>
      <c r="AM251">
        <f t="shared" si="13"/>
        <v>0</v>
      </c>
      <c r="AN251">
        <f t="shared" si="14"/>
        <v>2.6813423633575439</v>
      </c>
    </row>
    <row r="252" spans="1:40" x14ac:dyDescent="0.2">
      <c r="A252">
        <v>34</v>
      </c>
      <c r="B252" t="s">
        <v>663</v>
      </c>
      <c r="C252" s="2">
        <v>0</v>
      </c>
      <c r="D252" s="2">
        <v>0</v>
      </c>
      <c r="E252" s="2">
        <v>0</v>
      </c>
      <c r="H252" s="2" t="s">
        <v>1191</v>
      </c>
      <c r="I252">
        <v>23</v>
      </c>
      <c r="J252" t="s">
        <v>319</v>
      </c>
      <c r="K252">
        <v>2019</v>
      </c>
      <c r="L252" t="s">
        <v>32</v>
      </c>
      <c r="M252" t="s">
        <v>759</v>
      </c>
      <c r="N252">
        <v>36</v>
      </c>
      <c r="O252">
        <f>25-20</f>
        <v>5</v>
      </c>
      <c r="P252" t="s">
        <v>37</v>
      </c>
      <c r="Q252" t="s">
        <v>38</v>
      </c>
      <c r="R252" t="s">
        <v>39</v>
      </c>
      <c r="S252" s="4">
        <v>39.725479999999997</v>
      </c>
      <c r="T252" s="4">
        <v>-123.64417</v>
      </c>
      <c r="U252">
        <v>1386</v>
      </c>
      <c r="V252" s="6">
        <f t="shared" si="15"/>
        <v>422.45280000000002</v>
      </c>
      <c r="W252" t="s">
        <v>2360</v>
      </c>
      <c r="X252" t="s">
        <v>2362</v>
      </c>
      <c r="Y252" t="s">
        <v>177</v>
      </c>
      <c r="Z252" t="s">
        <v>786</v>
      </c>
      <c r="AA252" t="s">
        <v>799</v>
      </c>
      <c r="AJ252" s="41">
        <v>0</v>
      </c>
      <c r="AL252">
        <f t="shared" si="12"/>
        <v>0</v>
      </c>
      <c r="AM252">
        <f t="shared" si="13"/>
        <v>0</v>
      </c>
      <c r="AN252">
        <f t="shared" si="14"/>
        <v>0</v>
      </c>
    </row>
    <row r="253" spans="1:40" x14ac:dyDescent="0.2">
      <c r="A253">
        <v>34</v>
      </c>
      <c r="B253" t="s">
        <v>664</v>
      </c>
      <c r="C253" s="2">
        <v>0</v>
      </c>
      <c r="D253" s="2">
        <v>0</v>
      </c>
      <c r="E253" s="2">
        <v>0</v>
      </c>
      <c r="H253" s="2" t="s">
        <v>1191</v>
      </c>
      <c r="I253">
        <v>23</v>
      </c>
      <c r="J253" t="s">
        <v>319</v>
      </c>
      <c r="K253">
        <v>2019</v>
      </c>
      <c r="L253" t="s">
        <v>32</v>
      </c>
      <c r="M253" t="s">
        <v>759</v>
      </c>
      <c r="N253">
        <v>35</v>
      </c>
      <c r="O253">
        <f>17.5-14</f>
        <v>3.5</v>
      </c>
      <c r="P253" t="s">
        <v>37</v>
      </c>
      <c r="Q253" t="s">
        <v>38</v>
      </c>
      <c r="R253" t="s">
        <v>39</v>
      </c>
      <c r="S253" s="4">
        <v>39.725409999999997</v>
      </c>
      <c r="T253" s="4">
        <v>-123.64409999999999</v>
      </c>
      <c r="U253">
        <v>1384</v>
      </c>
      <c r="V253" s="6">
        <f t="shared" si="15"/>
        <v>421.84320000000002</v>
      </c>
      <c r="W253" t="s">
        <v>2360</v>
      </c>
      <c r="X253" t="s">
        <v>2362</v>
      </c>
      <c r="Y253" t="s">
        <v>812</v>
      </c>
      <c r="Z253" t="s">
        <v>786</v>
      </c>
      <c r="AA253" t="s">
        <v>800</v>
      </c>
      <c r="AJ253" s="41">
        <v>0</v>
      </c>
      <c r="AL253">
        <f t="shared" si="12"/>
        <v>0</v>
      </c>
      <c r="AM253">
        <f t="shared" si="13"/>
        <v>0</v>
      </c>
      <c r="AN253">
        <f t="shared" si="14"/>
        <v>0</v>
      </c>
    </row>
    <row r="254" spans="1:40" x14ac:dyDescent="0.2">
      <c r="A254">
        <v>34</v>
      </c>
      <c r="B254" t="s">
        <v>665</v>
      </c>
      <c r="C254" s="2">
        <v>0</v>
      </c>
      <c r="D254" s="2">
        <v>0</v>
      </c>
      <c r="E254" s="2">
        <v>0</v>
      </c>
      <c r="H254" s="2" t="s">
        <v>1191</v>
      </c>
      <c r="I254">
        <v>23</v>
      </c>
      <c r="J254" t="s">
        <v>319</v>
      </c>
      <c r="K254">
        <v>2019</v>
      </c>
      <c r="L254" t="s">
        <v>32</v>
      </c>
      <c r="M254" t="s">
        <v>759</v>
      </c>
      <c r="N254">
        <v>38</v>
      </c>
      <c r="O254">
        <f>21-15</f>
        <v>6</v>
      </c>
      <c r="P254" t="s">
        <v>30</v>
      </c>
      <c r="Q254" t="s">
        <v>42</v>
      </c>
      <c r="R254" t="s">
        <v>39</v>
      </c>
      <c r="S254" s="4">
        <v>39.725569999999998</v>
      </c>
      <c r="T254" s="4">
        <v>123.64417</v>
      </c>
      <c r="U254">
        <v>1340</v>
      </c>
      <c r="V254" s="6">
        <f t="shared" si="15"/>
        <v>408.43200000000002</v>
      </c>
      <c r="W254" t="s">
        <v>2360</v>
      </c>
      <c r="X254" t="s">
        <v>2362</v>
      </c>
      <c r="Y254" t="s">
        <v>813</v>
      </c>
      <c r="Z254" t="s">
        <v>2498</v>
      </c>
      <c r="AA254" t="s">
        <v>801</v>
      </c>
      <c r="AJ254" s="41">
        <v>0</v>
      </c>
      <c r="AL254">
        <f t="shared" si="12"/>
        <v>0</v>
      </c>
      <c r="AM254">
        <f t="shared" si="13"/>
        <v>0</v>
      </c>
      <c r="AN254">
        <f t="shared" si="14"/>
        <v>0</v>
      </c>
    </row>
    <row r="255" spans="1:40" x14ac:dyDescent="0.2">
      <c r="A255">
        <v>35</v>
      </c>
      <c r="B255" t="s">
        <v>666</v>
      </c>
      <c r="C255" s="2">
        <v>0</v>
      </c>
      <c r="D255" s="2">
        <v>0</v>
      </c>
      <c r="E255" s="2">
        <v>0</v>
      </c>
      <c r="H255" s="2" t="s">
        <v>1191</v>
      </c>
      <c r="I255">
        <v>25</v>
      </c>
      <c r="J255" t="s">
        <v>319</v>
      </c>
      <c r="K255">
        <v>2019</v>
      </c>
      <c r="L255" t="s">
        <v>32</v>
      </c>
      <c r="M255" t="s">
        <v>759</v>
      </c>
      <c r="N255">
        <v>40.5</v>
      </c>
      <c r="O255">
        <f>47.5-40</f>
        <v>7.5</v>
      </c>
      <c r="P255" t="s">
        <v>30</v>
      </c>
      <c r="Q255" t="s">
        <v>42</v>
      </c>
      <c r="R255" t="s">
        <v>39</v>
      </c>
      <c r="S255" s="4">
        <v>39.740349999999999</v>
      </c>
      <c r="T255" s="4">
        <v>-123.63081</v>
      </c>
      <c r="U255">
        <v>1441</v>
      </c>
      <c r="V255" s="6">
        <f t="shared" si="15"/>
        <v>439.21680000000003</v>
      </c>
      <c r="W255" t="s">
        <v>31</v>
      </c>
      <c r="X255" t="s">
        <v>2363</v>
      </c>
      <c r="Y255" t="s">
        <v>820</v>
      </c>
      <c r="AA255" t="s">
        <v>835</v>
      </c>
      <c r="AJ255" s="41">
        <v>0</v>
      </c>
      <c r="AL255">
        <f t="shared" si="12"/>
        <v>0</v>
      </c>
      <c r="AM255">
        <f t="shared" si="13"/>
        <v>0</v>
      </c>
      <c r="AN255">
        <f t="shared" si="14"/>
        <v>0</v>
      </c>
    </row>
    <row r="256" spans="1:40" x14ac:dyDescent="0.2">
      <c r="A256">
        <v>35</v>
      </c>
      <c r="B256" t="s">
        <v>667</v>
      </c>
      <c r="C256" s="2">
        <v>0</v>
      </c>
      <c r="D256" s="2">
        <v>0</v>
      </c>
      <c r="E256" s="2">
        <v>0</v>
      </c>
      <c r="H256" s="2" t="s">
        <v>1191</v>
      </c>
      <c r="I256">
        <v>25</v>
      </c>
      <c r="J256" t="s">
        <v>319</v>
      </c>
      <c r="K256">
        <v>2019</v>
      </c>
      <c r="L256" t="s">
        <v>32</v>
      </c>
      <c r="M256" t="s">
        <v>759</v>
      </c>
      <c r="N256">
        <v>38.5</v>
      </c>
      <c r="O256">
        <f>29-22.5</f>
        <v>6.5</v>
      </c>
      <c r="P256" t="s">
        <v>30</v>
      </c>
      <c r="Q256" t="s">
        <v>42</v>
      </c>
      <c r="R256" t="s">
        <v>39</v>
      </c>
      <c r="S256" s="4">
        <v>39.740349999999999</v>
      </c>
      <c r="T256" s="4">
        <v>-123.63081</v>
      </c>
      <c r="U256">
        <v>1441</v>
      </c>
      <c r="V256" s="6">
        <f t="shared" si="15"/>
        <v>439.21680000000003</v>
      </c>
      <c r="W256" t="s">
        <v>31</v>
      </c>
      <c r="X256" t="s">
        <v>2363</v>
      </c>
      <c r="Y256" t="s">
        <v>820</v>
      </c>
      <c r="AA256" t="s">
        <v>836</v>
      </c>
      <c r="AJ256" s="41">
        <v>0</v>
      </c>
      <c r="AL256">
        <f t="shared" si="12"/>
        <v>0</v>
      </c>
      <c r="AM256">
        <f t="shared" si="13"/>
        <v>0</v>
      </c>
      <c r="AN256">
        <f t="shared" si="14"/>
        <v>0</v>
      </c>
    </row>
    <row r="257" spans="1:40" x14ac:dyDescent="0.2">
      <c r="A257">
        <v>35</v>
      </c>
      <c r="B257" t="s">
        <v>668</v>
      </c>
      <c r="C257" s="2">
        <v>0</v>
      </c>
      <c r="D257" s="2">
        <v>0</v>
      </c>
      <c r="E257" s="2">
        <v>0</v>
      </c>
      <c r="H257" s="2" t="s">
        <v>1191</v>
      </c>
      <c r="I257">
        <v>25</v>
      </c>
      <c r="J257" t="s">
        <v>319</v>
      </c>
      <c r="K257">
        <v>2019</v>
      </c>
      <c r="L257" t="s">
        <v>758</v>
      </c>
      <c r="M257" t="s">
        <v>759</v>
      </c>
      <c r="N257">
        <v>51.5</v>
      </c>
      <c r="O257">
        <f>73.5-54</f>
        <v>19.5</v>
      </c>
      <c r="P257" t="s">
        <v>37</v>
      </c>
      <c r="Q257" t="s">
        <v>42</v>
      </c>
      <c r="R257" t="s">
        <v>39</v>
      </c>
      <c r="S257" s="4">
        <v>39.740349999999999</v>
      </c>
      <c r="T257" s="4">
        <v>-123.63081</v>
      </c>
      <c r="U257">
        <v>1441</v>
      </c>
      <c r="V257" s="6">
        <f t="shared" si="15"/>
        <v>439.21680000000003</v>
      </c>
      <c r="W257" t="s">
        <v>31</v>
      </c>
      <c r="X257" t="s">
        <v>2363</v>
      </c>
      <c r="Y257" t="s">
        <v>243</v>
      </c>
      <c r="AA257" t="s">
        <v>837</v>
      </c>
      <c r="AJ257" s="41">
        <v>0</v>
      </c>
      <c r="AL257">
        <f t="shared" si="12"/>
        <v>0</v>
      </c>
      <c r="AM257">
        <f t="shared" si="13"/>
        <v>0</v>
      </c>
      <c r="AN257">
        <f t="shared" si="14"/>
        <v>0</v>
      </c>
    </row>
    <row r="258" spans="1:40" x14ac:dyDescent="0.2">
      <c r="A258">
        <v>35</v>
      </c>
      <c r="B258" t="s">
        <v>669</v>
      </c>
      <c r="C258" s="2">
        <v>0</v>
      </c>
      <c r="D258" s="2">
        <v>0</v>
      </c>
      <c r="E258" s="2">
        <v>0</v>
      </c>
      <c r="H258" s="2" t="s">
        <v>1191</v>
      </c>
      <c r="I258">
        <v>25</v>
      </c>
      <c r="J258" t="s">
        <v>319</v>
      </c>
      <c r="K258">
        <v>2019</v>
      </c>
      <c r="L258" t="s">
        <v>758</v>
      </c>
      <c r="M258" t="s">
        <v>759</v>
      </c>
      <c r="N258">
        <v>42</v>
      </c>
      <c r="O258">
        <f>46.5-32.5</f>
        <v>14</v>
      </c>
      <c r="P258" t="s">
        <v>37</v>
      </c>
      <c r="Q258" t="s">
        <v>38</v>
      </c>
      <c r="R258" t="s">
        <v>39</v>
      </c>
      <c r="S258" s="4">
        <v>39.741079999999997</v>
      </c>
      <c r="T258" s="4">
        <v>-123.62999000000001</v>
      </c>
      <c r="U258">
        <v>1392</v>
      </c>
      <c r="V258" s="6">
        <f t="shared" si="15"/>
        <v>424.28160000000003</v>
      </c>
      <c r="W258" t="s">
        <v>31</v>
      </c>
      <c r="X258" t="s">
        <v>2363</v>
      </c>
      <c r="Y258" t="s">
        <v>532</v>
      </c>
      <c r="Z258" t="s">
        <v>830</v>
      </c>
      <c r="AA258" t="s">
        <v>838</v>
      </c>
      <c r="AJ258" s="41">
        <v>0</v>
      </c>
      <c r="AL258">
        <f t="shared" si="12"/>
        <v>0</v>
      </c>
      <c r="AM258">
        <f t="shared" si="13"/>
        <v>0</v>
      </c>
      <c r="AN258">
        <f t="shared" si="14"/>
        <v>0</v>
      </c>
    </row>
    <row r="259" spans="1:40" x14ac:dyDescent="0.2">
      <c r="A259">
        <v>35</v>
      </c>
      <c r="B259" t="s">
        <v>670</v>
      </c>
      <c r="C259" s="2">
        <v>0</v>
      </c>
      <c r="D259" s="2">
        <v>0</v>
      </c>
      <c r="E259" s="2">
        <v>0</v>
      </c>
      <c r="H259" s="2" t="s">
        <v>1191</v>
      </c>
      <c r="I259">
        <v>25</v>
      </c>
      <c r="J259" t="s">
        <v>319</v>
      </c>
      <c r="K259">
        <v>2019</v>
      </c>
      <c r="L259" t="s">
        <v>758</v>
      </c>
      <c r="M259" t="s">
        <v>759</v>
      </c>
      <c r="N259">
        <v>51.5</v>
      </c>
      <c r="O259">
        <f>63.5-39</f>
        <v>24.5</v>
      </c>
      <c r="P259" t="s">
        <v>37</v>
      </c>
      <c r="Q259" t="s">
        <v>42</v>
      </c>
      <c r="R259" t="s">
        <v>39</v>
      </c>
      <c r="S259" s="4">
        <v>39.741019999999999</v>
      </c>
      <c r="T259" s="4">
        <v>-123.62989</v>
      </c>
      <c r="U259">
        <v>1374</v>
      </c>
      <c r="V259" s="6">
        <f t="shared" si="15"/>
        <v>418.79520000000002</v>
      </c>
      <c r="W259" t="s">
        <v>31</v>
      </c>
      <c r="X259" t="s">
        <v>2363</v>
      </c>
      <c r="Y259" t="s">
        <v>597</v>
      </c>
      <c r="AA259" t="s">
        <v>839</v>
      </c>
      <c r="AJ259" s="41">
        <v>0</v>
      </c>
      <c r="AL259">
        <f t="shared" ref="AL259:AL322" si="16">C259*80</f>
        <v>0</v>
      </c>
      <c r="AM259">
        <f t="shared" ref="AM259:AM322" si="17">D259*80</f>
        <v>0</v>
      </c>
      <c r="AN259">
        <f t="shared" ref="AN259:AN322" si="18">E259*80</f>
        <v>0</v>
      </c>
    </row>
    <row r="260" spans="1:40" x14ac:dyDescent="0.2">
      <c r="A260">
        <v>35</v>
      </c>
      <c r="B260" t="s">
        <v>671</v>
      </c>
      <c r="C260" s="2">
        <v>0</v>
      </c>
      <c r="D260" s="2">
        <v>0</v>
      </c>
      <c r="E260" s="2">
        <v>0</v>
      </c>
      <c r="H260" s="2" t="s">
        <v>1191</v>
      </c>
      <c r="I260">
        <v>25</v>
      </c>
      <c r="J260" t="s">
        <v>319</v>
      </c>
      <c r="K260">
        <v>2019</v>
      </c>
      <c r="L260" t="s">
        <v>758</v>
      </c>
      <c r="M260" t="s">
        <v>759</v>
      </c>
      <c r="N260">
        <v>34</v>
      </c>
      <c r="O260">
        <f>76.5-73.5</f>
        <v>3</v>
      </c>
      <c r="P260" t="s">
        <v>30</v>
      </c>
      <c r="R260" t="s">
        <v>89</v>
      </c>
      <c r="S260" s="4">
        <v>39.74183</v>
      </c>
      <c r="T260" s="4">
        <v>-123.62827</v>
      </c>
      <c r="U260">
        <v>1410</v>
      </c>
      <c r="V260" s="6">
        <f t="shared" si="15"/>
        <v>429.76800000000003</v>
      </c>
      <c r="W260" t="s">
        <v>31</v>
      </c>
      <c r="X260" t="s">
        <v>2363</v>
      </c>
      <c r="Y260" t="s">
        <v>821</v>
      </c>
      <c r="Z260" t="s">
        <v>831</v>
      </c>
      <c r="AA260" t="s">
        <v>840</v>
      </c>
      <c r="AJ260" s="41">
        <v>0</v>
      </c>
      <c r="AL260">
        <f t="shared" si="16"/>
        <v>0</v>
      </c>
      <c r="AM260">
        <f t="shared" si="17"/>
        <v>0</v>
      </c>
      <c r="AN260">
        <f t="shared" si="18"/>
        <v>0</v>
      </c>
    </row>
    <row r="261" spans="1:40" x14ac:dyDescent="0.2">
      <c r="A261">
        <v>35</v>
      </c>
      <c r="B261" t="s">
        <v>672</v>
      </c>
      <c r="C261" s="2">
        <v>0</v>
      </c>
      <c r="D261" s="2">
        <v>0</v>
      </c>
      <c r="E261" s="2">
        <v>0</v>
      </c>
      <c r="H261" s="2" t="s">
        <v>1191</v>
      </c>
      <c r="I261">
        <v>25</v>
      </c>
      <c r="J261" t="s">
        <v>319</v>
      </c>
      <c r="K261">
        <v>2019</v>
      </c>
      <c r="L261" t="s">
        <v>758</v>
      </c>
      <c r="M261" t="s">
        <v>759</v>
      </c>
      <c r="N261">
        <v>30.5</v>
      </c>
      <c r="O261">
        <f>66-59.5</f>
        <v>6.5</v>
      </c>
      <c r="P261" t="s">
        <v>37</v>
      </c>
      <c r="R261" t="s">
        <v>89</v>
      </c>
      <c r="S261" s="4">
        <v>39.740299999999998</v>
      </c>
      <c r="T261" s="4">
        <v>-123.63148</v>
      </c>
      <c r="U261">
        <v>1363</v>
      </c>
      <c r="V261" s="6">
        <f t="shared" si="15"/>
        <v>415.44240000000002</v>
      </c>
      <c r="W261" t="s">
        <v>31</v>
      </c>
      <c r="X261" t="s">
        <v>2363</v>
      </c>
      <c r="Y261" t="s">
        <v>177</v>
      </c>
      <c r="Z261" t="s">
        <v>832</v>
      </c>
      <c r="AA261" t="s">
        <v>841</v>
      </c>
      <c r="AJ261" s="41">
        <v>0</v>
      </c>
      <c r="AL261">
        <f t="shared" si="16"/>
        <v>0</v>
      </c>
      <c r="AM261">
        <f t="shared" si="17"/>
        <v>0</v>
      </c>
      <c r="AN261">
        <f t="shared" si="18"/>
        <v>0</v>
      </c>
    </row>
    <row r="262" spans="1:40" x14ac:dyDescent="0.2">
      <c r="A262">
        <v>36</v>
      </c>
      <c r="B262" t="s">
        <v>673</v>
      </c>
      <c r="C262">
        <v>3.4351768493652344</v>
      </c>
      <c r="D262">
        <v>3.5512459278106689</v>
      </c>
      <c r="E262">
        <v>2.9922201633453369</v>
      </c>
      <c r="H262" s="2" t="s">
        <v>1191</v>
      </c>
      <c r="I262">
        <v>25</v>
      </c>
      <c r="J262" t="s">
        <v>319</v>
      </c>
      <c r="K262">
        <v>2019</v>
      </c>
      <c r="L262" t="s">
        <v>32</v>
      </c>
      <c r="M262" t="s">
        <v>759</v>
      </c>
      <c r="N262">
        <v>32</v>
      </c>
      <c r="O262">
        <f>25-21.5</f>
        <v>3.5</v>
      </c>
      <c r="P262" t="s">
        <v>30</v>
      </c>
      <c r="Q262" t="s">
        <v>38</v>
      </c>
      <c r="R262" t="s">
        <v>39</v>
      </c>
      <c r="S262" s="4">
        <v>39.735999999999997</v>
      </c>
      <c r="T262" s="4">
        <v>-123.63132</v>
      </c>
      <c r="U262">
        <v>1346</v>
      </c>
      <c r="V262" s="6">
        <f t="shared" si="15"/>
        <v>410.26080000000002</v>
      </c>
      <c r="W262" t="s">
        <v>2360</v>
      </c>
      <c r="X262" t="s">
        <v>2362</v>
      </c>
      <c r="Y262" t="s">
        <v>822</v>
      </c>
      <c r="Z262" t="s">
        <v>833</v>
      </c>
      <c r="AA262" t="s">
        <v>842</v>
      </c>
      <c r="AJ262" s="41">
        <v>0</v>
      </c>
      <c r="AL262">
        <f t="shared" si="16"/>
        <v>274.81414794921875</v>
      </c>
      <c r="AM262">
        <f t="shared" si="17"/>
        <v>284.09967422485352</v>
      </c>
      <c r="AN262">
        <f t="shared" si="18"/>
        <v>239.37761306762695</v>
      </c>
    </row>
    <row r="263" spans="1:40" x14ac:dyDescent="0.2">
      <c r="A263">
        <v>36</v>
      </c>
      <c r="B263" t="s">
        <v>674</v>
      </c>
      <c r="C263">
        <v>0.13745716214179993</v>
      </c>
      <c r="D263">
        <v>0</v>
      </c>
      <c r="E263">
        <v>0</v>
      </c>
      <c r="H263" s="2" t="s">
        <v>1191</v>
      </c>
      <c r="I263">
        <v>25</v>
      </c>
      <c r="J263" t="s">
        <v>319</v>
      </c>
      <c r="K263">
        <v>2019</v>
      </c>
      <c r="L263" t="s">
        <v>32</v>
      </c>
      <c r="M263" t="s">
        <v>759</v>
      </c>
      <c r="N263">
        <v>33.5</v>
      </c>
      <c r="O263">
        <f>35.5-32.5</f>
        <v>3</v>
      </c>
      <c r="P263" t="s">
        <v>30</v>
      </c>
      <c r="Q263" t="s">
        <v>38</v>
      </c>
      <c r="R263" t="s">
        <v>39</v>
      </c>
      <c r="S263" s="4">
        <v>39.73601</v>
      </c>
      <c r="T263" s="4">
        <v>-123.63106999999999</v>
      </c>
      <c r="U263">
        <v>1336</v>
      </c>
      <c r="V263" s="6">
        <f t="shared" si="15"/>
        <v>407.21280000000002</v>
      </c>
      <c r="W263" t="s">
        <v>2360</v>
      </c>
      <c r="X263" t="s">
        <v>2362</v>
      </c>
      <c r="Y263" t="s">
        <v>113</v>
      </c>
      <c r="AA263" t="s">
        <v>843</v>
      </c>
      <c r="AJ263" s="41">
        <v>0</v>
      </c>
      <c r="AL263">
        <f t="shared" si="16"/>
        <v>10.996572971343994</v>
      </c>
      <c r="AM263">
        <f t="shared" si="17"/>
        <v>0</v>
      </c>
      <c r="AN263">
        <f t="shared" si="18"/>
        <v>0</v>
      </c>
    </row>
    <row r="264" spans="1:40" x14ac:dyDescent="0.2">
      <c r="A264">
        <v>36</v>
      </c>
      <c r="B264" t="s">
        <v>675</v>
      </c>
      <c r="C264">
        <v>1.2591186761856079</v>
      </c>
      <c r="D264">
        <v>1.0979601144790649</v>
      </c>
      <c r="E264">
        <v>1.1592929363250732</v>
      </c>
      <c r="H264" s="2" t="s">
        <v>1191</v>
      </c>
      <c r="I264">
        <v>25</v>
      </c>
      <c r="J264" t="s">
        <v>319</v>
      </c>
      <c r="K264">
        <v>2019</v>
      </c>
      <c r="L264" t="s">
        <v>32</v>
      </c>
      <c r="M264" t="s">
        <v>759</v>
      </c>
      <c r="N264">
        <v>34</v>
      </c>
      <c r="O264">
        <f>21-16.5</f>
        <v>4.5</v>
      </c>
      <c r="P264" t="s">
        <v>30</v>
      </c>
      <c r="Q264" t="s">
        <v>38</v>
      </c>
      <c r="R264" t="s">
        <v>39</v>
      </c>
      <c r="S264" s="4">
        <v>39.735999999999997</v>
      </c>
      <c r="T264" s="4">
        <v>-123.63132</v>
      </c>
      <c r="U264">
        <v>1346</v>
      </c>
      <c r="V264" s="6">
        <f t="shared" si="15"/>
        <v>410.26080000000002</v>
      </c>
      <c r="W264" t="s">
        <v>2360</v>
      </c>
      <c r="X264" t="s">
        <v>2362</v>
      </c>
      <c r="Y264" t="s">
        <v>299</v>
      </c>
      <c r="AA264" t="s">
        <v>844</v>
      </c>
      <c r="AJ264" s="41">
        <v>0</v>
      </c>
      <c r="AL264">
        <f t="shared" si="16"/>
        <v>100.72949409484863</v>
      </c>
      <c r="AM264">
        <f t="shared" si="17"/>
        <v>87.836809158325195</v>
      </c>
      <c r="AN264">
        <f t="shared" si="18"/>
        <v>92.743434906005859</v>
      </c>
    </row>
    <row r="265" spans="1:40" x14ac:dyDescent="0.2">
      <c r="A265">
        <v>36</v>
      </c>
      <c r="B265" t="s">
        <v>676</v>
      </c>
      <c r="C265" s="2">
        <v>0</v>
      </c>
      <c r="D265">
        <v>0.10442505776882172</v>
      </c>
      <c r="E265">
        <v>0</v>
      </c>
      <c r="H265" s="2" t="s">
        <v>1191</v>
      </c>
      <c r="I265">
        <v>25</v>
      </c>
      <c r="J265" t="s">
        <v>319</v>
      </c>
      <c r="K265">
        <v>2019</v>
      </c>
      <c r="L265" t="s">
        <v>32</v>
      </c>
      <c r="M265" t="s">
        <v>759</v>
      </c>
      <c r="N265">
        <v>36</v>
      </c>
      <c r="O265">
        <f>40-34.5</f>
        <v>5.5</v>
      </c>
      <c r="P265" t="s">
        <v>30</v>
      </c>
      <c r="Q265" t="s">
        <v>38</v>
      </c>
      <c r="R265" t="s">
        <v>39</v>
      </c>
      <c r="S265" s="4">
        <v>39.735999999999997</v>
      </c>
      <c r="T265" s="4">
        <v>-123.63132</v>
      </c>
      <c r="U265">
        <v>1346</v>
      </c>
      <c r="V265" s="6">
        <f t="shared" si="15"/>
        <v>410.26080000000002</v>
      </c>
      <c r="W265" t="s">
        <v>2360</v>
      </c>
      <c r="X265" t="s">
        <v>2362</v>
      </c>
      <c r="Y265" t="s">
        <v>823</v>
      </c>
      <c r="AA265" t="s">
        <v>845</v>
      </c>
      <c r="AJ265" s="41">
        <v>0</v>
      </c>
      <c r="AL265">
        <f t="shared" si="16"/>
        <v>0</v>
      </c>
      <c r="AM265">
        <f t="shared" si="17"/>
        <v>8.3540046215057373</v>
      </c>
      <c r="AN265">
        <f t="shared" si="18"/>
        <v>0</v>
      </c>
    </row>
    <row r="266" spans="1:40" x14ac:dyDescent="0.2">
      <c r="A266">
        <v>36</v>
      </c>
      <c r="B266" t="s">
        <v>677</v>
      </c>
      <c r="C266">
        <v>29.913581848144531</v>
      </c>
      <c r="D266" s="2">
        <v>27.375362396240234</v>
      </c>
      <c r="E266" s="2">
        <v>26.908145904541016</v>
      </c>
      <c r="H266" s="2" t="s">
        <v>1191</v>
      </c>
      <c r="I266">
        <v>25</v>
      </c>
      <c r="J266" t="s">
        <v>319</v>
      </c>
      <c r="K266">
        <v>2019</v>
      </c>
      <c r="L266" t="s">
        <v>32</v>
      </c>
      <c r="M266" t="s">
        <v>759</v>
      </c>
      <c r="N266">
        <v>32</v>
      </c>
      <c r="O266">
        <f>41-35</f>
        <v>6</v>
      </c>
      <c r="P266" t="s">
        <v>37</v>
      </c>
      <c r="Q266" t="s">
        <v>38</v>
      </c>
      <c r="R266" t="s">
        <v>39</v>
      </c>
      <c r="S266" s="4">
        <v>39.73601</v>
      </c>
      <c r="T266" s="4">
        <v>-123.63106999999999</v>
      </c>
      <c r="U266">
        <v>1336</v>
      </c>
      <c r="V266" s="6">
        <f t="shared" si="15"/>
        <v>407.21280000000002</v>
      </c>
      <c r="W266" t="s">
        <v>2360</v>
      </c>
      <c r="X266" t="s">
        <v>2362</v>
      </c>
      <c r="Y266" t="s">
        <v>824</v>
      </c>
      <c r="AA266" t="s">
        <v>846</v>
      </c>
      <c r="AJ266" s="41">
        <v>0</v>
      </c>
      <c r="AL266">
        <f t="shared" si="16"/>
        <v>2393.0865478515625</v>
      </c>
      <c r="AM266">
        <f t="shared" si="17"/>
        <v>2190.0289916992188</v>
      </c>
      <c r="AN266">
        <f t="shared" si="18"/>
        <v>2152.6516723632812</v>
      </c>
    </row>
    <row r="267" spans="1:40" x14ac:dyDescent="0.2">
      <c r="A267">
        <v>36</v>
      </c>
      <c r="B267" t="s">
        <v>678</v>
      </c>
      <c r="C267">
        <v>6.0589861869812012</v>
      </c>
      <c r="D267">
        <v>2.906930685043335</v>
      </c>
      <c r="E267">
        <v>2.3270697593688965</v>
      </c>
      <c r="H267" s="2" t="s">
        <v>1191</v>
      </c>
      <c r="I267">
        <v>25</v>
      </c>
      <c r="J267" t="s">
        <v>319</v>
      </c>
      <c r="K267">
        <v>2019</v>
      </c>
      <c r="L267" t="s">
        <v>32</v>
      </c>
      <c r="M267" t="s">
        <v>759</v>
      </c>
      <c r="N267">
        <v>34.5</v>
      </c>
      <c r="O267">
        <f>48.5-43.5</f>
        <v>5</v>
      </c>
      <c r="P267" t="s">
        <v>37</v>
      </c>
      <c r="Q267" t="s">
        <v>38</v>
      </c>
      <c r="R267" t="s">
        <v>39</v>
      </c>
      <c r="S267" s="4">
        <v>39.73601</v>
      </c>
      <c r="T267" s="4">
        <v>-123.63106999999999</v>
      </c>
      <c r="U267">
        <v>1336</v>
      </c>
      <c r="V267" s="6">
        <f t="shared" si="15"/>
        <v>407.21280000000002</v>
      </c>
      <c r="W267" t="s">
        <v>2360</v>
      </c>
      <c r="X267" t="s">
        <v>2362</v>
      </c>
      <c r="Y267" t="s">
        <v>825</v>
      </c>
      <c r="AA267" t="s">
        <v>847</v>
      </c>
      <c r="AJ267" s="41">
        <v>0</v>
      </c>
      <c r="AL267">
        <f t="shared" si="16"/>
        <v>484.71889495849609</v>
      </c>
      <c r="AM267">
        <f t="shared" si="17"/>
        <v>232.5544548034668</v>
      </c>
      <c r="AN267">
        <f t="shared" si="18"/>
        <v>186.16558074951172</v>
      </c>
    </row>
    <row r="268" spans="1:40" x14ac:dyDescent="0.2">
      <c r="A268">
        <v>36</v>
      </c>
      <c r="B268" t="s">
        <v>679</v>
      </c>
      <c r="C268" s="2">
        <v>0</v>
      </c>
      <c r="D268">
        <v>0</v>
      </c>
      <c r="E268">
        <v>0</v>
      </c>
      <c r="H268" s="2" t="s">
        <v>1191</v>
      </c>
      <c r="I268">
        <v>25</v>
      </c>
      <c r="J268" t="s">
        <v>319</v>
      </c>
      <c r="K268">
        <v>2019</v>
      </c>
      <c r="L268" t="s">
        <v>32</v>
      </c>
      <c r="M268" t="s">
        <v>759</v>
      </c>
      <c r="N268">
        <v>34.5</v>
      </c>
      <c r="O268">
        <f>22.5-19</f>
        <v>3.5</v>
      </c>
      <c r="P268" t="s">
        <v>30</v>
      </c>
      <c r="Q268" t="s">
        <v>38</v>
      </c>
      <c r="R268" t="s">
        <v>39</v>
      </c>
      <c r="S268" s="4">
        <v>39.73601</v>
      </c>
      <c r="T268" s="4">
        <v>-123.63106999999999</v>
      </c>
      <c r="U268">
        <v>1336</v>
      </c>
      <c r="V268" s="6">
        <f t="shared" si="15"/>
        <v>407.21280000000002</v>
      </c>
      <c r="W268" t="s">
        <v>2360</v>
      </c>
      <c r="X268" t="s">
        <v>2362</v>
      </c>
      <c r="Y268" t="s">
        <v>826</v>
      </c>
      <c r="Z268" t="s">
        <v>834</v>
      </c>
      <c r="AA268" t="s">
        <v>848</v>
      </c>
      <c r="AJ268" s="41">
        <v>0</v>
      </c>
      <c r="AL268">
        <f t="shared" si="16"/>
        <v>0</v>
      </c>
      <c r="AM268">
        <f t="shared" si="17"/>
        <v>0</v>
      </c>
      <c r="AN268">
        <f t="shared" si="18"/>
        <v>0</v>
      </c>
    </row>
    <row r="269" spans="1:40" x14ac:dyDescent="0.2">
      <c r="A269">
        <v>36</v>
      </c>
      <c r="B269" t="s">
        <v>680</v>
      </c>
      <c r="C269" s="2">
        <v>0</v>
      </c>
      <c r="D269">
        <v>0</v>
      </c>
      <c r="E269">
        <v>0</v>
      </c>
      <c r="G269" t="s">
        <v>1186</v>
      </c>
      <c r="H269" s="2" t="s">
        <v>1191</v>
      </c>
      <c r="I269">
        <v>25</v>
      </c>
      <c r="J269" t="s">
        <v>319</v>
      </c>
      <c r="K269">
        <v>2019</v>
      </c>
      <c r="L269" t="s">
        <v>32</v>
      </c>
      <c r="M269" t="s">
        <v>759</v>
      </c>
      <c r="N269">
        <v>31.5</v>
      </c>
      <c r="O269">
        <f>18.5-14.5</f>
        <v>4</v>
      </c>
      <c r="P269" t="s">
        <v>37</v>
      </c>
      <c r="Q269" t="s">
        <v>38</v>
      </c>
      <c r="R269" t="s">
        <v>39</v>
      </c>
      <c r="S269" s="4">
        <v>39.735889999999998</v>
      </c>
      <c r="T269" s="4">
        <v>-123.63099</v>
      </c>
      <c r="U269">
        <v>1341</v>
      </c>
      <c r="V269" s="6">
        <f t="shared" si="15"/>
        <v>408.73680000000002</v>
      </c>
      <c r="W269" t="s">
        <v>2360</v>
      </c>
      <c r="X269" t="s">
        <v>2362</v>
      </c>
      <c r="Y269" t="s">
        <v>827</v>
      </c>
      <c r="Z269" t="s">
        <v>786</v>
      </c>
      <c r="AA269" t="s">
        <v>471</v>
      </c>
      <c r="AJ269" s="41">
        <v>0</v>
      </c>
      <c r="AL269">
        <f t="shared" si="16"/>
        <v>0</v>
      </c>
      <c r="AM269">
        <f t="shared" si="17"/>
        <v>0</v>
      </c>
      <c r="AN269">
        <f t="shared" si="18"/>
        <v>0</v>
      </c>
    </row>
    <row r="270" spans="1:40" x14ac:dyDescent="0.2">
      <c r="A270">
        <v>36</v>
      </c>
      <c r="B270" t="s">
        <v>681</v>
      </c>
      <c r="C270" s="2">
        <v>0</v>
      </c>
      <c r="D270">
        <v>0</v>
      </c>
      <c r="E270">
        <v>0</v>
      </c>
      <c r="G270" t="s">
        <v>1186</v>
      </c>
      <c r="H270" s="2" t="s">
        <v>1191</v>
      </c>
      <c r="I270">
        <v>25</v>
      </c>
      <c r="J270" t="s">
        <v>319</v>
      </c>
      <c r="K270">
        <v>2019</v>
      </c>
      <c r="L270" t="s">
        <v>32</v>
      </c>
      <c r="M270" t="s">
        <v>759</v>
      </c>
      <c r="N270">
        <v>30</v>
      </c>
      <c r="O270">
        <f>24-19.5</f>
        <v>4.5</v>
      </c>
      <c r="P270" t="s">
        <v>37</v>
      </c>
      <c r="Q270" t="s">
        <v>38</v>
      </c>
      <c r="R270" t="s">
        <v>39</v>
      </c>
      <c r="S270" s="4">
        <v>39.736339999999998</v>
      </c>
      <c r="T270" s="4">
        <v>-123.63133999999999</v>
      </c>
      <c r="U270">
        <v>1279</v>
      </c>
      <c r="V270" s="6">
        <f t="shared" si="15"/>
        <v>389.83920000000001</v>
      </c>
      <c r="W270" t="s">
        <v>2360</v>
      </c>
      <c r="X270" t="s">
        <v>2362</v>
      </c>
      <c r="Y270" t="s">
        <v>828</v>
      </c>
      <c r="AA270" t="s">
        <v>849</v>
      </c>
      <c r="AJ270" s="41">
        <v>0</v>
      </c>
      <c r="AL270">
        <f t="shared" si="16"/>
        <v>0</v>
      </c>
      <c r="AM270">
        <f t="shared" si="17"/>
        <v>0</v>
      </c>
      <c r="AN270">
        <f t="shared" si="18"/>
        <v>0</v>
      </c>
    </row>
    <row r="271" spans="1:40" x14ac:dyDescent="0.2">
      <c r="A271">
        <v>36</v>
      </c>
      <c r="B271" t="s">
        <v>682</v>
      </c>
      <c r="C271">
        <v>1.3266147375106812</v>
      </c>
      <c r="D271">
        <v>0.73603355884552002</v>
      </c>
      <c r="E271">
        <v>0.68407213687896729</v>
      </c>
      <c r="G271" t="s">
        <v>1186</v>
      </c>
      <c r="H271" s="2" t="s">
        <v>1191</v>
      </c>
      <c r="I271">
        <v>25</v>
      </c>
      <c r="J271" t="s">
        <v>319</v>
      </c>
      <c r="K271">
        <v>2019</v>
      </c>
      <c r="L271" t="s">
        <v>32</v>
      </c>
      <c r="M271" t="s">
        <v>759</v>
      </c>
      <c r="N271">
        <v>33</v>
      </c>
      <c r="O271">
        <f>53-47</f>
        <v>6</v>
      </c>
      <c r="P271" t="s">
        <v>37</v>
      </c>
      <c r="Q271" t="s">
        <v>38</v>
      </c>
      <c r="R271" t="s">
        <v>39</v>
      </c>
      <c r="S271" s="4">
        <v>39.735900000000001</v>
      </c>
      <c r="T271" s="4">
        <v>-123.63127</v>
      </c>
      <c r="U271">
        <v>1348</v>
      </c>
      <c r="V271" s="6">
        <f t="shared" si="15"/>
        <v>410.87040000000002</v>
      </c>
      <c r="W271" t="s">
        <v>2360</v>
      </c>
      <c r="X271" t="s">
        <v>2362</v>
      </c>
      <c r="Y271" t="s">
        <v>828</v>
      </c>
      <c r="AA271" t="s">
        <v>850</v>
      </c>
      <c r="AJ271" s="41">
        <v>0</v>
      </c>
      <c r="AL271">
        <f t="shared" si="16"/>
        <v>106.12917900085449</v>
      </c>
      <c r="AM271">
        <f t="shared" si="17"/>
        <v>58.882684707641602</v>
      </c>
      <c r="AN271">
        <f t="shared" si="18"/>
        <v>54.725770950317383</v>
      </c>
    </row>
    <row r="272" spans="1:40" x14ac:dyDescent="0.2">
      <c r="A272">
        <v>36</v>
      </c>
      <c r="B272" t="s">
        <v>683</v>
      </c>
      <c r="C272" s="2">
        <v>0</v>
      </c>
      <c r="D272">
        <v>0</v>
      </c>
      <c r="E272">
        <v>0</v>
      </c>
      <c r="G272" t="s">
        <v>1186</v>
      </c>
      <c r="H272" s="2" t="s">
        <v>1191</v>
      </c>
      <c r="I272">
        <v>25</v>
      </c>
      <c r="J272" t="s">
        <v>319</v>
      </c>
      <c r="K272">
        <v>2019</v>
      </c>
      <c r="L272" t="s">
        <v>32</v>
      </c>
      <c r="M272" t="s">
        <v>759</v>
      </c>
      <c r="N272">
        <v>33.5</v>
      </c>
      <c r="O272">
        <f>26-22.5</f>
        <v>3.5</v>
      </c>
      <c r="P272" t="s">
        <v>37</v>
      </c>
      <c r="Q272" t="s">
        <v>38</v>
      </c>
      <c r="R272" t="s">
        <v>39</v>
      </c>
      <c r="S272" s="4">
        <v>39.73601</v>
      </c>
      <c r="T272" s="4">
        <v>-123.63106999999999</v>
      </c>
      <c r="U272">
        <v>1336</v>
      </c>
      <c r="V272" s="6">
        <f t="shared" si="15"/>
        <v>407.21280000000002</v>
      </c>
      <c r="W272" t="s">
        <v>2360</v>
      </c>
      <c r="X272" t="s">
        <v>2362</v>
      </c>
      <c r="Y272" t="s">
        <v>829</v>
      </c>
      <c r="AA272" t="s">
        <v>851</v>
      </c>
      <c r="AJ272" s="41">
        <v>0</v>
      </c>
      <c r="AL272">
        <f t="shared" si="16"/>
        <v>0</v>
      </c>
      <c r="AM272">
        <f t="shared" si="17"/>
        <v>0</v>
      </c>
      <c r="AN272">
        <f t="shared" si="18"/>
        <v>0</v>
      </c>
    </row>
    <row r="273" spans="1:40" x14ac:dyDescent="0.2">
      <c r="A273">
        <v>36</v>
      </c>
      <c r="B273" t="s">
        <v>684</v>
      </c>
      <c r="C273">
        <v>3.9646139144897461</v>
      </c>
      <c r="D273">
        <v>1.8998755216598511</v>
      </c>
      <c r="E273">
        <v>1.1706851720809937</v>
      </c>
      <c r="G273" t="s">
        <v>1186</v>
      </c>
      <c r="H273" s="2" t="s">
        <v>1191</v>
      </c>
      <c r="I273">
        <v>25</v>
      </c>
      <c r="J273" t="s">
        <v>319</v>
      </c>
      <c r="K273">
        <v>2019</v>
      </c>
      <c r="L273" t="s">
        <v>32</v>
      </c>
      <c r="M273" t="s">
        <v>759</v>
      </c>
      <c r="N273">
        <v>32</v>
      </c>
      <c r="O273">
        <f>32.5-27.5</f>
        <v>5</v>
      </c>
      <c r="P273" t="s">
        <v>30</v>
      </c>
      <c r="Q273" t="s">
        <v>38</v>
      </c>
      <c r="R273" t="s">
        <v>39</v>
      </c>
      <c r="S273" s="4">
        <v>39.73601</v>
      </c>
      <c r="T273" s="4">
        <v>-123.63106999999999</v>
      </c>
      <c r="U273">
        <v>1336</v>
      </c>
      <c r="V273" s="6">
        <f t="shared" si="15"/>
        <v>407.21280000000002</v>
      </c>
      <c r="W273" t="s">
        <v>2360</v>
      </c>
      <c r="X273" t="s">
        <v>2362</v>
      </c>
      <c r="Y273" t="s">
        <v>818</v>
      </c>
      <c r="AA273" t="s">
        <v>852</v>
      </c>
      <c r="AJ273" s="41">
        <v>0</v>
      </c>
      <c r="AL273">
        <f t="shared" si="16"/>
        <v>317.16911315917969</v>
      </c>
      <c r="AM273">
        <f t="shared" si="17"/>
        <v>151.99004173278809</v>
      </c>
      <c r="AN273">
        <f t="shared" si="18"/>
        <v>93.654813766479492</v>
      </c>
    </row>
    <row r="274" spans="1:40" x14ac:dyDescent="0.2">
      <c r="A274">
        <v>37</v>
      </c>
      <c r="B274" t="s">
        <v>903</v>
      </c>
      <c r="C274" s="2">
        <v>0</v>
      </c>
      <c r="D274">
        <v>0</v>
      </c>
      <c r="E274">
        <v>0</v>
      </c>
      <c r="G274" t="s">
        <v>1186</v>
      </c>
      <c r="H274" s="2" t="s">
        <v>1191</v>
      </c>
      <c r="I274">
        <v>27</v>
      </c>
      <c r="J274" t="s">
        <v>319</v>
      </c>
      <c r="K274">
        <v>2019</v>
      </c>
      <c r="L274" t="s">
        <v>758</v>
      </c>
      <c r="M274" t="s">
        <v>759</v>
      </c>
      <c r="N274">
        <v>40</v>
      </c>
      <c r="O274">
        <f>35.5-28</f>
        <v>7.5</v>
      </c>
      <c r="P274" t="s">
        <v>37</v>
      </c>
      <c r="Q274" s="2" t="s">
        <v>42</v>
      </c>
      <c r="R274" s="2" t="s">
        <v>39</v>
      </c>
      <c r="S274" s="4">
        <v>39.734580000000001</v>
      </c>
      <c r="T274" s="4">
        <v>-123.62958</v>
      </c>
      <c r="U274">
        <v>1427</v>
      </c>
      <c r="V274" s="6">
        <f t="shared" si="15"/>
        <v>434.94960000000003</v>
      </c>
      <c r="W274" t="s">
        <v>31</v>
      </c>
      <c r="X274" t="s">
        <v>2364</v>
      </c>
      <c r="Y274" t="s">
        <v>1080</v>
      </c>
      <c r="Z274" t="s">
        <v>1120</v>
      </c>
      <c r="AA274" t="s">
        <v>1124</v>
      </c>
      <c r="AJ274" s="41">
        <v>0</v>
      </c>
      <c r="AL274">
        <f t="shared" si="16"/>
        <v>0</v>
      </c>
      <c r="AM274">
        <f t="shared" si="17"/>
        <v>0</v>
      </c>
      <c r="AN274">
        <f t="shared" si="18"/>
        <v>0</v>
      </c>
    </row>
    <row r="275" spans="1:40" x14ac:dyDescent="0.2">
      <c r="A275">
        <v>37</v>
      </c>
      <c r="B275" t="s">
        <v>904</v>
      </c>
      <c r="C275" s="2">
        <v>0</v>
      </c>
      <c r="D275">
        <v>0</v>
      </c>
      <c r="E275">
        <v>0</v>
      </c>
      <c r="G275" t="s">
        <v>1186</v>
      </c>
      <c r="H275" s="2" t="s">
        <v>1191</v>
      </c>
      <c r="I275">
        <v>27</v>
      </c>
      <c r="J275" t="s">
        <v>319</v>
      </c>
      <c r="K275">
        <v>2019</v>
      </c>
      <c r="L275" t="s">
        <v>758</v>
      </c>
      <c r="M275" t="s">
        <v>759</v>
      </c>
      <c r="N275">
        <v>53</v>
      </c>
      <c r="O275">
        <f>54-32</f>
        <v>22</v>
      </c>
      <c r="P275" t="s">
        <v>30</v>
      </c>
      <c r="Q275" t="s">
        <v>38</v>
      </c>
      <c r="R275" t="s">
        <v>39</v>
      </c>
      <c r="S275" s="4">
        <v>39.734580000000001</v>
      </c>
      <c r="T275" s="4">
        <v>-123.62958</v>
      </c>
      <c r="U275">
        <v>1427</v>
      </c>
      <c r="V275" s="6">
        <f t="shared" si="15"/>
        <v>434.94960000000003</v>
      </c>
      <c r="W275" t="s">
        <v>31</v>
      </c>
      <c r="X275" t="s">
        <v>2364</v>
      </c>
      <c r="Y275" t="s">
        <v>856</v>
      </c>
      <c r="AA275" t="s">
        <v>1125</v>
      </c>
      <c r="AJ275" s="41">
        <v>0</v>
      </c>
      <c r="AL275">
        <f t="shared" si="16"/>
        <v>0</v>
      </c>
      <c r="AM275">
        <f t="shared" si="17"/>
        <v>0</v>
      </c>
      <c r="AN275">
        <f t="shared" si="18"/>
        <v>0</v>
      </c>
    </row>
    <row r="276" spans="1:40" x14ac:dyDescent="0.2">
      <c r="A276">
        <v>37</v>
      </c>
      <c r="B276" t="s">
        <v>905</v>
      </c>
      <c r="C276" s="2">
        <v>0</v>
      </c>
      <c r="D276">
        <v>0</v>
      </c>
      <c r="E276">
        <v>0</v>
      </c>
      <c r="G276" t="s">
        <v>1186</v>
      </c>
      <c r="H276" s="2" t="s">
        <v>1191</v>
      </c>
      <c r="I276">
        <v>27</v>
      </c>
      <c r="J276" t="s">
        <v>319</v>
      </c>
      <c r="K276">
        <v>2019</v>
      </c>
      <c r="L276" t="s">
        <v>758</v>
      </c>
      <c r="M276" t="s">
        <v>759</v>
      </c>
      <c r="N276">
        <v>52</v>
      </c>
      <c r="O276">
        <f>83-64</f>
        <v>19</v>
      </c>
      <c r="P276" t="s">
        <v>30</v>
      </c>
      <c r="Q276" t="s">
        <v>38</v>
      </c>
      <c r="R276" t="s">
        <v>39</v>
      </c>
      <c r="S276" s="4">
        <v>39.734569999999998</v>
      </c>
      <c r="T276" s="4">
        <v>-123.62895</v>
      </c>
      <c r="U276">
        <v>1438</v>
      </c>
      <c r="V276" s="6">
        <f t="shared" si="15"/>
        <v>438.30240000000003</v>
      </c>
      <c r="W276" t="s">
        <v>31</v>
      </c>
      <c r="X276" t="s">
        <v>2364</v>
      </c>
      <c r="Y276" t="s">
        <v>1081</v>
      </c>
      <c r="Z276" t="s">
        <v>776</v>
      </c>
      <c r="AA276" t="s">
        <v>1126</v>
      </c>
      <c r="AJ276" s="41">
        <v>0</v>
      </c>
      <c r="AL276">
        <f t="shared" si="16"/>
        <v>0</v>
      </c>
      <c r="AM276">
        <f t="shared" si="17"/>
        <v>0</v>
      </c>
      <c r="AN276">
        <f t="shared" si="18"/>
        <v>0</v>
      </c>
    </row>
    <row r="277" spans="1:40" x14ac:dyDescent="0.2">
      <c r="A277">
        <v>37</v>
      </c>
      <c r="B277" t="s">
        <v>906</v>
      </c>
      <c r="C277" s="2">
        <v>0</v>
      </c>
      <c r="D277">
        <v>0</v>
      </c>
      <c r="E277">
        <v>0</v>
      </c>
      <c r="G277" t="s">
        <v>1186</v>
      </c>
      <c r="H277" s="2" t="s">
        <v>1191</v>
      </c>
      <c r="I277">
        <v>27</v>
      </c>
      <c r="J277" t="s">
        <v>319</v>
      </c>
      <c r="K277">
        <v>2019</v>
      </c>
      <c r="L277" t="s">
        <v>758</v>
      </c>
      <c r="M277" t="s">
        <v>759</v>
      </c>
      <c r="N277">
        <v>57</v>
      </c>
      <c r="O277">
        <f>31.5-9.5</f>
        <v>22</v>
      </c>
      <c r="P277" t="s">
        <v>30</v>
      </c>
      <c r="Q277" t="s">
        <v>42</v>
      </c>
      <c r="R277" t="s">
        <v>39</v>
      </c>
      <c r="S277" s="4">
        <v>39.734780000000001</v>
      </c>
      <c r="T277" s="4">
        <v>-123.62824999999999</v>
      </c>
      <c r="U277">
        <v>1446</v>
      </c>
      <c r="V277" s="6">
        <f t="shared" si="15"/>
        <v>440.74080000000004</v>
      </c>
      <c r="W277" t="s">
        <v>31</v>
      </c>
      <c r="X277" t="s">
        <v>2364</v>
      </c>
      <c r="Y277" t="s">
        <v>1082</v>
      </c>
      <c r="AA277" t="s">
        <v>1127</v>
      </c>
      <c r="AJ277" s="41">
        <v>0</v>
      </c>
      <c r="AL277">
        <f t="shared" si="16"/>
        <v>0</v>
      </c>
      <c r="AM277">
        <f t="shared" si="17"/>
        <v>0</v>
      </c>
      <c r="AN277">
        <f t="shared" si="18"/>
        <v>0</v>
      </c>
    </row>
    <row r="278" spans="1:40" x14ac:dyDescent="0.2">
      <c r="A278">
        <v>37</v>
      </c>
      <c r="B278" t="s">
        <v>907</v>
      </c>
      <c r="C278" s="2">
        <v>0</v>
      </c>
      <c r="D278">
        <v>0</v>
      </c>
      <c r="E278">
        <v>0</v>
      </c>
      <c r="G278" t="s">
        <v>1186</v>
      </c>
      <c r="H278" s="2" t="s">
        <v>1191</v>
      </c>
      <c r="I278">
        <v>27</v>
      </c>
      <c r="J278" t="s">
        <v>319</v>
      </c>
      <c r="K278">
        <v>2019</v>
      </c>
      <c r="L278" t="s">
        <v>758</v>
      </c>
      <c r="M278" t="s">
        <v>759</v>
      </c>
      <c r="N278">
        <v>50.5</v>
      </c>
      <c r="O278">
        <f>76.5-60</f>
        <v>16.5</v>
      </c>
      <c r="P278" t="s">
        <v>30</v>
      </c>
      <c r="Q278" t="s">
        <v>38</v>
      </c>
      <c r="R278" t="s">
        <v>39</v>
      </c>
      <c r="S278" s="4">
        <v>39.734780000000001</v>
      </c>
      <c r="T278" s="4">
        <v>-123.62824999999999</v>
      </c>
      <c r="U278">
        <v>1446</v>
      </c>
      <c r="V278" s="6">
        <f t="shared" si="15"/>
        <v>440.74080000000004</v>
      </c>
      <c r="W278" t="s">
        <v>31</v>
      </c>
      <c r="X278" t="s">
        <v>2364</v>
      </c>
      <c r="Y278" t="s">
        <v>862</v>
      </c>
      <c r="AA278" t="s">
        <v>1128</v>
      </c>
      <c r="AJ278" s="41">
        <v>0</v>
      </c>
      <c r="AL278">
        <f t="shared" si="16"/>
        <v>0</v>
      </c>
      <c r="AM278">
        <f t="shared" si="17"/>
        <v>0</v>
      </c>
      <c r="AN278">
        <f t="shared" si="18"/>
        <v>0</v>
      </c>
    </row>
    <row r="279" spans="1:40" x14ac:dyDescent="0.2">
      <c r="A279">
        <v>37</v>
      </c>
      <c r="B279" t="s">
        <v>908</v>
      </c>
      <c r="C279">
        <v>2.6332901790738106E-2</v>
      </c>
      <c r="D279">
        <v>3.6765590310096741E-2</v>
      </c>
      <c r="E279" s="2">
        <v>2.7586063370108604E-2</v>
      </c>
      <c r="G279" t="s">
        <v>1186</v>
      </c>
      <c r="H279" s="2" t="s">
        <v>1191</v>
      </c>
      <c r="I279">
        <v>27</v>
      </c>
      <c r="J279" t="s">
        <v>319</v>
      </c>
      <c r="K279">
        <v>2019</v>
      </c>
      <c r="L279" t="s">
        <v>758</v>
      </c>
      <c r="M279" t="s">
        <v>759</v>
      </c>
      <c r="N279">
        <v>37</v>
      </c>
      <c r="O279">
        <f>39-29.5</f>
        <v>9.5</v>
      </c>
      <c r="P279" t="s">
        <v>30</v>
      </c>
      <c r="Q279" t="s">
        <v>38</v>
      </c>
      <c r="R279" s="45" t="s">
        <v>89</v>
      </c>
      <c r="S279" s="4">
        <v>39.734659999999998</v>
      </c>
      <c r="T279" s="4">
        <v>-123.62873999999999</v>
      </c>
      <c r="U279">
        <v>1471</v>
      </c>
      <c r="V279" s="6">
        <f t="shared" si="15"/>
        <v>448.36080000000004</v>
      </c>
      <c r="W279" t="s">
        <v>31</v>
      </c>
      <c r="X279" t="s">
        <v>2364</v>
      </c>
      <c r="Y279" t="s">
        <v>1083</v>
      </c>
      <c r="Z279" t="s">
        <v>1121</v>
      </c>
      <c r="AA279" t="s">
        <v>1129</v>
      </c>
      <c r="AJ279" s="41">
        <v>0</v>
      </c>
      <c r="AL279">
        <f t="shared" si="16"/>
        <v>2.1066321432590485</v>
      </c>
      <c r="AM279">
        <f t="shared" si="17"/>
        <v>2.9412472248077393</v>
      </c>
      <c r="AN279">
        <f t="shared" si="18"/>
        <v>2.2068850696086884</v>
      </c>
    </row>
    <row r="280" spans="1:40" x14ac:dyDescent="0.2">
      <c r="A280">
        <v>37</v>
      </c>
      <c r="B280" t="s">
        <v>909</v>
      </c>
      <c r="C280" s="2">
        <v>0</v>
      </c>
      <c r="D280">
        <v>4.1536170989274979E-2</v>
      </c>
      <c r="E280" s="2">
        <v>0</v>
      </c>
      <c r="G280" t="s">
        <v>1186</v>
      </c>
      <c r="H280" s="2" t="s">
        <v>1191</v>
      </c>
      <c r="I280">
        <v>27</v>
      </c>
      <c r="J280" t="s">
        <v>319</v>
      </c>
      <c r="K280">
        <v>2019</v>
      </c>
      <c r="L280" t="s">
        <v>758</v>
      </c>
      <c r="M280" t="s">
        <v>759</v>
      </c>
      <c r="N280">
        <v>49</v>
      </c>
      <c r="O280">
        <f>28.5-10</f>
        <v>18.5</v>
      </c>
      <c r="P280" t="s">
        <v>37</v>
      </c>
      <c r="Q280" t="s">
        <v>38</v>
      </c>
      <c r="R280" t="s">
        <v>39</v>
      </c>
      <c r="S280" s="4">
        <v>39.734569999999998</v>
      </c>
      <c r="T280" s="4">
        <v>-123.62894</v>
      </c>
      <c r="U280">
        <v>1462</v>
      </c>
      <c r="V280" s="6">
        <f t="shared" si="15"/>
        <v>445.61760000000004</v>
      </c>
      <c r="W280" t="s">
        <v>31</v>
      </c>
      <c r="X280" t="s">
        <v>2364</v>
      </c>
      <c r="Y280" t="s">
        <v>864</v>
      </c>
      <c r="AA280" t="s">
        <v>1130</v>
      </c>
      <c r="AJ280" s="41">
        <v>0</v>
      </c>
      <c r="AL280">
        <f t="shared" si="16"/>
        <v>0</v>
      </c>
      <c r="AM280">
        <f t="shared" si="17"/>
        <v>3.3228936791419983</v>
      </c>
      <c r="AN280">
        <f t="shared" si="18"/>
        <v>0</v>
      </c>
    </row>
    <row r="281" spans="1:40" x14ac:dyDescent="0.2">
      <c r="A281">
        <v>37</v>
      </c>
      <c r="B281" t="s">
        <v>910</v>
      </c>
      <c r="C281" s="2">
        <v>0</v>
      </c>
      <c r="D281">
        <v>3.7435043603181839E-2</v>
      </c>
      <c r="E281" s="2">
        <v>0</v>
      </c>
      <c r="G281" t="s">
        <v>1186</v>
      </c>
      <c r="H281" s="2" t="s">
        <v>1191</v>
      </c>
      <c r="I281">
        <v>27</v>
      </c>
      <c r="J281" t="s">
        <v>319</v>
      </c>
      <c r="K281">
        <v>2019</v>
      </c>
      <c r="L281" t="s">
        <v>758</v>
      </c>
      <c r="M281" t="s">
        <v>759</v>
      </c>
      <c r="N281">
        <v>51</v>
      </c>
      <c r="O281">
        <f>26-10</f>
        <v>16</v>
      </c>
      <c r="P281" t="s">
        <v>37</v>
      </c>
      <c r="Q281" t="s">
        <v>38</v>
      </c>
      <c r="R281" t="s">
        <v>39</v>
      </c>
      <c r="S281" s="4">
        <v>39.734569999999998</v>
      </c>
      <c r="T281" s="4">
        <v>-123.62894</v>
      </c>
      <c r="U281">
        <v>1462</v>
      </c>
      <c r="V281" s="6">
        <f t="shared" si="15"/>
        <v>445.61760000000004</v>
      </c>
      <c r="W281" t="s">
        <v>31</v>
      </c>
      <c r="X281" t="s">
        <v>2364</v>
      </c>
      <c r="Y281" t="s">
        <v>1084</v>
      </c>
      <c r="Z281" t="s">
        <v>1122</v>
      </c>
      <c r="AA281" t="s">
        <v>1131</v>
      </c>
      <c r="AJ281" s="41">
        <v>0</v>
      </c>
      <c r="AL281">
        <f t="shared" si="16"/>
        <v>0</v>
      </c>
      <c r="AM281">
        <f t="shared" si="17"/>
        <v>2.9948034882545471</v>
      </c>
      <c r="AN281">
        <f t="shared" si="18"/>
        <v>0</v>
      </c>
    </row>
    <row r="282" spans="1:40" x14ac:dyDescent="0.2">
      <c r="A282">
        <v>38</v>
      </c>
      <c r="B282" t="s">
        <v>911</v>
      </c>
      <c r="C282" s="2">
        <v>0</v>
      </c>
      <c r="D282" s="2">
        <v>0</v>
      </c>
      <c r="E282" s="2">
        <v>0</v>
      </c>
      <c r="G282" t="s">
        <v>1186</v>
      </c>
      <c r="H282" s="2" t="s">
        <v>1191</v>
      </c>
      <c r="I282">
        <v>29</v>
      </c>
      <c r="J282" t="s">
        <v>319</v>
      </c>
      <c r="K282">
        <v>2019</v>
      </c>
      <c r="L282" t="s">
        <v>32</v>
      </c>
      <c r="M282" t="s">
        <v>1136</v>
      </c>
      <c r="N282">
        <v>28</v>
      </c>
      <c r="O282">
        <f>19.5-17.5</f>
        <v>2</v>
      </c>
      <c r="P282" t="s">
        <v>37</v>
      </c>
      <c r="Q282" s="2" t="s">
        <v>42</v>
      </c>
      <c r="R282" t="s">
        <v>39</v>
      </c>
      <c r="S282" s="4">
        <v>36.950159999999997</v>
      </c>
      <c r="T282" s="4">
        <v>-122.06520999999999</v>
      </c>
      <c r="U282">
        <v>38</v>
      </c>
      <c r="V282" s="6">
        <f t="shared" si="15"/>
        <v>11.5824</v>
      </c>
      <c r="W282" t="s">
        <v>2367</v>
      </c>
      <c r="X282" t="s">
        <v>2365</v>
      </c>
      <c r="Y282" t="s">
        <v>249</v>
      </c>
      <c r="AA282" t="s">
        <v>1132</v>
      </c>
      <c r="AB282">
        <v>18.899999999999999</v>
      </c>
      <c r="AC282">
        <v>11.6</v>
      </c>
      <c r="AF282">
        <v>99</v>
      </c>
      <c r="AG282">
        <v>68</v>
      </c>
      <c r="AJ282" s="41">
        <v>0</v>
      </c>
      <c r="AL282">
        <f t="shared" si="16"/>
        <v>0</v>
      </c>
      <c r="AM282">
        <f t="shared" si="17"/>
        <v>0</v>
      </c>
      <c r="AN282">
        <f t="shared" si="18"/>
        <v>0</v>
      </c>
    </row>
    <row r="283" spans="1:40" x14ac:dyDescent="0.2">
      <c r="A283">
        <v>38</v>
      </c>
      <c r="B283" t="s">
        <v>912</v>
      </c>
      <c r="C283" s="2">
        <v>0</v>
      </c>
      <c r="D283" s="2">
        <v>0</v>
      </c>
      <c r="E283" s="2">
        <v>0</v>
      </c>
      <c r="G283" t="s">
        <v>1186</v>
      </c>
      <c r="H283" s="2" t="s">
        <v>1191</v>
      </c>
      <c r="I283">
        <v>29</v>
      </c>
      <c r="J283" t="s">
        <v>319</v>
      </c>
      <c r="K283">
        <v>2019</v>
      </c>
      <c r="L283" t="s">
        <v>32</v>
      </c>
      <c r="M283" t="s">
        <v>1136</v>
      </c>
      <c r="N283">
        <v>24</v>
      </c>
      <c r="O283">
        <v>1</v>
      </c>
      <c r="P283" t="s">
        <v>37</v>
      </c>
      <c r="Q283" s="2" t="s">
        <v>42</v>
      </c>
      <c r="R283" t="s">
        <v>39</v>
      </c>
      <c r="S283" s="4">
        <v>36.950159999999997</v>
      </c>
      <c r="T283" s="4">
        <v>-122.06520999999999</v>
      </c>
      <c r="U283">
        <v>38</v>
      </c>
      <c r="V283" s="6">
        <f t="shared" si="15"/>
        <v>11.5824</v>
      </c>
      <c r="W283" t="s">
        <v>2367</v>
      </c>
      <c r="X283" t="s">
        <v>2365</v>
      </c>
      <c r="Y283" t="s">
        <v>254</v>
      </c>
      <c r="Z283" t="s">
        <v>1123</v>
      </c>
      <c r="AA283" t="s">
        <v>1133</v>
      </c>
      <c r="AB283">
        <v>18.899999999999999</v>
      </c>
      <c r="AC283">
        <v>11.6</v>
      </c>
      <c r="AF283">
        <v>99</v>
      </c>
      <c r="AG283">
        <v>68</v>
      </c>
      <c r="AJ283" s="41">
        <v>0</v>
      </c>
      <c r="AL283">
        <f t="shared" si="16"/>
        <v>0</v>
      </c>
      <c r="AM283">
        <f t="shared" si="17"/>
        <v>0</v>
      </c>
      <c r="AN283">
        <f t="shared" si="18"/>
        <v>0</v>
      </c>
    </row>
    <row r="284" spans="1:40" x14ac:dyDescent="0.2">
      <c r="A284">
        <v>39</v>
      </c>
      <c r="B284" t="s">
        <v>913</v>
      </c>
      <c r="C284" s="2">
        <v>0</v>
      </c>
      <c r="D284" s="2">
        <v>0</v>
      </c>
      <c r="E284" s="2">
        <v>0</v>
      </c>
      <c r="G284" t="s">
        <v>1186</v>
      </c>
      <c r="H284" s="2" t="s">
        <v>1191</v>
      </c>
      <c r="I284">
        <v>29</v>
      </c>
      <c r="J284" t="s">
        <v>319</v>
      </c>
      <c r="K284">
        <v>2019</v>
      </c>
      <c r="L284" t="s">
        <v>32</v>
      </c>
      <c r="M284" t="s">
        <v>1136</v>
      </c>
      <c r="N284">
        <v>24</v>
      </c>
      <c r="O284">
        <f>11-10.5</f>
        <v>0.5</v>
      </c>
      <c r="P284" t="s">
        <v>30</v>
      </c>
      <c r="Q284" s="45" t="s">
        <v>42</v>
      </c>
      <c r="R284" s="45" t="s">
        <v>39</v>
      </c>
      <c r="S284" s="4">
        <v>36.951450000000001</v>
      </c>
      <c r="T284" s="4">
        <v>-122.06535</v>
      </c>
      <c r="U284">
        <v>50</v>
      </c>
      <c r="V284" s="6">
        <f t="shared" si="15"/>
        <v>15.24</v>
      </c>
      <c r="W284" t="s">
        <v>2368</v>
      </c>
      <c r="X284" t="s">
        <v>2366</v>
      </c>
      <c r="Y284" t="s">
        <v>1085</v>
      </c>
      <c r="AA284" t="s">
        <v>1134</v>
      </c>
      <c r="AB284">
        <v>18.899999999999999</v>
      </c>
      <c r="AC284">
        <v>11.6</v>
      </c>
      <c r="AF284">
        <v>99</v>
      </c>
      <c r="AG284">
        <v>68</v>
      </c>
      <c r="AJ284" s="41">
        <v>0</v>
      </c>
      <c r="AL284">
        <f t="shared" si="16"/>
        <v>0</v>
      </c>
      <c r="AM284">
        <f t="shared" si="17"/>
        <v>0</v>
      </c>
      <c r="AN284">
        <f t="shared" si="18"/>
        <v>0</v>
      </c>
    </row>
    <row r="285" spans="1:40" x14ac:dyDescent="0.2">
      <c r="A285">
        <v>39</v>
      </c>
      <c r="B285" t="s">
        <v>914</v>
      </c>
      <c r="C285" s="2">
        <v>0</v>
      </c>
      <c r="D285" s="2">
        <v>0</v>
      </c>
      <c r="E285" s="2">
        <v>0</v>
      </c>
      <c r="G285" t="s">
        <v>1186</v>
      </c>
      <c r="H285" s="2" t="s">
        <v>1191</v>
      </c>
      <c r="I285">
        <v>29</v>
      </c>
      <c r="J285" t="s">
        <v>319</v>
      </c>
      <c r="K285">
        <v>2019</v>
      </c>
      <c r="L285" t="s">
        <v>32</v>
      </c>
      <c r="M285" t="s">
        <v>1136</v>
      </c>
      <c r="N285">
        <v>26</v>
      </c>
      <c r="O285">
        <f>20.5-18.5</f>
        <v>2</v>
      </c>
      <c r="P285" t="s">
        <v>30</v>
      </c>
      <c r="Q285" s="2"/>
      <c r="R285" s="45" t="s">
        <v>39</v>
      </c>
      <c r="S285" s="4">
        <v>36.951450000000001</v>
      </c>
      <c r="T285" s="4">
        <v>-122.06535</v>
      </c>
      <c r="U285">
        <v>50</v>
      </c>
      <c r="V285" s="6">
        <f t="shared" si="15"/>
        <v>15.24</v>
      </c>
      <c r="W285" t="s">
        <v>2368</v>
      </c>
      <c r="X285" t="s">
        <v>2366</v>
      </c>
      <c r="Y285" t="s">
        <v>1085</v>
      </c>
      <c r="AA285" t="s">
        <v>1135</v>
      </c>
      <c r="AB285">
        <v>18.899999999999999</v>
      </c>
      <c r="AC285">
        <v>11.6</v>
      </c>
      <c r="AF285">
        <v>99</v>
      </c>
      <c r="AG285">
        <v>68</v>
      </c>
      <c r="AJ285" s="41">
        <v>0</v>
      </c>
      <c r="AL285">
        <f t="shared" si="16"/>
        <v>0</v>
      </c>
      <c r="AM285">
        <f t="shared" si="17"/>
        <v>0</v>
      </c>
      <c r="AN285">
        <f t="shared" si="18"/>
        <v>0</v>
      </c>
    </row>
    <row r="286" spans="1:40" x14ac:dyDescent="0.2">
      <c r="A286">
        <v>39</v>
      </c>
      <c r="B286" t="s">
        <v>915</v>
      </c>
      <c r="C286" s="2">
        <v>0</v>
      </c>
      <c r="D286" s="2">
        <v>0</v>
      </c>
      <c r="E286" s="2">
        <v>0</v>
      </c>
      <c r="G286" t="s">
        <v>1186</v>
      </c>
      <c r="H286" s="2" t="s">
        <v>1191</v>
      </c>
      <c r="I286">
        <v>29</v>
      </c>
      <c r="J286" t="s">
        <v>319</v>
      </c>
      <c r="K286">
        <v>2019</v>
      </c>
      <c r="L286" t="s">
        <v>32</v>
      </c>
      <c r="M286" t="s">
        <v>1136</v>
      </c>
      <c r="N286">
        <v>38.5</v>
      </c>
      <c r="O286">
        <f>25.5-20</f>
        <v>5.5</v>
      </c>
      <c r="P286" t="s">
        <v>30</v>
      </c>
      <c r="Q286" t="s">
        <v>42</v>
      </c>
      <c r="R286" t="s">
        <v>39</v>
      </c>
      <c r="S286" s="4">
        <v>36.951450000000001</v>
      </c>
      <c r="T286" s="4">
        <v>-122.06535</v>
      </c>
      <c r="U286">
        <v>50</v>
      </c>
      <c r="V286" s="6">
        <f t="shared" si="15"/>
        <v>15.24</v>
      </c>
      <c r="W286" t="s">
        <v>2368</v>
      </c>
      <c r="X286" t="s">
        <v>2366</v>
      </c>
      <c r="Y286" t="s">
        <v>1085</v>
      </c>
      <c r="Z286" t="s">
        <v>1137</v>
      </c>
      <c r="AA286" t="s">
        <v>1138</v>
      </c>
      <c r="AB286">
        <v>18.899999999999999</v>
      </c>
      <c r="AC286">
        <v>11.6</v>
      </c>
      <c r="AF286">
        <v>99</v>
      </c>
      <c r="AG286">
        <v>68</v>
      </c>
      <c r="AJ286" s="41">
        <v>0</v>
      </c>
      <c r="AL286">
        <f t="shared" si="16"/>
        <v>0</v>
      </c>
      <c r="AM286">
        <f t="shared" si="17"/>
        <v>0</v>
      </c>
      <c r="AN286">
        <f t="shared" si="18"/>
        <v>0</v>
      </c>
    </row>
    <row r="287" spans="1:40" x14ac:dyDescent="0.2">
      <c r="A287">
        <v>39</v>
      </c>
      <c r="B287" t="s">
        <v>916</v>
      </c>
      <c r="C287" s="2">
        <v>0</v>
      </c>
      <c r="D287" s="2">
        <v>0</v>
      </c>
      <c r="E287" s="2">
        <v>0</v>
      </c>
      <c r="G287" t="s">
        <v>1186</v>
      </c>
      <c r="H287" s="2" t="s">
        <v>1191</v>
      </c>
      <c r="I287">
        <v>29</v>
      </c>
      <c r="J287" t="s">
        <v>319</v>
      </c>
      <c r="K287">
        <v>2019</v>
      </c>
      <c r="L287" t="s">
        <v>32</v>
      </c>
      <c r="M287" t="s">
        <v>1136</v>
      </c>
      <c r="N287">
        <v>28</v>
      </c>
      <c r="O287">
        <f>17.5-15.5</f>
        <v>2</v>
      </c>
      <c r="P287" t="s">
        <v>37</v>
      </c>
      <c r="Q287" s="45"/>
      <c r="R287" s="45" t="s">
        <v>39</v>
      </c>
      <c r="S287" s="4">
        <v>36.951949999999997</v>
      </c>
      <c r="T287" s="4">
        <v>-122.06533</v>
      </c>
      <c r="U287">
        <v>51</v>
      </c>
      <c r="V287" s="6">
        <f t="shared" si="15"/>
        <v>15.5448</v>
      </c>
      <c r="W287" t="s">
        <v>2368</v>
      </c>
      <c r="X287" t="s">
        <v>2366</v>
      </c>
      <c r="Y287" t="s">
        <v>1086</v>
      </c>
      <c r="AA287" t="s">
        <v>1139</v>
      </c>
      <c r="AB287">
        <v>18.899999999999999</v>
      </c>
      <c r="AC287">
        <v>11.6</v>
      </c>
      <c r="AF287">
        <v>99</v>
      </c>
      <c r="AG287">
        <v>68</v>
      </c>
      <c r="AJ287" s="41">
        <v>0</v>
      </c>
      <c r="AL287">
        <f t="shared" si="16"/>
        <v>0</v>
      </c>
      <c r="AM287">
        <f t="shared" si="17"/>
        <v>0</v>
      </c>
      <c r="AN287">
        <f t="shared" si="18"/>
        <v>0</v>
      </c>
    </row>
    <row r="288" spans="1:40" x14ac:dyDescent="0.2">
      <c r="A288">
        <v>39</v>
      </c>
      <c r="B288" t="s">
        <v>917</v>
      </c>
      <c r="C288" s="2">
        <v>0</v>
      </c>
      <c r="D288" s="2">
        <v>0</v>
      </c>
      <c r="E288" s="2">
        <v>0</v>
      </c>
      <c r="G288" t="s">
        <v>1186</v>
      </c>
      <c r="H288" s="2" t="s">
        <v>1191</v>
      </c>
      <c r="I288">
        <v>29</v>
      </c>
      <c r="J288" t="s">
        <v>319</v>
      </c>
      <c r="K288">
        <v>2019</v>
      </c>
      <c r="L288" t="s">
        <v>32</v>
      </c>
      <c r="M288" t="s">
        <v>1136</v>
      </c>
      <c r="N288">
        <v>25</v>
      </c>
      <c r="O288">
        <f>19-17.5</f>
        <v>1.5</v>
      </c>
      <c r="P288" t="s">
        <v>37</v>
      </c>
      <c r="Q288" s="45"/>
      <c r="R288" s="45" t="s">
        <v>39</v>
      </c>
      <c r="S288" s="4">
        <v>36.952800000000003</v>
      </c>
      <c r="T288" s="4">
        <v>-122.06525999999999</v>
      </c>
      <c r="U288">
        <v>51</v>
      </c>
      <c r="V288" s="6">
        <f t="shared" si="15"/>
        <v>15.5448</v>
      </c>
      <c r="W288" t="s">
        <v>2368</v>
      </c>
      <c r="X288" t="s">
        <v>2366</v>
      </c>
      <c r="Y288" t="s">
        <v>895</v>
      </c>
      <c r="AA288" t="s">
        <v>1140</v>
      </c>
      <c r="AB288">
        <v>18.899999999999999</v>
      </c>
      <c r="AC288">
        <v>11.6</v>
      </c>
      <c r="AF288">
        <v>99</v>
      </c>
      <c r="AG288">
        <v>68</v>
      </c>
      <c r="AJ288" s="41">
        <v>0</v>
      </c>
      <c r="AL288">
        <f t="shared" si="16"/>
        <v>0</v>
      </c>
      <c r="AM288">
        <f t="shared" si="17"/>
        <v>0</v>
      </c>
      <c r="AN288">
        <f t="shared" si="18"/>
        <v>0</v>
      </c>
    </row>
    <row r="289" spans="1:40" x14ac:dyDescent="0.2">
      <c r="A289">
        <v>39</v>
      </c>
      <c r="B289" t="s">
        <v>918</v>
      </c>
      <c r="C289" s="2">
        <v>0</v>
      </c>
      <c r="D289" s="2">
        <v>0</v>
      </c>
      <c r="E289" s="2">
        <v>0</v>
      </c>
      <c r="G289" t="s">
        <v>1186</v>
      </c>
      <c r="H289" s="2" t="s">
        <v>1191</v>
      </c>
      <c r="I289">
        <v>29</v>
      </c>
      <c r="J289" t="s">
        <v>319</v>
      </c>
      <c r="K289">
        <v>2019</v>
      </c>
      <c r="L289" t="s">
        <v>32</v>
      </c>
      <c r="M289" t="s">
        <v>1136</v>
      </c>
      <c r="N289">
        <v>26.5</v>
      </c>
      <c r="O289">
        <f>19-17.5</f>
        <v>1.5</v>
      </c>
      <c r="P289" t="s">
        <v>37</v>
      </c>
      <c r="Q289" s="45"/>
      <c r="R289" s="45" t="s">
        <v>39</v>
      </c>
      <c r="S289" s="4">
        <v>36.951949999999997</v>
      </c>
      <c r="T289" s="4">
        <v>-122.06533</v>
      </c>
      <c r="U289">
        <v>51</v>
      </c>
      <c r="V289" s="6">
        <f t="shared" si="15"/>
        <v>15.5448</v>
      </c>
      <c r="W289" t="s">
        <v>2368</v>
      </c>
      <c r="X289" t="s">
        <v>2366</v>
      </c>
      <c r="Y289" t="s">
        <v>1087</v>
      </c>
      <c r="AA289" t="s">
        <v>1141</v>
      </c>
      <c r="AB289">
        <v>18.899999999999999</v>
      </c>
      <c r="AC289">
        <v>11.6</v>
      </c>
      <c r="AF289">
        <v>99</v>
      </c>
      <c r="AG289">
        <v>68</v>
      </c>
      <c r="AJ289" s="41">
        <v>0</v>
      </c>
      <c r="AL289">
        <f t="shared" si="16"/>
        <v>0</v>
      </c>
      <c r="AM289">
        <f t="shared" si="17"/>
        <v>0</v>
      </c>
      <c r="AN289">
        <f t="shared" si="18"/>
        <v>0</v>
      </c>
    </row>
    <row r="290" spans="1:40" x14ac:dyDescent="0.2">
      <c r="A290">
        <v>40</v>
      </c>
      <c r="B290" t="s">
        <v>919</v>
      </c>
      <c r="C290" s="2">
        <v>0</v>
      </c>
      <c r="D290" s="2">
        <v>0</v>
      </c>
      <c r="E290" s="2">
        <v>0</v>
      </c>
      <c r="G290" t="s">
        <v>1186</v>
      </c>
      <c r="H290" s="2" t="s">
        <v>1191</v>
      </c>
      <c r="I290">
        <v>30</v>
      </c>
      <c r="J290" t="s">
        <v>319</v>
      </c>
      <c r="K290">
        <v>2019</v>
      </c>
      <c r="L290" t="s">
        <v>32</v>
      </c>
      <c r="M290" t="s">
        <v>1136</v>
      </c>
      <c r="N290">
        <v>25</v>
      </c>
      <c r="O290">
        <f>16.5-14</f>
        <v>2.5</v>
      </c>
      <c r="P290" t="s">
        <v>30</v>
      </c>
      <c r="Q290" s="45"/>
      <c r="R290" s="45" t="s">
        <v>39</v>
      </c>
      <c r="S290" s="4">
        <v>36.952550000000002</v>
      </c>
      <c r="T290" s="4">
        <v>-122.06690999999999</v>
      </c>
      <c r="U290">
        <v>15</v>
      </c>
      <c r="V290" s="6">
        <f t="shared" si="15"/>
        <v>4.5720000000000001</v>
      </c>
      <c r="W290" t="s">
        <v>874</v>
      </c>
      <c r="X290" t="s">
        <v>874</v>
      </c>
      <c r="Y290" t="s">
        <v>363</v>
      </c>
      <c r="AA290" t="s">
        <v>1142</v>
      </c>
      <c r="AB290">
        <v>17.7</v>
      </c>
      <c r="AC290">
        <v>10.8</v>
      </c>
      <c r="AF290">
        <v>93</v>
      </c>
      <c r="AG290">
        <v>71</v>
      </c>
      <c r="AJ290" s="41">
        <v>0</v>
      </c>
      <c r="AL290">
        <f t="shared" si="16"/>
        <v>0</v>
      </c>
      <c r="AM290">
        <f t="shared" si="17"/>
        <v>0</v>
      </c>
      <c r="AN290">
        <f t="shared" si="18"/>
        <v>0</v>
      </c>
    </row>
    <row r="291" spans="1:40" x14ac:dyDescent="0.2">
      <c r="A291">
        <v>40</v>
      </c>
      <c r="B291" t="s">
        <v>920</v>
      </c>
      <c r="C291" s="2">
        <v>0</v>
      </c>
      <c r="D291" s="2">
        <v>0</v>
      </c>
      <c r="E291" s="2">
        <v>0</v>
      </c>
      <c r="G291" t="s">
        <v>1186</v>
      </c>
      <c r="H291" s="2" t="s">
        <v>1191</v>
      </c>
      <c r="I291">
        <v>30</v>
      </c>
      <c r="J291" t="s">
        <v>319</v>
      </c>
      <c r="K291">
        <v>2019</v>
      </c>
      <c r="L291" t="s">
        <v>32</v>
      </c>
      <c r="M291" t="s">
        <v>1136</v>
      </c>
      <c r="N291">
        <v>29.5</v>
      </c>
      <c r="O291">
        <f>10-8.5</f>
        <v>1.5</v>
      </c>
      <c r="P291" t="s">
        <v>30</v>
      </c>
      <c r="Q291" s="45"/>
      <c r="R291" s="45" t="s">
        <v>39</v>
      </c>
      <c r="S291" s="4">
        <v>36.952550000000002</v>
      </c>
      <c r="T291" s="4">
        <v>-122.06690999999999</v>
      </c>
      <c r="U291">
        <v>15</v>
      </c>
      <c r="V291" s="6">
        <f t="shared" si="15"/>
        <v>4.5720000000000001</v>
      </c>
      <c r="W291" t="s">
        <v>874</v>
      </c>
      <c r="X291" t="s">
        <v>874</v>
      </c>
      <c r="Y291" t="s">
        <v>363</v>
      </c>
      <c r="AA291" t="s">
        <v>1143</v>
      </c>
      <c r="AB291">
        <v>17.7</v>
      </c>
      <c r="AC291">
        <v>10.8</v>
      </c>
      <c r="AF291">
        <v>93</v>
      </c>
      <c r="AG291">
        <v>71</v>
      </c>
      <c r="AJ291" s="41">
        <v>0</v>
      </c>
      <c r="AL291">
        <f t="shared" si="16"/>
        <v>0</v>
      </c>
      <c r="AM291">
        <f t="shared" si="17"/>
        <v>0</v>
      </c>
      <c r="AN291">
        <f t="shared" si="18"/>
        <v>0</v>
      </c>
    </row>
    <row r="292" spans="1:40" x14ac:dyDescent="0.2">
      <c r="A292">
        <v>40</v>
      </c>
      <c r="B292" t="s">
        <v>921</v>
      </c>
      <c r="C292" s="2">
        <v>0</v>
      </c>
      <c r="D292" s="2">
        <v>0</v>
      </c>
      <c r="E292" s="2">
        <v>0</v>
      </c>
      <c r="G292" t="s">
        <v>1186</v>
      </c>
      <c r="H292" s="2" t="s">
        <v>1191</v>
      </c>
      <c r="I292">
        <v>30</v>
      </c>
      <c r="J292" t="s">
        <v>319</v>
      </c>
      <c r="K292">
        <v>2019</v>
      </c>
      <c r="L292" t="s">
        <v>32</v>
      </c>
      <c r="M292" t="s">
        <v>1136</v>
      </c>
      <c r="N292">
        <v>24</v>
      </c>
      <c r="O292">
        <f>15-12.5</f>
        <v>2.5</v>
      </c>
      <c r="P292" t="s">
        <v>37</v>
      </c>
      <c r="Q292" s="45"/>
      <c r="R292" s="45" t="s">
        <v>39</v>
      </c>
      <c r="S292" s="4">
        <v>36.952480000000001</v>
      </c>
      <c r="T292" s="4">
        <v>-122.06666</v>
      </c>
      <c r="U292">
        <v>15</v>
      </c>
      <c r="V292" s="6">
        <f t="shared" si="15"/>
        <v>4.5720000000000001</v>
      </c>
      <c r="W292" t="s">
        <v>874</v>
      </c>
      <c r="X292" t="s">
        <v>874</v>
      </c>
      <c r="Y292" t="s">
        <v>304</v>
      </c>
      <c r="AA292" t="s">
        <v>1144</v>
      </c>
      <c r="AB292">
        <v>17.7</v>
      </c>
      <c r="AC292">
        <v>10.8</v>
      </c>
      <c r="AF292">
        <v>93</v>
      </c>
      <c r="AG292">
        <v>71</v>
      </c>
      <c r="AJ292" s="41">
        <v>0</v>
      </c>
      <c r="AL292">
        <f t="shared" si="16"/>
        <v>0</v>
      </c>
      <c r="AM292">
        <f t="shared" si="17"/>
        <v>0</v>
      </c>
      <c r="AN292">
        <f t="shared" si="18"/>
        <v>0</v>
      </c>
    </row>
    <row r="293" spans="1:40" x14ac:dyDescent="0.2">
      <c r="A293">
        <v>40</v>
      </c>
      <c r="B293" t="s">
        <v>922</v>
      </c>
      <c r="C293" s="2">
        <v>0</v>
      </c>
      <c r="D293" s="2">
        <v>0</v>
      </c>
      <c r="E293" s="2">
        <v>0</v>
      </c>
      <c r="G293" t="s">
        <v>1186</v>
      </c>
      <c r="H293" s="2" t="s">
        <v>1191</v>
      </c>
      <c r="I293">
        <v>30</v>
      </c>
      <c r="J293" t="s">
        <v>319</v>
      </c>
      <c r="K293">
        <v>2019</v>
      </c>
      <c r="L293" t="s">
        <v>32</v>
      </c>
      <c r="M293" t="s">
        <v>1136</v>
      </c>
      <c r="N293">
        <v>25</v>
      </c>
      <c r="O293">
        <f>17.5-16.5</f>
        <v>1</v>
      </c>
      <c r="P293" t="s">
        <v>30</v>
      </c>
      <c r="Q293" s="45"/>
      <c r="R293" s="45" t="s">
        <v>39</v>
      </c>
      <c r="S293" s="4">
        <v>36.952480000000001</v>
      </c>
      <c r="T293" s="4">
        <v>-122.06666</v>
      </c>
      <c r="U293">
        <v>15</v>
      </c>
      <c r="V293" s="6">
        <f t="shared" si="15"/>
        <v>4.5720000000000001</v>
      </c>
      <c r="W293" t="s">
        <v>874</v>
      </c>
      <c r="X293" t="s">
        <v>874</v>
      </c>
      <c r="Y293" t="s">
        <v>304</v>
      </c>
      <c r="AA293" t="s">
        <v>1145</v>
      </c>
      <c r="AB293">
        <v>17.7</v>
      </c>
      <c r="AC293">
        <v>10.8</v>
      </c>
      <c r="AF293">
        <v>93</v>
      </c>
      <c r="AG293">
        <v>71</v>
      </c>
      <c r="AJ293" s="41">
        <v>0</v>
      </c>
      <c r="AL293">
        <f t="shared" si="16"/>
        <v>0</v>
      </c>
      <c r="AM293">
        <f t="shared" si="17"/>
        <v>0</v>
      </c>
      <c r="AN293">
        <f t="shared" si="18"/>
        <v>0</v>
      </c>
    </row>
    <row r="294" spans="1:40" x14ac:dyDescent="0.2">
      <c r="A294">
        <v>40</v>
      </c>
      <c r="B294" t="s">
        <v>923</v>
      </c>
      <c r="C294" s="2">
        <v>0</v>
      </c>
      <c r="D294" s="2">
        <v>0</v>
      </c>
      <c r="E294" s="2">
        <v>0</v>
      </c>
      <c r="G294" t="s">
        <v>1186</v>
      </c>
      <c r="H294" s="2" t="s">
        <v>1191</v>
      </c>
      <c r="I294">
        <v>30</v>
      </c>
      <c r="J294" t="s">
        <v>319</v>
      </c>
      <c r="K294">
        <v>2019</v>
      </c>
      <c r="L294" t="s">
        <v>32</v>
      </c>
      <c r="M294" t="s">
        <v>1136</v>
      </c>
      <c r="N294">
        <v>31</v>
      </c>
      <c r="O294">
        <f>12-10.5</f>
        <v>1.5</v>
      </c>
      <c r="P294" t="s">
        <v>30</v>
      </c>
      <c r="Q294" s="45"/>
      <c r="R294" s="45" t="s">
        <v>39</v>
      </c>
      <c r="S294" s="4">
        <v>36.952669999999998</v>
      </c>
      <c r="T294" s="4">
        <v>-122.06657</v>
      </c>
      <c r="U294">
        <v>35</v>
      </c>
      <c r="V294" s="6">
        <f t="shared" si="15"/>
        <v>10.668000000000001</v>
      </c>
      <c r="W294" t="s">
        <v>874</v>
      </c>
      <c r="X294" t="s">
        <v>874</v>
      </c>
      <c r="Y294" t="s">
        <v>65</v>
      </c>
      <c r="AA294" t="s">
        <v>1146</v>
      </c>
      <c r="AB294">
        <v>17.7</v>
      </c>
      <c r="AC294">
        <v>10.8</v>
      </c>
      <c r="AF294">
        <v>93</v>
      </c>
      <c r="AG294">
        <v>71</v>
      </c>
      <c r="AJ294" s="41">
        <v>0</v>
      </c>
      <c r="AL294">
        <f t="shared" si="16"/>
        <v>0</v>
      </c>
      <c r="AM294">
        <f t="shared" si="17"/>
        <v>0</v>
      </c>
      <c r="AN294">
        <f t="shared" si="18"/>
        <v>0</v>
      </c>
    </row>
    <row r="295" spans="1:40" x14ac:dyDescent="0.2">
      <c r="A295">
        <v>40</v>
      </c>
      <c r="B295" t="s">
        <v>924</v>
      </c>
      <c r="C295" s="2">
        <v>0</v>
      </c>
      <c r="D295" s="2">
        <v>0</v>
      </c>
      <c r="E295" s="2">
        <v>0</v>
      </c>
      <c r="G295" t="s">
        <v>1186</v>
      </c>
      <c r="H295" s="2" t="s">
        <v>1191</v>
      </c>
      <c r="I295">
        <v>30</v>
      </c>
      <c r="J295" t="s">
        <v>319</v>
      </c>
      <c r="K295">
        <v>2019</v>
      </c>
      <c r="L295" t="s">
        <v>32</v>
      </c>
      <c r="M295" t="s">
        <v>1136</v>
      </c>
      <c r="N295">
        <v>25</v>
      </c>
      <c r="O295">
        <f>13-11.5</f>
        <v>1.5</v>
      </c>
      <c r="P295" t="s">
        <v>30</v>
      </c>
      <c r="Q295" s="45"/>
      <c r="R295" s="45" t="s">
        <v>39</v>
      </c>
      <c r="S295" s="4">
        <v>36.952660000000002</v>
      </c>
      <c r="T295" s="4">
        <v>-122.06647</v>
      </c>
      <c r="U295">
        <v>32</v>
      </c>
      <c r="V295" s="6">
        <f t="shared" si="15"/>
        <v>9.7536000000000005</v>
      </c>
      <c r="W295" t="s">
        <v>874</v>
      </c>
      <c r="X295" t="s">
        <v>874</v>
      </c>
      <c r="Y295" t="s">
        <v>1088</v>
      </c>
      <c r="AA295" t="s">
        <v>1147</v>
      </c>
      <c r="AB295">
        <v>17.7</v>
      </c>
      <c r="AC295">
        <v>10.8</v>
      </c>
      <c r="AF295">
        <v>93</v>
      </c>
      <c r="AG295">
        <v>71</v>
      </c>
      <c r="AJ295" s="41">
        <v>0</v>
      </c>
      <c r="AL295">
        <f t="shared" si="16"/>
        <v>0</v>
      </c>
      <c r="AM295">
        <f t="shared" si="17"/>
        <v>0</v>
      </c>
      <c r="AN295">
        <f t="shared" si="18"/>
        <v>0</v>
      </c>
    </row>
    <row r="296" spans="1:40" x14ac:dyDescent="0.2">
      <c r="A296">
        <v>40</v>
      </c>
      <c r="B296" t="s">
        <v>925</v>
      </c>
      <c r="C296" s="2">
        <v>0</v>
      </c>
      <c r="D296" s="2">
        <v>0</v>
      </c>
      <c r="E296" s="2">
        <v>0</v>
      </c>
      <c r="G296" t="s">
        <v>1186</v>
      </c>
      <c r="H296" s="2" t="s">
        <v>1191</v>
      </c>
      <c r="I296">
        <v>30</v>
      </c>
      <c r="J296" t="s">
        <v>319</v>
      </c>
      <c r="K296">
        <v>2019</v>
      </c>
      <c r="L296" t="s">
        <v>32</v>
      </c>
      <c r="M296" t="s">
        <v>1136</v>
      </c>
      <c r="N296">
        <v>27.5</v>
      </c>
      <c r="O296">
        <f>16-13</f>
        <v>3</v>
      </c>
      <c r="P296" t="s">
        <v>37</v>
      </c>
      <c r="Q296" s="45"/>
      <c r="R296" s="45" t="s">
        <v>39</v>
      </c>
      <c r="S296" s="4">
        <v>36.952190000000002</v>
      </c>
      <c r="T296" s="4">
        <v>-122.06586</v>
      </c>
      <c r="U296">
        <v>35</v>
      </c>
      <c r="V296" s="6">
        <f t="shared" si="15"/>
        <v>10.668000000000001</v>
      </c>
      <c r="W296" t="s">
        <v>874</v>
      </c>
      <c r="X296" t="s">
        <v>874</v>
      </c>
      <c r="Y296" t="s">
        <v>70</v>
      </c>
      <c r="AA296" t="s">
        <v>1148</v>
      </c>
      <c r="AB296">
        <v>17.7</v>
      </c>
      <c r="AC296">
        <v>10.8</v>
      </c>
      <c r="AF296">
        <v>93</v>
      </c>
      <c r="AG296">
        <v>71</v>
      </c>
      <c r="AJ296" s="41">
        <v>0</v>
      </c>
      <c r="AL296">
        <f t="shared" si="16"/>
        <v>0</v>
      </c>
      <c r="AM296">
        <f t="shared" si="17"/>
        <v>0</v>
      </c>
      <c r="AN296">
        <f t="shared" si="18"/>
        <v>0</v>
      </c>
    </row>
    <row r="297" spans="1:40" x14ac:dyDescent="0.2">
      <c r="A297">
        <v>40</v>
      </c>
      <c r="B297" t="s">
        <v>926</v>
      </c>
      <c r="C297" s="2">
        <v>0</v>
      </c>
      <c r="D297" s="2">
        <v>0</v>
      </c>
      <c r="E297" s="2">
        <v>0</v>
      </c>
      <c r="G297" t="s">
        <v>1186</v>
      </c>
      <c r="H297" s="2" t="s">
        <v>1191</v>
      </c>
      <c r="I297">
        <v>30</v>
      </c>
      <c r="J297" t="s">
        <v>319</v>
      </c>
      <c r="K297">
        <v>2019</v>
      </c>
      <c r="L297" t="s">
        <v>32</v>
      </c>
      <c r="M297" t="s">
        <v>1136</v>
      </c>
      <c r="N297">
        <v>32</v>
      </c>
      <c r="O297">
        <f>15.5-14</f>
        <v>1.5</v>
      </c>
      <c r="P297" t="s">
        <v>30</v>
      </c>
      <c r="Q297" s="45"/>
      <c r="R297" s="45" t="s">
        <v>39</v>
      </c>
      <c r="S297" s="4">
        <v>36.952129999999997</v>
      </c>
      <c r="T297" s="4">
        <v>-122.06583999999999</v>
      </c>
      <c r="U297">
        <v>33</v>
      </c>
      <c r="V297" s="6">
        <f t="shared" si="15"/>
        <v>10.058400000000001</v>
      </c>
      <c r="W297" t="s">
        <v>874</v>
      </c>
      <c r="X297" t="s">
        <v>874</v>
      </c>
      <c r="Y297" t="s">
        <v>1089</v>
      </c>
      <c r="AA297" t="s">
        <v>1149</v>
      </c>
      <c r="AB297">
        <v>17.7</v>
      </c>
      <c r="AC297">
        <v>10.8</v>
      </c>
      <c r="AF297">
        <v>93</v>
      </c>
      <c r="AG297">
        <v>71</v>
      </c>
      <c r="AJ297" s="41">
        <v>0</v>
      </c>
      <c r="AL297">
        <f t="shared" si="16"/>
        <v>0</v>
      </c>
      <c r="AM297">
        <f t="shared" si="17"/>
        <v>0</v>
      </c>
      <c r="AN297">
        <f t="shared" si="18"/>
        <v>0</v>
      </c>
    </row>
    <row r="298" spans="1:40" x14ac:dyDescent="0.2">
      <c r="A298">
        <v>40</v>
      </c>
      <c r="B298" t="s">
        <v>927</v>
      </c>
      <c r="C298" s="2">
        <v>0</v>
      </c>
      <c r="D298" s="2">
        <v>0</v>
      </c>
      <c r="E298" s="2">
        <v>0</v>
      </c>
      <c r="G298" t="s">
        <v>1186</v>
      </c>
      <c r="H298" s="2" t="s">
        <v>1191</v>
      </c>
      <c r="I298">
        <v>30</v>
      </c>
      <c r="J298" t="s">
        <v>319</v>
      </c>
      <c r="K298">
        <v>2019</v>
      </c>
      <c r="L298" t="s">
        <v>32</v>
      </c>
      <c r="M298" t="s">
        <v>1136</v>
      </c>
      <c r="N298">
        <v>26.5</v>
      </c>
      <c r="O298">
        <f>12.5-9</f>
        <v>3.5</v>
      </c>
      <c r="P298" t="s">
        <v>30</v>
      </c>
      <c r="Q298" s="45"/>
      <c r="R298" s="45" t="s">
        <v>39</v>
      </c>
      <c r="S298" s="4">
        <v>36.952129999999997</v>
      </c>
      <c r="T298" s="4">
        <v>-122.06583999999999</v>
      </c>
      <c r="U298">
        <v>33</v>
      </c>
      <c r="V298" s="6">
        <f t="shared" si="15"/>
        <v>10.058400000000001</v>
      </c>
      <c r="W298" t="s">
        <v>874</v>
      </c>
      <c r="X298" t="s">
        <v>874</v>
      </c>
      <c r="Y298" t="s">
        <v>1090</v>
      </c>
      <c r="AA298" t="s">
        <v>1150</v>
      </c>
      <c r="AB298">
        <v>17.7</v>
      </c>
      <c r="AC298">
        <v>10.8</v>
      </c>
      <c r="AF298">
        <v>93</v>
      </c>
      <c r="AG298">
        <v>71</v>
      </c>
      <c r="AJ298" s="41">
        <v>0</v>
      </c>
      <c r="AL298">
        <f t="shared" si="16"/>
        <v>0</v>
      </c>
      <c r="AM298">
        <f t="shared" si="17"/>
        <v>0</v>
      </c>
      <c r="AN298">
        <f t="shared" si="18"/>
        <v>0</v>
      </c>
    </row>
    <row r="299" spans="1:40" x14ac:dyDescent="0.2">
      <c r="A299">
        <v>40</v>
      </c>
      <c r="B299" t="s">
        <v>928</v>
      </c>
      <c r="C299" s="2">
        <v>0</v>
      </c>
      <c r="D299" s="2">
        <v>0</v>
      </c>
      <c r="E299" s="2">
        <v>0</v>
      </c>
      <c r="G299" t="s">
        <v>1186</v>
      </c>
      <c r="H299" s="2" t="s">
        <v>1191</v>
      </c>
      <c r="I299">
        <v>30</v>
      </c>
      <c r="J299" t="s">
        <v>319</v>
      </c>
      <c r="K299">
        <v>2019</v>
      </c>
      <c r="L299" t="s">
        <v>32</v>
      </c>
      <c r="M299" t="s">
        <v>1136</v>
      </c>
      <c r="N299">
        <v>27</v>
      </c>
      <c r="O299">
        <v>1</v>
      </c>
      <c r="P299" t="s">
        <v>30</v>
      </c>
      <c r="Q299" s="45"/>
      <c r="R299" s="45" t="s">
        <v>39</v>
      </c>
      <c r="S299" s="4">
        <v>36.952939999999998</v>
      </c>
      <c r="T299" s="4">
        <v>-122.06686999999999</v>
      </c>
      <c r="U299">
        <v>44</v>
      </c>
      <c r="V299" s="6">
        <f t="shared" si="15"/>
        <v>13.411200000000001</v>
      </c>
      <c r="W299" t="s">
        <v>874</v>
      </c>
      <c r="X299" t="s">
        <v>874</v>
      </c>
      <c r="Y299" t="s">
        <v>876</v>
      </c>
      <c r="AA299" t="s">
        <v>1151</v>
      </c>
      <c r="AB299">
        <v>17.7</v>
      </c>
      <c r="AC299">
        <v>10.8</v>
      </c>
      <c r="AF299">
        <v>93</v>
      </c>
      <c r="AG299">
        <v>71</v>
      </c>
      <c r="AJ299" s="41">
        <v>0</v>
      </c>
      <c r="AL299">
        <f t="shared" si="16"/>
        <v>0</v>
      </c>
      <c r="AM299">
        <f t="shared" si="17"/>
        <v>0</v>
      </c>
      <c r="AN299">
        <f t="shared" si="18"/>
        <v>0</v>
      </c>
    </row>
    <row r="300" spans="1:40" x14ac:dyDescent="0.2">
      <c r="A300">
        <v>40</v>
      </c>
      <c r="B300" t="s">
        <v>929</v>
      </c>
      <c r="C300" s="2">
        <v>0</v>
      </c>
      <c r="D300" s="2">
        <v>0</v>
      </c>
      <c r="E300" s="2">
        <v>0</v>
      </c>
      <c r="G300" t="s">
        <v>1186</v>
      </c>
      <c r="H300" s="2" t="s">
        <v>1191</v>
      </c>
      <c r="I300">
        <v>30</v>
      </c>
      <c r="J300" t="s">
        <v>319</v>
      </c>
      <c r="K300">
        <v>2019</v>
      </c>
      <c r="L300" t="s">
        <v>32</v>
      </c>
      <c r="M300" t="s">
        <v>1136</v>
      </c>
      <c r="N300">
        <v>29</v>
      </c>
      <c r="O300">
        <v>2</v>
      </c>
      <c r="P300" t="s">
        <v>30</v>
      </c>
      <c r="Q300" s="45"/>
      <c r="R300" s="45" t="s">
        <v>39</v>
      </c>
      <c r="S300" s="4">
        <v>36.953189999999999</v>
      </c>
      <c r="T300" s="4">
        <v>-122.06629</v>
      </c>
      <c r="U300">
        <v>51</v>
      </c>
      <c r="V300" s="6">
        <f t="shared" ref="V300:V363" si="19">U300*0.3048</f>
        <v>15.5448</v>
      </c>
      <c r="W300" t="s">
        <v>2358</v>
      </c>
      <c r="X300" t="s">
        <v>2369</v>
      </c>
      <c r="Y300" t="s">
        <v>1091</v>
      </c>
      <c r="AA300" t="s">
        <v>1152</v>
      </c>
      <c r="AB300">
        <v>17.7</v>
      </c>
      <c r="AC300">
        <v>10.8</v>
      </c>
      <c r="AF300">
        <v>93</v>
      </c>
      <c r="AG300">
        <v>71</v>
      </c>
      <c r="AJ300" s="41">
        <v>0</v>
      </c>
      <c r="AL300">
        <f t="shared" si="16"/>
        <v>0</v>
      </c>
      <c r="AM300">
        <f t="shared" si="17"/>
        <v>0</v>
      </c>
      <c r="AN300">
        <f t="shared" si="18"/>
        <v>0</v>
      </c>
    </row>
    <row r="301" spans="1:40" x14ac:dyDescent="0.2">
      <c r="A301">
        <v>40</v>
      </c>
      <c r="B301" t="s">
        <v>930</v>
      </c>
      <c r="C301" s="2">
        <v>0</v>
      </c>
      <c r="D301" s="2">
        <v>0</v>
      </c>
      <c r="E301" s="2">
        <v>0</v>
      </c>
      <c r="G301" t="s">
        <v>1186</v>
      </c>
      <c r="H301" s="2" t="s">
        <v>1191</v>
      </c>
      <c r="I301">
        <v>30</v>
      </c>
      <c r="J301" t="s">
        <v>319</v>
      </c>
      <c r="K301">
        <v>2019</v>
      </c>
      <c r="L301" t="s">
        <v>32</v>
      </c>
      <c r="M301" t="s">
        <v>1136</v>
      </c>
      <c r="N301">
        <v>29</v>
      </c>
      <c r="O301">
        <f>17-14.5</f>
        <v>2.5</v>
      </c>
      <c r="P301" t="s">
        <v>30</v>
      </c>
      <c r="Q301" s="45"/>
      <c r="R301" s="45" t="s">
        <v>39</v>
      </c>
      <c r="S301" s="4">
        <v>36.953189999999999</v>
      </c>
      <c r="T301" s="4">
        <v>-122.06629</v>
      </c>
      <c r="U301">
        <v>51</v>
      </c>
      <c r="V301" s="6">
        <f t="shared" si="19"/>
        <v>15.5448</v>
      </c>
      <c r="W301" t="s">
        <v>2358</v>
      </c>
      <c r="X301" t="s">
        <v>2369</v>
      </c>
      <c r="Y301" t="s">
        <v>1091</v>
      </c>
      <c r="AA301" t="s">
        <v>1153</v>
      </c>
      <c r="AB301">
        <v>17.7</v>
      </c>
      <c r="AC301">
        <v>10.8</v>
      </c>
      <c r="AF301">
        <v>93</v>
      </c>
      <c r="AG301">
        <v>71</v>
      </c>
      <c r="AJ301" s="41">
        <v>0</v>
      </c>
      <c r="AL301">
        <f t="shared" si="16"/>
        <v>0</v>
      </c>
      <c r="AM301">
        <f t="shared" si="17"/>
        <v>0</v>
      </c>
      <c r="AN301">
        <f t="shared" si="18"/>
        <v>0</v>
      </c>
    </row>
    <row r="302" spans="1:40" x14ac:dyDescent="0.2">
      <c r="A302">
        <v>40</v>
      </c>
      <c r="B302" t="s">
        <v>931</v>
      </c>
      <c r="C302" s="2">
        <v>0</v>
      </c>
      <c r="D302" s="2">
        <v>0</v>
      </c>
      <c r="E302" s="2">
        <v>0</v>
      </c>
      <c r="G302" t="s">
        <v>1186</v>
      </c>
      <c r="H302" s="2" t="s">
        <v>1191</v>
      </c>
      <c r="I302">
        <v>30</v>
      </c>
      <c r="J302" t="s">
        <v>319</v>
      </c>
      <c r="K302">
        <v>2019</v>
      </c>
      <c r="L302" t="s">
        <v>32</v>
      </c>
      <c r="M302" t="s">
        <v>1136</v>
      </c>
      <c r="N302">
        <v>26.5</v>
      </c>
      <c r="O302">
        <v>1.5</v>
      </c>
      <c r="P302" t="s">
        <v>30</v>
      </c>
      <c r="Q302" s="45"/>
      <c r="R302" s="45" t="s">
        <v>39</v>
      </c>
      <c r="S302" s="4">
        <v>36.953189999999999</v>
      </c>
      <c r="T302" s="4">
        <v>-122.06629</v>
      </c>
      <c r="U302">
        <v>51</v>
      </c>
      <c r="V302" s="6">
        <f t="shared" si="19"/>
        <v>15.5448</v>
      </c>
      <c r="W302" t="s">
        <v>2371</v>
      </c>
      <c r="X302" t="s">
        <v>2370</v>
      </c>
      <c r="Y302" t="s">
        <v>877</v>
      </c>
      <c r="AA302" t="s">
        <v>1154</v>
      </c>
      <c r="AB302">
        <v>17.7</v>
      </c>
      <c r="AC302">
        <v>10.8</v>
      </c>
      <c r="AF302">
        <v>93</v>
      </c>
      <c r="AG302">
        <v>71</v>
      </c>
      <c r="AJ302" s="41">
        <v>0</v>
      </c>
      <c r="AL302">
        <f t="shared" si="16"/>
        <v>0</v>
      </c>
      <c r="AM302">
        <f t="shared" si="17"/>
        <v>0</v>
      </c>
      <c r="AN302">
        <f t="shared" si="18"/>
        <v>0</v>
      </c>
    </row>
    <row r="303" spans="1:40" x14ac:dyDescent="0.2">
      <c r="A303">
        <v>41</v>
      </c>
      <c r="B303" t="s">
        <v>932</v>
      </c>
      <c r="C303">
        <v>0.21336425840854645</v>
      </c>
      <c r="D303">
        <v>0.40102747082710266</v>
      </c>
      <c r="E303" s="2">
        <v>0.19596666097640991</v>
      </c>
      <c r="G303" t="s">
        <v>1186</v>
      </c>
      <c r="H303" s="2" t="s">
        <v>1191</v>
      </c>
      <c r="I303">
        <v>31</v>
      </c>
      <c r="J303" t="s">
        <v>319</v>
      </c>
      <c r="K303">
        <v>2019</v>
      </c>
      <c r="L303" t="s">
        <v>691</v>
      </c>
      <c r="M303" t="s">
        <v>1136</v>
      </c>
      <c r="N303">
        <v>74</v>
      </c>
      <c r="O303">
        <f>91-38.5</f>
        <v>52.5</v>
      </c>
      <c r="P303" t="s">
        <v>30</v>
      </c>
      <c r="Q303" s="2"/>
      <c r="R303" s="45" t="s">
        <v>89</v>
      </c>
      <c r="S303" s="4">
        <v>36.95758</v>
      </c>
      <c r="T303" s="4">
        <v>-122.06483</v>
      </c>
      <c r="U303">
        <v>54</v>
      </c>
      <c r="V303" s="6">
        <f t="shared" si="19"/>
        <v>16.459199999999999</v>
      </c>
      <c r="W303" t="s">
        <v>898</v>
      </c>
      <c r="X303" t="s">
        <v>2372</v>
      </c>
      <c r="Y303" t="s">
        <v>454</v>
      </c>
      <c r="Z303" t="s">
        <v>1156</v>
      </c>
      <c r="AA303" t="s">
        <v>1154</v>
      </c>
      <c r="AB303" s="2">
        <v>17.3</v>
      </c>
      <c r="AC303" s="2">
        <v>12.2</v>
      </c>
      <c r="AF303">
        <v>97</v>
      </c>
      <c r="AG303">
        <v>72</v>
      </c>
      <c r="AJ303" s="41">
        <v>0</v>
      </c>
      <c r="AL303">
        <f t="shared" si="16"/>
        <v>17.069140672683716</v>
      </c>
      <c r="AM303">
        <f t="shared" si="17"/>
        <v>32.082197666168213</v>
      </c>
      <c r="AN303">
        <f t="shared" si="18"/>
        <v>15.677332878112793</v>
      </c>
    </row>
    <row r="304" spans="1:40" x14ac:dyDescent="0.2">
      <c r="A304">
        <v>42</v>
      </c>
      <c r="B304" t="s">
        <v>933</v>
      </c>
      <c r="C304" s="2">
        <v>0</v>
      </c>
      <c r="D304" s="2">
        <v>0</v>
      </c>
      <c r="E304" s="2">
        <v>0</v>
      </c>
      <c r="G304" t="s">
        <v>1186</v>
      </c>
      <c r="H304" s="2" t="s">
        <v>1191</v>
      </c>
      <c r="I304">
        <v>31</v>
      </c>
      <c r="J304" t="s">
        <v>319</v>
      </c>
      <c r="K304">
        <v>2019</v>
      </c>
      <c r="L304" t="s">
        <v>32</v>
      </c>
      <c r="M304" t="s">
        <v>1136</v>
      </c>
      <c r="N304">
        <v>29.5</v>
      </c>
      <c r="O304">
        <v>3</v>
      </c>
      <c r="P304" t="s">
        <v>30</v>
      </c>
      <c r="Q304" t="s">
        <v>42</v>
      </c>
      <c r="R304" t="s">
        <v>39</v>
      </c>
      <c r="S304" s="4">
        <v>36.949489999999997</v>
      </c>
      <c r="T304" s="4">
        <v>-122.06263</v>
      </c>
      <c r="U304">
        <v>30</v>
      </c>
      <c r="V304" s="6">
        <f t="shared" si="19"/>
        <v>9.1440000000000001</v>
      </c>
      <c r="W304" t="s">
        <v>869</v>
      </c>
      <c r="X304" t="s">
        <v>2373</v>
      </c>
      <c r="Y304" t="s">
        <v>1090</v>
      </c>
      <c r="AA304" t="s">
        <v>1157</v>
      </c>
      <c r="AB304" s="2">
        <v>17.3</v>
      </c>
      <c r="AC304" s="2">
        <v>12.2</v>
      </c>
      <c r="AF304">
        <v>97</v>
      </c>
      <c r="AG304">
        <v>72</v>
      </c>
      <c r="AJ304" s="41">
        <v>0</v>
      </c>
      <c r="AL304">
        <f t="shared" si="16"/>
        <v>0</v>
      </c>
      <c r="AM304">
        <f t="shared" si="17"/>
        <v>0</v>
      </c>
      <c r="AN304">
        <f t="shared" si="18"/>
        <v>0</v>
      </c>
    </row>
    <row r="305" spans="1:40" x14ac:dyDescent="0.2">
      <c r="A305">
        <v>42</v>
      </c>
      <c r="B305" t="s">
        <v>934</v>
      </c>
      <c r="C305" s="2">
        <v>0</v>
      </c>
      <c r="D305" s="2">
        <v>0</v>
      </c>
      <c r="E305" s="2">
        <v>0</v>
      </c>
      <c r="G305" t="s">
        <v>1186</v>
      </c>
      <c r="H305" s="2" t="s">
        <v>1191</v>
      </c>
      <c r="I305">
        <v>31</v>
      </c>
      <c r="J305" t="s">
        <v>319</v>
      </c>
      <c r="K305">
        <v>2019</v>
      </c>
      <c r="L305" t="s">
        <v>32</v>
      </c>
      <c r="M305" t="s">
        <v>1136</v>
      </c>
      <c r="N305">
        <v>32</v>
      </c>
      <c r="O305">
        <v>3</v>
      </c>
      <c r="P305" t="s">
        <v>30</v>
      </c>
      <c r="Q305" t="s">
        <v>42</v>
      </c>
      <c r="R305" t="s">
        <v>39</v>
      </c>
      <c r="S305" s="4">
        <v>36.949489999999997</v>
      </c>
      <c r="T305" s="4">
        <v>-122.06263</v>
      </c>
      <c r="U305">
        <v>30</v>
      </c>
      <c r="V305" s="6">
        <f t="shared" si="19"/>
        <v>9.1440000000000001</v>
      </c>
      <c r="W305" t="s">
        <v>869</v>
      </c>
      <c r="X305" t="s">
        <v>2373</v>
      </c>
      <c r="Y305" t="s">
        <v>541</v>
      </c>
      <c r="AA305" t="s">
        <v>1158</v>
      </c>
      <c r="AB305" s="2">
        <v>17.3</v>
      </c>
      <c r="AC305" s="2">
        <v>12.2</v>
      </c>
      <c r="AF305">
        <v>97</v>
      </c>
      <c r="AG305">
        <v>72</v>
      </c>
      <c r="AJ305" s="41">
        <v>0</v>
      </c>
      <c r="AL305">
        <f t="shared" si="16"/>
        <v>0</v>
      </c>
      <c r="AM305">
        <f t="shared" si="17"/>
        <v>0</v>
      </c>
      <c r="AN305">
        <f t="shared" si="18"/>
        <v>0</v>
      </c>
    </row>
    <row r="306" spans="1:40" x14ac:dyDescent="0.2">
      <c r="A306">
        <v>42</v>
      </c>
      <c r="B306" t="s">
        <v>935</v>
      </c>
      <c r="C306" s="2">
        <v>0</v>
      </c>
      <c r="D306" s="2">
        <v>0</v>
      </c>
      <c r="E306" s="2">
        <v>0</v>
      </c>
      <c r="G306" t="s">
        <v>1186</v>
      </c>
      <c r="H306" s="2" t="s">
        <v>1191</v>
      </c>
      <c r="I306">
        <v>31</v>
      </c>
      <c r="J306" t="s">
        <v>319</v>
      </c>
      <c r="K306">
        <v>2019</v>
      </c>
      <c r="L306" t="s">
        <v>32</v>
      </c>
      <c r="M306" t="s">
        <v>1136</v>
      </c>
      <c r="N306">
        <v>28</v>
      </c>
      <c r="O306">
        <f>23-20.5</f>
        <v>2.5</v>
      </c>
      <c r="P306" t="s">
        <v>30</v>
      </c>
      <c r="R306" t="s">
        <v>89</v>
      </c>
      <c r="S306" s="4">
        <v>36.948990000000002</v>
      </c>
      <c r="T306" s="4">
        <v>-122.06428</v>
      </c>
      <c r="U306">
        <v>34</v>
      </c>
      <c r="V306" s="6">
        <f t="shared" si="19"/>
        <v>10.363200000000001</v>
      </c>
      <c r="W306" t="s">
        <v>869</v>
      </c>
      <c r="X306" t="s">
        <v>2373</v>
      </c>
      <c r="Y306" t="s">
        <v>177</v>
      </c>
      <c r="AA306" t="s">
        <v>1159</v>
      </c>
      <c r="AB306" s="2">
        <v>17.3</v>
      </c>
      <c r="AC306" s="2">
        <v>12.2</v>
      </c>
      <c r="AF306">
        <v>97</v>
      </c>
      <c r="AG306">
        <v>72</v>
      </c>
      <c r="AJ306" s="41">
        <v>0</v>
      </c>
      <c r="AL306">
        <f t="shared" si="16"/>
        <v>0</v>
      </c>
      <c r="AM306">
        <f t="shared" si="17"/>
        <v>0</v>
      </c>
      <c r="AN306">
        <f t="shared" si="18"/>
        <v>0</v>
      </c>
    </row>
    <row r="307" spans="1:40" x14ac:dyDescent="0.2">
      <c r="A307">
        <v>42</v>
      </c>
      <c r="B307" t="s">
        <v>936</v>
      </c>
      <c r="C307" s="2">
        <v>0</v>
      </c>
      <c r="D307" s="2">
        <v>0</v>
      </c>
      <c r="E307" s="26">
        <v>5.1154584070900455E-5</v>
      </c>
      <c r="G307" t="s">
        <v>1186</v>
      </c>
      <c r="H307" s="2" t="s">
        <v>1191</v>
      </c>
      <c r="I307">
        <v>31</v>
      </c>
      <c r="J307" t="s">
        <v>319</v>
      </c>
      <c r="K307">
        <v>2019</v>
      </c>
      <c r="L307" t="s">
        <v>32</v>
      </c>
      <c r="M307" t="s">
        <v>1136</v>
      </c>
      <c r="N307">
        <v>28</v>
      </c>
      <c r="O307">
        <v>1</v>
      </c>
      <c r="P307" t="s">
        <v>37</v>
      </c>
      <c r="R307" t="s">
        <v>89</v>
      </c>
      <c r="S307" s="4">
        <v>36.94876</v>
      </c>
      <c r="T307" s="4">
        <v>-122.06464</v>
      </c>
      <c r="U307">
        <v>31</v>
      </c>
      <c r="V307" s="6">
        <f t="shared" si="19"/>
        <v>9.4488000000000003</v>
      </c>
      <c r="W307" t="s">
        <v>869</v>
      </c>
      <c r="X307" t="s">
        <v>2373</v>
      </c>
      <c r="Y307" t="s">
        <v>177</v>
      </c>
      <c r="AA307" t="s">
        <v>1160</v>
      </c>
      <c r="AB307" s="2">
        <v>17.3</v>
      </c>
      <c r="AC307" s="2">
        <v>12.2</v>
      </c>
      <c r="AF307">
        <v>97</v>
      </c>
      <c r="AG307">
        <v>72</v>
      </c>
      <c r="AJ307" s="41">
        <v>0</v>
      </c>
      <c r="AL307">
        <f t="shared" si="16"/>
        <v>0</v>
      </c>
      <c r="AM307">
        <f t="shared" si="17"/>
        <v>0</v>
      </c>
      <c r="AN307">
        <f t="shared" si="18"/>
        <v>4.0923667256720364E-3</v>
      </c>
    </row>
    <row r="308" spans="1:40" x14ac:dyDescent="0.2">
      <c r="A308">
        <v>43</v>
      </c>
      <c r="B308" t="s">
        <v>937</v>
      </c>
      <c r="C308" s="2">
        <v>0</v>
      </c>
      <c r="D308" s="2">
        <v>0</v>
      </c>
      <c r="E308" s="2">
        <v>0</v>
      </c>
      <c r="G308" t="s">
        <v>1186</v>
      </c>
      <c r="H308" s="2" t="s">
        <v>1191</v>
      </c>
      <c r="I308">
        <v>31</v>
      </c>
      <c r="J308" t="s">
        <v>319</v>
      </c>
      <c r="K308">
        <v>2019</v>
      </c>
      <c r="L308" t="s">
        <v>32</v>
      </c>
      <c r="M308" t="s">
        <v>1136</v>
      </c>
      <c r="N308">
        <v>41</v>
      </c>
      <c r="O308">
        <f>31.5-20.5</f>
        <v>11</v>
      </c>
      <c r="P308" t="s">
        <v>30</v>
      </c>
      <c r="Q308" t="s">
        <v>38</v>
      </c>
      <c r="R308" s="45" t="s">
        <v>39</v>
      </c>
      <c r="S308" s="4">
        <v>36.94932</v>
      </c>
      <c r="T308" s="4">
        <v>-122.06547999999999</v>
      </c>
      <c r="U308">
        <v>32</v>
      </c>
      <c r="V308" s="6">
        <f t="shared" si="19"/>
        <v>9.7536000000000005</v>
      </c>
      <c r="W308" t="s">
        <v>2338</v>
      </c>
      <c r="X308" t="s">
        <v>2374</v>
      </c>
      <c r="Y308" t="s">
        <v>1092</v>
      </c>
      <c r="AA308" t="s">
        <v>1161</v>
      </c>
      <c r="AB308" s="2">
        <v>17.3</v>
      </c>
      <c r="AC308" s="2">
        <v>12.2</v>
      </c>
      <c r="AF308">
        <v>97</v>
      </c>
      <c r="AG308">
        <v>72</v>
      </c>
      <c r="AJ308" s="41">
        <v>0</v>
      </c>
      <c r="AL308">
        <f t="shared" si="16"/>
        <v>0</v>
      </c>
      <c r="AM308">
        <f t="shared" si="17"/>
        <v>0</v>
      </c>
      <c r="AN308">
        <f t="shared" si="18"/>
        <v>0</v>
      </c>
    </row>
    <row r="309" spans="1:40" x14ac:dyDescent="0.2">
      <c r="A309">
        <v>43</v>
      </c>
      <c r="B309" t="s">
        <v>938</v>
      </c>
      <c r="C309" s="2">
        <v>0</v>
      </c>
      <c r="D309" s="2">
        <v>0</v>
      </c>
      <c r="E309" s="2">
        <v>0</v>
      </c>
      <c r="G309" t="s">
        <v>1186</v>
      </c>
      <c r="H309" s="2" t="s">
        <v>1191</v>
      </c>
      <c r="I309">
        <v>31</v>
      </c>
      <c r="J309" t="s">
        <v>319</v>
      </c>
      <c r="K309">
        <v>2019</v>
      </c>
      <c r="L309" t="s">
        <v>32</v>
      </c>
      <c r="M309" t="s">
        <v>1136</v>
      </c>
      <c r="N309">
        <v>24.5</v>
      </c>
      <c r="O309">
        <v>2</v>
      </c>
      <c r="P309" t="s">
        <v>30</v>
      </c>
      <c r="R309" s="45" t="s">
        <v>39</v>
      </c>
      <c r="S309" s="4">
        <v>36.949339999999999</v>
      </c>
      <c r="T309" s="4">
        <v>-122.06536</v>
      </c>
      <c r="U309">
        <v>32</v>
      </c>
      <c r="V309" s="6">
        <f t="shared" si="19"/>
        <v>9.7536000000000005</v>
      </c>
      <c r="W309" t="s">
        <v>2338</v>
      </c>
      <c r="X309" t="s">
        <v>2374</v>
      </c>
      <c r="Y309" t="s">
        <v>1092</v>
      </c>
      <c r="AA309" t="s">
        <v>1162</v>
      </c>
      <c r="AB309" s="2">
        <v>17.3</v>
      </c>
      <c r="AC309" s="2">
        <v>12.2</v>
      </c>
      <c r="AF309">
        <v>97</v>
      </c>
      <c r="AG309">
        <v>72</v>
      </c>
      <c r="AJ309" s="41">
        <v>0</v>
      </c>
      <c r="AL309">
        <f t="shared" si="16"/>
        <v>0</v>
      </c>
      <c r="AM309">
        <f t="shared" si="17"/>
        <v>0</v>
      </c>
      <c r="AN309">
        <f t="shared" si="18"/>
        <v>0</v>
      </c>
    </row>
    <row r="310" spans="1:40" x14ac:dyDescent="0.2">
      <c r="A310">
        <v>43</v>
      </c>
      <c r="B310" t="s">
        <v>939</v>
      </c>
      <c r="C310" s="2">
        <v>0</v>
      </c>
      <c r="D310" s="2">
        <v>0</v>
      </c>
      <c r="E310" s="2">
        <v>0</v>
      </c>
      <c r="G310" t="s">
        <v>1186</v>
      </c>
      <c r="H310" s="2" t="s">
        <v>1191</v>
      </c>
      <c r="I310">
        <v>31</v>
      </c>
      <c r="J310" t="s">
        <v>319</v>
      </c>
      <c r="K310">
        <v>2019</v>
      </c>
      <c r="L310" t="s">
        <v>32</v>
      </c>
      <c r="M310" t="s">
        <v>1136</v>
      </c>
      <c r="N310">
        <v>22.5</v>
      </c>
      <c r="O310">
        <v>1.5</v>
      </c>
      <c r="P310" t="s">
        <v>37</v>
      </c>
      <c r="R310" s="45" t="s">
        <v>39</v>
      </c>
      <c r="S310" s="4">
        <v>36.953180000000003</v>
      </c>
      <c r="T310" s="4">
        <v>-122.06648</v>
      </c>
      <c r="U310">
        <v>49</v>
      </c>
      <c r="V310" s="6">
        <f t="shared" si="19"/>
        <v>14.9352</v>
      </c>
      <c r="W310" t="s">
        <v>2338</v>
      </c>
      <c r="X310" t="s">
        <v>2374</v>
      </c>
      <c r="Y310" t="s">
        <v>1093</v>
      </c>
      <c r="AA310" t="s">
        <v>1163</v>
      </c>
      <c r="AB310" s="2">
        <v>17.3</v>
      </c>
      <c r="AC310" s="2">
        <v>12.2</v>
      </c>
      <c r="AF310">
        <v>97</v>
      </c>
      <c r="AG310">
        <v>72</v>
      </c>
      <c r="AJ310" s="41">
        <v>0</v>
      </c>
      <c r="AL310">
        <f t="shared" si="16"/>
        <v>0</v>
      </c>
      <c r="AM310">
        <f t="shared" si="17"/>
        <v>0</v>
      </c>
      <c r="AN310">
        <f t="shared" si="18"/>
        <v>0</v>
      </c>
    </row>
    <row r="311" spans="1:40" x14ac:dyDescent="0.2">
      <c r="A311">
        <v>43</v>
      </c>
      <c r="B311" t="s">
        <v>940</v>
      </c>
      <c r="C311" s="2">
        <v>0</v>
      </c>
      <c r="D311" s="2">
        <v>0</v>
      </c>
      <c r="E311" s="2">
        <v>0</v>
      </c>
      <c r="G311" t="s">
        <v>1186</v>
      </c>
      <c r="H311" s="2" t="s">
        <v>1191</v>
      </c>
      <c r="I311">
        <v>31</v>
      </c>
      <c r="J311" t="s">
        <v>319</v>
      </c>
      <c r="K311">
        <v>2019</v>
      </c>
      <c r="L311" t="s">
        <v>32</v>
      </c>
      <c r="M311" t="s">
        <v>1136</v>
      </c>
      <c r="N311">
        <v>30</v>
      </c>
      <c r="O311">
        <v>2</v>
      </c>
      <c r="P311" t="s">
        <v>30</v>
      </c>
      <c r="R311" s="45" t="s">
        <v>39</v>
      </c>
      <c r="S311" s="4">
        <v>36.949950000000001</v>
      </c>
      <c r="T311" s="4">
        <v>-122.06509</v>
      </c>
      <c r="U311">
        <v>38</v>
      </c>
      <c r="V311" s="6">
        <f t="shared" si="19"/>
        <v>11.5824</v>
      </c>
      <c r="W311" t="s">
        <v>2338</v>
      </c>
      <c r="X311" t="s">
        <v>2374</v>
      </c>
      <c r="Y311" t="s">
        <v>190</v>
      </c>
      <c r="AA311" t="s">
        <v>1164</v>
      </c>
      <c r="AB311" s="2">
        <v>17.3</v>
      </c>
      <c r="AC311" s="2">
        <v>12.2</v>
      </c>
      <c r="AF311">
        <v>97</v>
      </c>
      <c r="AG311">
        <v>72</v>
      </c>
      <c r="AJ311" s="41">
        <v>0</v>
      </c>
      <c r="AL311">
        <f t="shared" si="16"/>
        <v>0</v>
      </c>
      <c r="AM311">
        <f t="shared" si="17"/>
        <v>0</v>
      </c>
      <c r="AN311">
        <f t="shared" si="18"/>
        <v>0</v>
      </c>
    </row>
    <row r="312" spans="1:40" x14ac:dyDescent="0.2">
      <c r="A312">
        <v>43</v>
      </c>
      <c r="B312" t="s">
        <v>941</v>
      </c>
      <c r="C312" s="2">
        <v>0</v>
      </c>
      <c r="D312" s="2">
        <v>0</v>
      </c>
      <c r="E312" s="2">
        <v>0</v>
      </c>
      <c r="G312" t="s">
        <v>1186</v>
      </c>
      <c r="H312" s="2" t="s">
        <v>1191</v>
      </c>
      <c r="I312">
        <v>31</v>
      </c>
      <c r="J312" t="s">
        <v>319</v>
      </c>
      <c r="K312">
        <v>2019</v>
      </c>
      <c r="L312" t="s">
        <v>32</v>
      </c>
      <c r="M312" t="s">
        <v>1136</v>
      </c>
      <c r="N312">
        <v>27</v>
      </c>
      <c r="O312">
        <v>2</v>
      </c>
      <c r="P312" t="s">
        <v>37</v>
      </c>
      <c r="R312" s="45" t="s">
        <v>39</v>
      </c>
      <c r="S312" s="4">
        <v>36.949959999999997</v>
      </c>
      <c r="T312" s="4">
        <v>-122.06501</v>
      </c>
      <c r="U312">
        <v>39</v>
      </c>
      <c r="V312" s="6">
        <f t="shared" si="19"/>
        <v>11.8872</v>
      </c>
      <c r="W312" t="s">
        <v>2338</v>
      </c>
      <c r="X312" t="s">
        <v>2374</v>
      </c>
      <c r="Y312" t="s">
        <v>193</v>
      </c>
      <c r="AA312" t="s">
        <v>1165</v>
      </c>
      <c r="AB312" s="2">
        <v>17.3</v>
      </c>
      <c r="AC312" s="2">
        <v>12.2</v>
      </c>
      <c r="AF312">
        <v>97</v>
      </c>
      <c r="AG312">
        <v>72</v>
      </c>
      <c r="AJ312" s="41">
        <v>0</v>
      </c>
      <c r="AL312">
        <f t="shared" si="16"/>
        <v>0</v>
      </c>
      <c r="AM312">
        <f t="shared" si="17"/>
        <v>0</v>
      </c>
      <c r="AN312">
        <f t="shared" si="18"/>
        <v>0</v>
      </c>
    </row>
    <row r="313" spans="1:40" x14ac:dyDescent="0.2">
      <c r="A313">
        <v>43</v>
      </c>
      <c r="B313" t="s">
        <v>942</v>
      </c>
      <c r="C313" s="2">
        <v>0</v>
      </c>
      <c r="D313" s="2">
        <v>0</v>
      </c>
      <c r="E313" s="2">
        <v>0</v>
      </c>
      <c r="G313" t="s">
        <v>1186</v>
      </c>
      <c r="H313" s="2" t="s">
        <v>1191</v>
      </c>
      <c r="I313">
        <v>31</v>
      </c>
      <c r="J313" t="s">
        <v>319</v>
      </c>
      <c r="K313">
        <v>2019</v>
      </c>
      <c r="L313" t="s">
        <v>32</v>
      </c>
      <c r="M313" t="s">
        <v>1136</v>
      </c>
      <c r="N313">
        <v>24.5</v>
      </c>
      <c r="O313">
        <f>21.5-20.5</f>
        <v>1</v>
      </c>
      <c r="P313" t="s">
        <v>30</v>
      </c>
      <c r="R313" s="45" t="s">
        <v>39</v>
      </c>
      <c r="S313" s="4">
        <v>36.949910000000003</v>
      </c>
      <c r="T313" s="4">
        <v>-122.06488</v>
      </c>
      <c r="U313">
        <v>38</v>
      </c>
      <c r="V313" s="6">
        <f t="shared" si="19"/>
        <v>11.5824</v>
      </c>
      <c r="W313" t="s">
        <v>2338</v>
      </c>
      <c r="X313" t="s">
        <v>2374</v>
      </c>
      <c r="Y313" t="s">
        <v>1094</v>
      </c>
      <c r="AA313" t="s">
        <v>1166</v>
      </c>
      <c r="AB313" s="2">
        <v>17.3</v>
      </c>
      <c r="AC313" s="2">
        <v>12.2</v>
      </c>
      <c r="AF313">
        <v>97</v>
      </c>
      <c r="AG313">
        <v>72</v>
      </c>
      <c r="AJ313" s="41">
        <v>0</v>
      </c>
      <c r="AL313">
        <f t="shared" si="16"/>
        <v>0</v>
      </c>
      <c r="AM313">
        <f t="shared" si="17"/>
        <v>0</v>
      </c>
      <c r="AN313">
        <f t="shared" si="18"/>
        <v>0</v>
      </c>
    </row>
    <row r="314" spans="1:40" x14ac:dyDescent="0.2">
      <c r="A314">
        <v>43</v>
      </c>
      <c r="B314" t="s">
        <v>943</v>
      </c>
      <c r="C314" s="2">
        <v>0</v>
      </c>
      <c r="D314" s="2">
        <v>0</v>
      </c>
      <c r="E314" s="2">
        <v>0</v>
      </c>
      <c r="G314" t="s">
        <v>1186</v>
      </c>
      <c r="H314" s="2" t="s">
        <v>1191</v>
      </c>
      <c r="I314">
        <v>31</v>
      </c>
      <c r="J314" t="s">
        <v>319</v>
      </c>
      <c r="K314">
        <v>2019</v>
      </c>
      <c r="L314" t="s">
        <v>32</v>
      </c>
      <c r="M314" t="s">
        <v>1136</v>
      </c>
      <c r="N314">
        <v>29</v>
      </c>
      <c r="O314">
        <f>25.5-23</f>
        <v>2.5</v>
      </c>
      <c r="P314" t="s">
        <v>30</v>
      </c>
      <c r="R314" s="45" t="s">
        <v>39</v>
      </c>
      <c r="S314" s="4">
        <v>36.950049999999997</v>
      </c>
      <c r="T314" s="4">
        <v>-122.06491</v>
      </c>
      <c r="U314">
        <v>37</v>
      </c>
      <c r="V314" s="6">
        <f t="shared" si="19"/>
        <v>11.277600000000001</v>
      </c>
      <c r="W314" t="s">
        <v>2338</v>
      </c>
      <c r="X314" t="s">
        <v>2374</v>
      </c>
      <c r="Y314" t="s">
        <v>274</v>
      </c>
      <c r="AA314" t="s">
        <v>1167</v>
      </c>
      <c r="AB314" s="2">
        <v>17.3</v>
      </c>
      <c r="AC314" s="2">
        <v>12.2</v>
      </c>
      <c r="AF314">
        <v>97</v>
      </c>
      <c r="AG314">
        <v>72</v>
      </c>
      <c r="AJ314" s="41">
        <v>0</v>
      </c>
      <c r="AL314">
        <f t="shared" si="16"/>
        <v>0</v>
      </c>
      <c r="AM314">
        <f t="shared" si="17"/>
        <v>0</v>
      </c>
      <c r="AN314">
        <f t="shared" si="18"/>
        <v>0</v>
      </c>
    </row>
    <row r="315" spans="1:40" x14ac:dyDescent="0.2">
      <c r="A315">
        <v>43</v>
      </c>
      <c r="B315" t="s">
        <v>944</v>
      </c>
      <c r="C315" s="2">
        <v>0</v>
      </c>
      <c r="D315" s="2">
        <v>0</v>
      </c>
      <c r="E315" s="2">
        <v>0</v>
      </c>
      <c r="G315" t="s">
        <v>1186</v>
      </c>
      <c r="H315" s="2" t="s">
        <v>1191</v>
      </c>
      <c r="I315">
        <v>31</v>
      </c>
      <c r="J315" t="s">
        <v>319</v>
      </c>
      <c r="K315">
        <v>2019</v>
      </c>
      <c r="L315" t="s">
        <v>32</v>
      </c>
      <c r="M315" t="s">
        <v>1136</v>
      </c>
      <c r="N315">
        <v>26.5</v>
      </c>
      <c r="O315">
        <v>1</v>
      </c>
      <c r="P315" t="s">
        <v>30</v>
      </c>
      <c r="R315" s="45" t="s">
        <v>39</v>
      </c>
      <c r="S315" s="4">
        <v>36.950049999999997</v>
      </c>
      <c r="T315" s="4">
        <v>-122.06507999999999</v>
      </c>
      <c r="U315">
        <v>38</v>
      </c>
      <c r="V315" s="6">
        <f t="shared" si="19"/>
        <v>11.5824</v>
      </c>
      <c r="W315" t="s">
        <v>2338</v>
      </c>
      <c r="X315" t="s">
        <v>2374</v>
      </c>
      <c r="Y315" t="s">
        <v>1095</v>
      </c>
      <c r="AA315" t="s">
        <v>1168</v>
      </c>
      <c r="AB315" s="2">
        <v>17.3</v>
      </c>
      <c r="AC315" s="2">
        <v>12.2</v>
      </c>
      <c r="AF315">
        <v>97</v>
      </c>
      <c r="AG315">
        <v>72</v>
      </c>
      <c r="AJ315" s="41">
        <v>0</v>
      </c>
      <c r="AL315">
        <f t="shared" si="16"/>
        <v>0</v>
      </c>
      <c r="AM315">
        <f t="shared" si="17"/>
        <v>0</v>
      </c>
      <c r="AN315">
        <f t="shared" si="18"/>
        <v>0</v>
      </c>
    </row>
    <row r="316" spans="1:40" x14ac:dyDescent="0.2">
      <c r="A316">
        <v>43</v>
      </c>
      <c r="B316" t="s">
        <v>945</v>
      </c>
      <c r="C316" s="2">
        <v>0</v>
      </c>
      <c r="D316" s="2">
        <v>0</v>
      </c>
      <c r="E316" s="2">
        <v>0</v>
      </c>
      <c r="G316" t="s">
        <v>1186</v>
      </c>
      <c r="H316" s="2" t="s">
        <v>1191</v>
      </c>
      <c r="I316">
        <v>31</v>
      </c>
      <c r="J316" t="s">
        <v>319</v>
      </c>
      <c r="K316">
        <v>2019</v>
      </c>
      <c r="L316" t="s">
        <v>32</v>
      </c>
      <c r="M316" t="s">
        <v>1136</v>
      </c>
      <c r="N316">
        <v>25.5</v>
      </c>
      <c r="O316">
        <f>25.5-23</f>
        <v>2.5</v>
      </c>
      <c r="P316" t="s">
        <v>30</v>
      </c>
      <c r="R316" s="45" t="s">
        <v>39</v>
      </c>
      <c r="S316" s="4">
        <v>36.950049999999997</v>
      </c>
      <c r="T316" s="4">
        <v>-122.06507999999999</v>
      </c>
      <c r="U316">
        <v>38</v>
      </c>
      <c r="V316" s="6">
        <f t="shared" si="19"/>
        <v>11.5824</v>
      </c>
      <c r="W316" t="s">
        <v>2338</v>
      </c>
      <c r="X316" t="s">
        <v>2374</v>
      </c>
      <c r="Y316" t="s">
        <v>277</v>
      </c>
      <c r="AA316" t="s">
        <v>1169</v>
      </c>
      <c r="AB316" s="2">
        <v>17.3</v>
      </c>
      <c r="AC316" s="2">
        <v>12.2</v>
      </c>
      <c r="AF316">
        <v>97</v>
      </c>
      <c r="AG316">
        <v>72</v>
      </c>
      <c r="AJ316" s="41">
        <v>0</v>
      </c>
      <c r="AL316">
        <f t="shared" si="16"/>
        <v>0</v>
      </c>
      <c r="AM316">
        <f t="shared" si="17"/>
        <v>0</v>
      </c>
      <c r="AN316">
        <f t="shared" si="18"/>
        <v>0</v>
      </c>
    </row>
    <row r="317" spans="1:40" x14ac:dyDescent="0.2">
      <c r="A317">
        <v>43</v>
      </c>
      <c r="B317" t="s">
        <v>946</v>
      </c>
      <c r="C317" s="2">
        <v>0</v>
      </c>
      <c r="D317" s="2">
        <v>0</v>
      </c>
      <c r="E317" s="2">
        <v>0</v>
      </c>
      <c r="G317" t="s">
        <v>1186</v>
      </c>
      <c r="H317" s="2" t="s">
        <v>1191</v>
      </c>
      <c r="I317">
        <v>31</v>
      </c>
      <c r="J317" t="s">
        <v>319</v>
      </c>
      <c r="K317">
        <v>2019</v>
      </c>
      <c r="L317" t="s">
        <v>32</v>
      </c>
      <c r="M317" t="s">
        <v>1136</v>
      </c>
      <c r="N317">
        <v>22</v>
      </c>
      <c r="O317">
        <f>19.5-18</f>
        <v>1.5</v>
      </c>
      <c r="P317" t="s">
        <v>30</v>
      </c>
      <c r="R317" s="45" t="s">
        <v>39</v>
      </c>
      <c r="S317" s="4">
        <v>36.950310000000002</v>
      </c>
      <c r="T317" s="4">
        <v>-122.06534000000001</v>
      </c>
      <c r="U317">
        <v>35</v>
      </c>
      <c r="V317" s="6">
        <f t="shared" si="19"/>
        <v>10.668000000000001</v>
      </c>
      <c r="W317" t="s">
        <v>2338</v>
      </c>
      <c r="X317" t="s">
        <v>2374</v>
      </c>
      <c r="Y317" t="s">
        <v>1096</v>
      </c>
      <c r="AA317" t="s">
        <v>1170</v>
      </c>
      <c r="AB317" s="2">
        <v>17.3</v>
      </c>
      <c r="AC317" s="2">
        <v>12.2</v>
      </c>
      <c r="AF317">
        <v>97</v>
      </c>
      <c r="AG317">
        <v>72</v>
      </c>
      <c r="AJ317" s="41">
        <v>0</v>
      </c>
      <c r="AL317">
        <f t="shared" si="16"/>
        <v>0</v>
      </c>
      <c r="AM317">
        <f t="shared" si="17"/>
        <v>0</v>
      </c>
      <c r="AN317">
        <f t="shared" si="18"/>
        <v>0</v>
      </c>
    </row>
    <row r="318" spans="1:40" x14ac:dyDescent="0.2">
      <c r="A318">
        <v>44</v>
      </c>
      <c r="B318" t="s">
        <v>947</v>
      </c>
      <c r="C318">
        <v>3.8621020317077637</v>
      </c>
      <c r="D318">
        <v>4.1821789741516113</v>
      </c>
      <c r="E318" s="27">
        <v>3.281568</v>
      </c>
      <c r="G318" t="s">
        <v>1186</v>
      </c>
      <c r="H318" s="2" t="s">
        <v>1191</v>
      </c>
      <c r="I318">
        <v>6</v>
      </c>
      <c r="J318" t="s">
        <v>1155</v>
      </c>
      <c r="K318">
        <v>2019</v>
      </c>
      <c r="L318" t="s">
        <v>32</v>
      </c>
      <c r="M318" t="s">
        <v>46</v>
      </c>
      <c r="N318">
        <v>21</v>
      </c>
      <c r="O318">
        <f>19.5-18</f>
        <v>1.5</v>
      </c>
      <c r="P318" t="s">
        <v>37</v>
      </c>
      <c r="R318" s="45" t="s">
        <v>39</v>
      </c>
      <c r="S318" s="4">
        <v>34.69332</v>
      </c>
      <c r="T318" s="4">
        <v>-120.03913</v>
      </c>
      <c r="U318">
        <v>1079</v>
      </c>
      <c r="V318" s="6">
        <f t="shared" si="19"/>
        <v>328.87920000000003</v>
      </c>
      <c r="W318" t="s">
        <v>2346</v>
      </c>
      <c r="X318" s="2" t="s">
        <v>2330</v>
      </c>
      <c r="Y318" t="s">
        <v>165</v>
      </c>
      <c r="AB318" s="2">
        <v>31.8</v>
      </c>
      <c r="AC318" s="2">
        <v>9.9</v>
      </c>
      <c r="AF318">
        <v>100</v>
      </c>
      <c r="AG318">
        <v>33</v>
      </c>
      <c r="AH318">
        <v>37.1</v>
      </c>
      <c r="AI318">
        <v>6.6</v>
      </c>
      <c r="AJ318" s="41">
        <v>0</v>
      </c>
      <c r="AL318">
        <f t="shared" si="16"/>
        <v>308.96816253662109</v>
      </c>
      <c r="AM318">
        <f t="shared" si="17"/>
        <v>334.57431793212891</v>
      </c>
      <c r="AN318">
        <f t="shared" si="18"/>
        <v>262.52544</v>
      </c>
    </row>
    <row r="319" spans="1:40" x14ac:dyDescent="0.2">
      <c r="A319">
        <v>44</v>
      </c>
      <c r="B319" t="s">
        <v>948</v>
      </c>
      <c r="C319">
        <v>14.315614700317383</v>
      </c>
      <c r="D319">
        <v>15.032315254211426</v>
      </c>
      <c r="E319" s="27">
        <v>12.419219999999999</v>
      </c>
      <c r="G319" t="s">
        <v>1186</v>
      </c>
      <c r="H319" s="2" t="s">
        <v>1191</v>
      </c>
      <c r="I319">
        <v>6</v>
      </c>
      <c r="J319" t="s">
        <v>1155</v>
      </c>
      <c r="K319">
        <v>2019</v>
      </c>
      <c r="L319" t="s">
        <v>32</v>
      </c>
      <c r="M319" t="s">
        <v>46</v>
      </c>
      <c r="N319">
        <v>23</v>
      </c>
      <c r="O319">
        <f>24-22.5</f>
        <v>1.5</v>
      </c>
      <c r="P319" t="s">
        <v>37</v>
      </c>
      <c r="R319" s="45" t="s">
        <v>39</v>
      </c>
      <c r="S319" s="4">
        <v>34.69332</v>
      </c>
      <c r="T319" s="4">
        <v>-120.03913</v>
      </c>
      <c r="U319">
        <v>1079</v>
      </c>
      <c r="V319" s="6">
        <f t="shared" si="19"/>
        <v>328.87920000000003</v>
      </c>
      <c r="W319" t="s">
        <v>2346</v>
      </c>
      <c r="X319" s="2" t="s">
        <v>2330</v>
      </c>
      <c r="Y319" t="s">
        <v>174</v>
      </c>
      <c r="AB319" s="2">
        <v>31.8</v>
      </c>
      <c r="AC319" s="2">
        <v>9.9</v>
      </c>
      <c r="AF319">
        <v>100</v>
      </c>
      <c r="AG319">
        <v>33</v>
      </c>
      <c r="AH319">
        <v>37.1</v>
      </c>
      <c r="AI319">
        <v>6.6</v>
      </c>
      <c r="AJ319" s="41">
        <v>0</v>
      </c>
      <c r="AL319">
        <f t="shared" si="16"/>
        <v>1145.2491760253906</v>
      </c>
      <c r="AM319">
        <f t="shared" si="17"/>
        <v>1202.5852203369141</v>
      </c>
      <c r="AN319">
        <f t="shared" si="18"/>
        <v>993.53759999999988</v>
      </c>
    </row>
    <row r="320" spans="1:40" x14ac:dyDescent="0.2">
      <c r="A320">
        <v>44</v>
      </c>
      <c r="B320" t="s">
        <v>949</v>
      </c>
      <c r="C320">
        <v>2.3180797696113586E-2</v>
      </c>
      <c r="D320">
        <v>0</v>
      </c>
      <c r="E320" s="2">
        <v>0</v>
      </c>
      <c r="G320" t="s">
        <v>1186</v>
      </c>
      <c r="H320" s="2" t="s">
        <v>1191</v>
      </c>
      <c r="I320">
        <v>6</v>
      </c>
      <c r="J320" t="s">
        <v>1155</v>
      </c>
      <c r="K320">
        <v>2019</v>
      </c>
      <c r="L320" t="s">
        <v>33</v>
      </c>
      <c r="M320" t="s">
        <v>46</v>
      </c>
      <c r="N320">
        <v>43</v>
      </c>
      <c r="O320">
        <f>31-20.5</f>
        <v>10.5</v>
      </c>
      <c r="P320" t="s">
        <v>30</v>
      </c>
      <c r="R320" t="s">
        <v>89</v>
      </c>
      <c r="S320" s="4">
        <v>34.69332</v>
      </c>
      <c r="T320" s="4">
        <v>-120.03913</v>
      </c>
      <c r="U320">
        <v>1079</v>
      </c>
      <c r="V320" s="6">
        <f t="shared" si="19"/>
        <v>328.87920000000003</v>
      </c>
      <c r="W320" t="s">
        <v>2346</v>
      </c>
      <c r="X320" s="2" t="s">
        <v>2330</v>
      </c>
      <c r="Y320" t="s">
        <v>221</v>
      </c>
      <c r="AB320" s="2">
        <v>31.8</v>
      </c>
      <c r="AC320" s="2">
        <v>9.9</v>
      </c>
      <c r="AF320">
        <v>100</v>
      </c>
      <c r="AG320">
        <v>33</v>
      </c>
      <c r="AH320">
        <v>37.1</v>
      </c>
      <c r="AI320">
        <v>6.6</v>
      </c>
      <c r="AJ320" s="41">
        <v>0</v>
      </c>
      <c r="AL320">
        <f t="shared" si="16"/>
        <v>1.8544638156890869</v>
      </c>
      <c r="AM320">
        <f t="shared" si="17"/>
        <v>0</v>
      </c>
      <c r="AN320">
        <f t="shared" si="18"/>
        <v>0</v>
      </c>
    </row>
    <row r="321" spans="1:40" x14ac:dyDescent="0.2">
      <c r="A321">
        <v>44</v>
      </c>
      <c r="B321" t="s">
        <v>950</v>
      </c>
      <c r="C321">
        <v>0.41615337133407593</v>
      </c>
      <c r="D321">
        <v>0.88507002592086792</v>
      </c>
      <c r="E321" s="2">
        <v>0.54560518264770508</v>
      </c>
      <c r="G321" t="s">
        <v>1186</v>
      </c>
      <c r="H321" s="2" t="s">
        <v>1191</v>
      </c>
      <c r="I321">
        <v>6</v>
      </c>
      <c r="J321" t="s">
        <v>1155</v>
      </c>
      <c r="K321">
        <v>2019</v>
      </c>
      <c r="L321" t="s">
        <v>33</v>
      </c>
      <c r="M321" t="s">
        <v>46</v>
      </c>
      <c r="N321">
        <v>22.5</v>
      </c>
      <c r="O321">
        <f>18.5-17</f>
        <v>1.5</v>
      </c>
      <c r="P321" t="s">
        <v>30</v>
      </c>
      <c r="R321" t="s">
        <v>89</v>
      </c>
      <c r="S321" s="4">
        <v>34.69332</v>
      </c>
      <c r="T321" s="4">
        <v>-120.03913</v>
      </c>
      <c r="U321">
        <v>1079</v>
      </c>
      <c r="V321" s="6">
        <f t="shared" si="19"/>
        <v>328.87920000000003</v>
      </c>
      <c r="W321" t="s">
        <v>2346</v>
      </c>
      <c r="X321" s="2" t="s">
        <v>2330</v>
      </c>
      <c r="Y321" t="s">
        <v>249</v>
      </c>
      <c r="AB321" s="2">
        <v>31.8</v>
      </c>
      <c r="AC321" s="2">
        <v>9.9</v>
      </c>
      <c r="AF321">
        <v>100</v>
      </c>
      <c r="AG321">
        <v>33</v>
      </c>
      <c r="AH321">
        <v>37.1</v>
      </c>
      <c r="AI321">
        <v>6.6</v>
      </c>
      <c r="AJ321" s="41">
        <v>0</v>
      </c>
      <c r="AL321">
        <f t="shared" si="16"/>
        <v>33.292269706726074</v>
      </c>
      <c r="AM321">
        <f t="shared" si="17"/>
        <v>70.805602073669434</v>
      </c>
      <c r="AN321">
        <f t="shared" si="18"/>
        <v>43.648414611816406</v>
      </c>
    </row>
    <row r="322" spans="1:40" x14ac:dyDescent="0.2">
      <c r="A322">
        <v>44</v>
      </c>
      <c r="B322" t="s">
        <v>951</v>
      </c>
      <c r="C322" s="2">
        <v>0</v>
      </c>
      <c r="D322">
        <v>0</v>
      </c>
      <c r="E322" s="2">
        <v>0</v>
      </c>
      <c r="G322" t="s">
        <v>1186</v>
      </c>
      <c r="H322" s="2" t="s">
        <v>1191</v>
      </c>
      <c r="I322">
        <v>6</v>
      </c>
      <c r="J322" t="s">
        <v>1155</v>
      </c>
      <c r="K322">
        <v>2019</v>
      </c>
      <c r="L322" t="s">
        <v>32</v>
      </c>
      <c r="M322" t="s">
        <v>46</v>
      </c>
      <c r="N322">
        <v>19.5</v>
      </c>
      <c r="O322">
        <v>1</v>
      </c>
      <c r="P322" t="s">
        <v>37</v>
      </c>
      <c r="R322" s="45" t="s">
        <v>39</v>
      </c>
      <c r="S322" s="4">
        <v>34.69332</v>
      </c>
      <c r="T322" s="4">
        <v>-120.03913</v>
      </c>
      <c r="U322">
        <v>1079</v>
      </c>
      <c r="V322" s="6">
        <f t="shared" si="19"/>
        <v>328.87920000000003</v>
      </c>
      <c r="W322" t="s">
        <v>2346</v>
      </c>
      <c r="X322" s="2" t="s">
        <v>2330</v>
      </c>
      <c r="Y322" t="s">
        <v>1097</v>
      </c>
      <c r="AB322" s="2">
        <v>31.8</v>
      </c>
      <c r="AC322" s="2">
        <v>9.9</v>
      </c>
      <c r="AF322">
        <v>100</v>
      </c>
      <c r="AG322">
        <v>33</v>
      </c>
      <c r="AH322">
        <v>37.1</v>
      </c>
      <c r="AI322">
        <v>6.6</v>
      </c>
      <c r="AJ322" s="41">
        <v>0</v>
      </c>
      <c r="AL322">
        <f t="shared" si="16"/>
        <v>0</v>
      </c>
      <c r="AM322">
        <f t="shared" si="17"/>
        <v>0</v>
      </c>
      <c r="AN322">
        <f t="shared" si="18"/>
        <v>0</v>
      </c>
    </row>
    <row r="323" spans="1:40" x14ac:dyDescent="0.2">
      <c r="A323">
        <v>44</v>
      </c>
      <c r="B323" t="s">
        <v>952</v>
      </c>
      <c r="C323">
        <v>0.1623237133026123</v>
      </c>
      <c r="D323">
        <v>0.26685690879821777</v>
      </c>
      <c r="E323" s="2">
        <v>0.12237536162137985</v>
      </c>
      <c r="G323" t="s">
        <v>1186</v>
      </c>
      <c r="H323" s="2" t="s">
        <v>1191</v>
      </c>
      <c r="I323">
        <v>6</v>
      </c>
      <c r="J323" t="s">
        <v>1155</v>
      </c>
      <c r="K323">
        <v>2019</v>
      </c>
      <c r="L323" t="s">
        <v>32</v>
      </c>
      <c r="M323" t="s">
        <v>46</v>
      </c>
      <c r="N323">
        <v>18.5</v>
      </c>
      <c r="O323">
        <v>1</v>
      </c>
      <c r="P323" t="s">
        <v>37</v>
      </c>
      <c r="R323" t="s">
        <v>89</v>
      </c>
      <c r="S323" s="4">
        <v>34.69332</v>
      </c>
      <c r="T323" s="4">
        <v>-120.03913</v>
      </c>
      <c r="U323">
        <v>1079</v>
      </c>
      <c r="V323" s="6">
        <f t="shared" si="19"/>
        <v>328.87920000000003</v>
      </c>
      <c r="W323" t="s">
        <v>2346</v>
      </c>
      <c r="X323" s="2" t="s">
        <v>2330</v>
      </c>
      <c r="Y323" t="s">
        <v>1098</v>
      </c>
      <c r="AB323" s="2">
        <v>31.8</v>
      </c>
      <c r="AC323" s="2">
        <v>9.9</v>
      </c>
      <c r="AF323">
        <v>100</v>
      </c>
      <c r="AG323">
        <v>33</v>
      </c>
      <c r="AH323">
        <v>37.1</v>
      </c>
      <c r="AI323">
        <v>6.6</v>
      </c>
      <c r="AJ323" s="41">
        <v>0</v>
      </c>
      <c r="AL323">
        <f t="shared" ref="AL323:AL345" si="20">C323*80</f>
        <v>12.985897064208984</v>
      </c>
      <c r="AM323">
        <f t="shared" ref="AM323:AM345" si="21">D323*80</f>
        <v>21.348552703857422</v>
      </c>
      <c r="AN323">
        <f t="shared" ref="AN323:AN345" si="22">E323*80</f>
        <v>9.7900289297103882</v>
      </c>
    </row>
    <row r="324" spans="1:40" x14ac:dyDescent="0.2">
      <c r="A324">
        <v>44</v>
      </c>
      <c r="B324" t="s">
        <v>953</v>
      </c>
      <c r="C324" s="2">
        <v>0</v>
      </c>
      <c r="D324">
        <v>0</v>
      </c>
      <c r="E324" s="2">
        <v>0</v>
      </c>
      <c r="G324" t="s">
        <v>1186</v>
      </c>
      <c r="H324" s="2" t="s">
        <v>1191</v>
      </c>
      <c r="I324">
        <v>6</v>
      </c>
      <c r="J324" t="s">
        <v>1155</v>
      </c>
      <c r="K324">
        <v>2019</v>
      </c>
      <c r="L324" t="s">
        <v>32</v>
      </c>
      <c r="M324" t="s">
        <v>46</v>
      </c>
      <c r="N324">
        <v>20</v>
      </c>
      <c r="O324">
        <v>0.5</v>
      </c>
      <c r="P324" t="s">
        <v>37</v>
      </c>
      <c r="R324" s="45" t="s">
        <v>39</v>
      </c>
      <c r="S324" s="4">
        <v>34.69332</v>
      </c>
      <c r="T324" s="4">
        <v>-120.03913</v>
      </c>
      <c r="U324">
        <v>1079</v>
      </c>
      <c r="V324" s="6">
        <f t="shared" si="19"/>
        <v>328.87920000000003</v>
      </c>
      <c r="W324" t="s">
        <v>2346</v>
      </c>
      <c r="X324" s="2" t="s">
        <v>2330</v>
      </c>
      <c r="Y324" t="s">
        <v>254</v>
      </c>
      <c r="AB324" s="2">
        <v>31.8</v>
      </c>
      <c r="AC324" s="2">
        <v>9.9</v>
      </c>
      <c r="AF324">
        <v>100</v>
      </c>
      <c r="AG324">
        <v>33</v>
      </c>
      <c r="AH324">
        <v>37.1</v>
      </c>
      <c r="AI324">
        <v>6.6</v>
      </c>
      <c r="AJ324" s="41">
        <v>0</v>
      </c>
      <c r="AL324">
        <f t="shared" si="20"/>
        <v>0</v>
      </c>
      <c r="AM324">
        <f t="shared" si="21"/>
        <v>0</v>
      </c>
      <c r="AN324">
        <f t="shared" si="22"/>
        <v>0</v>
      </c>
    </row>
    <row r="325" spans="1:40" x14ac:dyDescent="0.2">
      <c r="A325">
        <v>44</v>
      </c>
      <c r="B325" t="s">
        <v>954</v>
      </c>
      <c r="C325">
        <v>4.4214649200439453</v>
      </c>
      <c r="D325">
        <v>4.0977520942687988</v>
      </c>
      <c r="E325" s="2">
        <v>3.7746484279632568</v>
      </c>
      <c r="G325" t="s">
        <v>1186</v>
      </c>
      <c r="H325" s="2" t="s">
        <v>1191</v>
      </c>
      <c r="I325">
        <v>6</v>
      </c>
      <c r="J325" t="s">
        <v>1155</v>
      </c>
      <c r="K325">
        <v>2019</v>
      </c>
      <c r="L325" t="s">
        <v>32</v>
      </c>
      <c r="M325" t="s">
        <v>46</v>
      </c>
      <c r="N325">
        <v>19</v>
      </c>
      <c r="O325">
        <v>0.5</v>
      </c>
      <c r="P325" t="s">
        <v>37</v>
      </c>
      <c r="R325" s="45" t="s">
        <v>39</v>
      </c>
      <c r="S325" s="4">
        <v>34.69332</v>
      </c>
      <c r="T325" s="4">
        <v>-120.03913</v>
      </c>
      <c r="U325">
        <v>1079</v>
      </c>
      <c r="V325" s="6">
        <f t="shared" si="19"/>
        <v>328.87920000000003</v>
      </c>
      <c r="W325" t="s">
        <v>2346</v>
      </c>
      <c r="X325" s="2" t="s">
        <v>2330</v>
      </c>
      <c r="Y325" t="s">
        <v>257</v>
      </c>
      <c r="AB325" s="2">
        <v>31.8</v>
      </c>
      <c r="AC325" s="2">
        <v>9.9</v>
      </c>
      <c r="AF325">
        <v>100</v>
      </c>
      <c r="AG325">
        <v>33</v>
      </c>
      <c r="AH325">
        <v>37.1</v>
      </c>
      <c r="AI325">
        <v>6.6</v>
      </c>
      <c r="AJ325" s="41">
        <v>0</v>
      </c>
      <c r="AL325">
        <f t="shared" si="20"/>
        <v>353.71719360351562</v>
      </c>
      <c r="AM325">
        <f t="shared" si="21"/>
        <v>327.82016754150391</v>
      </c>
      <c r="AN325">
        <f t="shared" si="22"/>
        <v>301.97187423706055</v>
      </c>
    </row>
    <row r="326" spans="1:40" x14ac:dyDescent="0.2">
      <c r="A326">
        <v>44</v>
      </c>
      <c r="B326" t="s">
        <v>955</v>
      </c>
      <c r="C326" s="2">
        <v>0</v>
      </c>
      <c r="D326">
        <v>0</v>
      </c>
      <c r="E326" s="2">
        <v>0</v>
      </c>
      <c r="G326" t="s">
        <v>1186</v>
      </c>
      <c r="H326" s="2" t="s">
        <v>1191</v>
      </c>
      <c r="I326">
        <v>6</v>
      </c>
      <c r="J326" t="s">
        <v>1155</v>
      </c>
      <c r="K326">
        <v>2019</v>
      </c>
      <c r="L326" t="s">
        <v>32</v>
      </c>
      <c r="M326" t="s">
        <v>46</v>
      </c>
      <c r="N326">
        <v>19.5</v>
      </c>
      <c r="O326">
        <f>35-32.5</f>
        <v>2.5</v>
      </c>
      <c r="P326" t="s">
        <v>37</v>
      </c>
      <c r="R326" s="45" t="s">
        <v>39</v>
      </c>
      <c r="S326" s="4">
        <v>34.69332</v>
      </c>
      <c r="T326" s="4">
        <v>-120.03913</v>
      </c>
      <c r="U326">
        <v>1079</v>
      </c>
      <c r="V326" s="6">
        <f t="shared" si="19"/>
        <v>328.87920000000003</v>
      </c>
      <c r="W326" t="s">
        <v>2346</v>
      </c>
      <c r="X326" s="2" t="s">
        <v>2330</v>
      </c>
      <c r="Y326" t="s">
        <v>1099</v>
      </c>
      <c r="Z326" t="s">
        <v>1171</v>
      </c>
      <c r="AB326" s="2">
        <v>31.8</v>
      </c>
      <c r="AC326" s="2">
        <v>9.9</v>
      </c>
      <c r="AF326">
        <v>100</v>
      </c>
      <c r="AG326">
        <v>33</v>
      </c>
      <c r="AH326">
        <v>37.1</v>
      </c>
      <c r="AI326">
        <v>6.6</v>
      </c>
      <c r="AJ326" s="41">
        <v>0</v>
      </c>
      <c r="AL326">
        <f t="shared" si="20"/>
        <v>0</v>
      </c>
      <c r="AM326">
        <f t="shared" si="21"/>
        <v>0</v>
      </c>
      <c r="AN326">
        <f t="shared" si="22"/>
        <v>0</v>
      </c>
    </row>
    <row r="327" spans="1:40" x14ac:dyDescent="0.2">
      <c r="A327">
        <v>44</v>
      </c>
      <c r="B327" t="s">
        <v>956</v>
      </c>
      <c r="C327">
        <v>1.3949081897735596</v>
      </c>
      <c r="D327">
        <v>1.3586900234222412</v>
      </c>
      <c r="E327" s="2">
        <v>1.08781898021698</v>
      </c>
      <c r="G327" t="s">
        <v>1186</v>
      </c>
      <c r="H327" s="2" t="s">
        <v>1191</v>
      </c>
      <c r="I327">
        <v>6</v>
      </c>
      <c r="J327" t="s">
        <v>1155</v>
      </c>
      <c r="K327">
        <v>2019</v>
      </c>
      <c r="L327" t="s">
        <v>32</v>
      </c>
      <c r="M327" t="s">
        <v>46</v>
      </c>
      <c r="N327">
        <v>20</v>
      </c>
      <c r="O327">
        <v>2</v>
      </c>
      <c r="P327" t="s">
        <v>37</v>
      </c>
      <c r="R327" s="45" t="s">
        <v>39</v>
      </c>
      <c r="S327" s="29">
        <v>34.69332</v>
      </c>
      <c r="T327" s="29">
        <v>-120.03913</v>
      </c>
      <c r="U327" s="13">
        <v>1079</v>
      </c>
      <c r="V327" s="6">
        <f t="shared" si="19"/>
        <v>328.87920000000003</v>
      </c>
      <c r="W327" t="s">
        <v>2346</v>
      </c>
      <c r="X327" s="2" t="s">
        <v>2330</v>
      </c>
      <c r="Y327" t="s">
        <v>751</v>
      </c>
      <c r="AB327" s="2">
        <v>31.8</v>
      </c>
      <c r="AC327" s="2">
        <v>9.9</v>
      </c>
      <c r="AF327">
        <v>100</v>
      </c>
      <c r="AG327">
        <v>33</v>
      </c>
      <c r="AH327">
        <v>37.1</v>
      </c>
      <c r="AI327">
        <v>6.6</v>
      </c>
      <c r="AJ327" s="41">
        <v>0</v>
      </c>
      <c r="AL327">
        <f t="shared" si="20"/>
        <v>111.59265518188477</v>
      </c>
      <c r="AM327">
        <f t="shared" si="21"/>
        <v>108.6952018737793</v>
      </c>
      <c r="AN327">
        <f t="shared" si="22"/>
        <v>87.025518417358398</v>
      </c>
    </row>
    <row r="328" spans="1:40" x14ac:dyDescent="0.2">
      <c r="A328">
        <v>45</v>
      </c>
      <c r="B328" t="s">
        <v>957</v>
      </c>
      <c r="C328">
        <v>3.1670607626438141E-2</v>
      </c>
      <c r="D328">
        <v>5.8241048827767372E-3</v>
      </c>
      <c r="E328" s="2">
        <v>5.6176166981458664E-2</v>
      </c>
      <c r="G328" t="s">
        <v>1186</v>
      </c>
      <c r="H328" s="2" t="s">
        <v>1191</v>
      </c>
      <c r="I328">
        <v>6</v>
      </c>
      <c r="J328" t="s">
        <v>1155</v>
      </c>
      <c r="K328">
        <v>2019</v>
      </c>
      <c r="L328" t="s">
        <v>33</v>
      </c>
      <c r="M328" t="s">
        <v>46</v>
      </c>
      <c r="N328">
        <v>41.5</v>
      </c>
      <c r="O328">
        <f>21.5-13.5</f>
        <v>8</v>
      </c>
      <c r="P328" t="s">
        <v>30</v>
      </c>
      <c r="R328" t="s">
        <v>89</v>
      </c>
      <c r="S328" s="4">
        <v>34.693440000000002</v>
      </c>
      <c r="T328" s="4">
        <v>-120.04076999999999</v>
      </c>
      <c r="U328">
        <v>1089</v>
      </c>
      <c r="V328" s="6">
        <f t="shared" si="19"/>
        <v>331.92720000000003</v>
      </c>
      <c r="W328" t="s">
        <v>2331</v>
      </c>
      <c r="X328" t="s">
        <v>2375</v>
      </c>
      <c r="Y328" t="s">
        <v>1094</v>
      </c>
      <c r="AB328" s="2">
        <v>31.8</v>
      </c>
      <c r="AC328" s="2">
        <v>9.9</v>
      </c>
      <c r="AF328">
        <v>100</v>
      </c>
      <c r="AG328">
        <v>33</v>
      </c>
      <c r="AH328">
        <v>37.1</v>
      </c>
      <c r="AI328">
        <v>6.6</v>
      </c>
      <c r="AJ328" s="41">
        <v>0</v>
      </c>
      <c r="AL328">
        <f t="shared" si="20"/>
        <v>2.5336486101150513</v>
      </c>
      <c r="AM328">
        <f t="shared" si="21"/>
        <v>0.46592839062213898</v>
      </c>
      <c r="AN328">
        <f t="shared" si="22"/>
        <v>4.4940933585166931</v>
      </c>
    </row>
    <row r="329" spans="1:40" x14ac:dyDescent="0.2">
      <c r="A329">
        <v>45</v>
      </c>
      <c r="B329" t="s">
        <v>958</v>
      </c>
      <c r="C329">
        <v>0.162066385149956</v>
      </c>
      <c r="D329">
        <v>0.18195828795433044</v>
      </c>
      <c r="E329" s="2">
        <v>0.15456657111644745</v>
      </c>
      <c r="G329" t="s">
        <v>1186</v>
      </c>
      <c r="H329" s="2" t="s">
        <v>1191</v>
      </c>
      <c r="I329">
        <v>6</v>
      </c>
      <c r="J329" t="s">
        <v>1155</v>
      </c>
      <c r="K329">
        <v>2019</v>
      </c>
      <c r="L329" t="s">
        <v>33</v>
      </c>
      <c r="M329" t="s">
        <v>46</v>
      </c>
      <c r="N329">
        <v>37.5</v>
      </c>
      <c r="O329">
        <f>17-10.5</f>
        <v>6.5</v>
      </c>
      <c r="P329" t="s">
        <v>37</v>
      </c>
      <c r="R329" t="s">
        <v>89</v>
      </c>
      <c r="S329" s="4">
        <v>34.69359</v>
      </c>
      <c r="T329" s="4">
        <v>-120.04098</v>
      </c>
      <c r="U329">
        <v>1094</v>
      </c>
      <c r="V329" s="6">
        <f t="shared" si="19"/>
        <v>333.45120000000003</v>
      </c>
      <c r="W329" t="s">
        <v>2331</v>
      </c>
      <c r="X329" t="s">
        <v>2375</v>
      </c>
      <c r="Y329" t="s">
        <v>1100</v>
      </c>
      <c r="AB329" s="2">
        <v>31.8</v>
      </c>
      <c r="AC329" s="2">
        <v>9.9</v>
      </c>
      <c r="AF329">
        <v>100</v>
      </c>
      <c r="AG329">
        <v>33</v>
      </c>
      <c r="AH329">
        <v>37.1</v>
      </c>
      <c r="AI329">
        <v>6.6</v>
      </c>
      <c r="AJ329" s="41">
        <v>0</v>
      </c>
      <c r="AL329">
        <f t="shared" si="20"/>
        <v>12.96531081199648</v>
      </c>
      <c r="AM329">
        <f t="shared" si="21"/>
        <v>14.556663036346436</v>
      </c>
      <c r="AN329">
        <f t="shared" si="22"/>
        <v>12.365325689315796</v>
      </c>
    </row>
    <row r="330" spans="1:40" x14ac:dyDescent="0.2">
      <c r="A330">
        <v>45</v>
      </c>
      <c r="B330" t="s">
        <v>959</v>
      </c>
      <c r="C330">
        <v>1.5502016060054302E-2</v>
      </c>
      <c r="D330">
        <v>3.9404802024364471E-2</v>
      </c>
      <c r="E330" s="2">
        <v>0</v>
      </c>
      <c r="G330" t="s">
        <v>1186</v>
      </c>
      <c r="H330" s="2" t="s">
        <v>1191</v>
      </c>
      <c r="I330">
        <v>6</v>
      </c>
      <c r="J330" t="s">
        <v>1155</v>
      </c>
      <c r="K330">
        <v>2019</v>
      </c>
      <c r="L330" t="s">
        <v>33</v>
      </c>
      <c r="M330" t="s">
        <v>46</v>
      </c>
      <c r="N330">
        <v>28.5</v>
      </c>
      <c r="O330">
        <f>16-12.5</f>
        <v>3.5</v>
      </c>
      <c r="P330" t="s">
        <v>30</v>
      </c>
      <c r="R330" t="s">
        <v>89</v>
      </c>
      <c r="S330" s="4">
        <v>34.693719999999999</v>
      </c>
      <c r="T330" s="4">
        <v>-120.04107</v>
      </c>
      <c r="U330">
        <v>1096</v>
      </c>
      <c r="V330" s="6">
        <f t="shared" si="19"/>
        <v>334.06080000000003</v>
      </c>
      <c r="W330" t="s">
        <v>2331</v>
      </c>
      <c r="X330" t="s">
        <v>2375</v>
      </c>
      <c r="Y330" t="s">
        <v>1101</v>
      </c>
      <c r="AB330" s="2">
        <v>31.8</v>
      </c>
      <c r="AC330" s="2">
        <v>9.9</v>
      </c>
      <c r="AF330">
        <v>100</v>
      </c>
      <c r="AG330">
        <v>33</v>
      </c>
      <c r="AH330">
        <v>37.1</v>
      </c>
      <c r="AI330">
        <v>6.6</v>
      </c>
      <c r="AJ330" s="41">
        <v>0</v>
      </c>
      <c r="AL330">
        <f t="shared" si="20"/>
        <v>1.2401612848043442</v>
      </c>
      <c r="AM330">
        <f t="shared" si="21"/>
        <v>3.1523841619491577</v>
      </c>
      <c r="AN330">
        <f t="shared" si="22"/>
        <v>0</v>
      </c>
    </row>
    <row r="331" spans="1:40" x14ac:dyDescent="0.2">
      <c r="A331">
        <v>45</v>
      </c>
      <c r="B331" t="s">
        <v>960</v>
      </c>
      <c r="C331" s="2">
        <v>0</v>
      </c>
      <c r="D331">
        <v>0</v>
      </c>
      <c r="E331" s="2">
        <v>0</v>
      </c>
      <c r="G331" t="s">
        <v>1186</v>
      </c>
      <c r="H331" s="2" t="s">
        <v>1191</v>
      </c>
      <c r="I331">
        <v>6</v>
      </c>
      <c r="J331" t="s">
        <v>1155</v>
      </c>
      <c r="K331">
        <v>2019</v>
      </c>
      <c r="L331" t="s">
        <v>33</v>
      </c>
      <c r="M331" t="s">
        <v>46</v>
      </c>
      <c r="N331">
        <v>30</v>
      </c>
      <c r="O331">
        <f>17.5-13</f>
        <v>4.5</v>
      </c>
      <c r="P331" t="s">
        <v>37</v>
      </c>
      <c r="R331" t="s">
        <v>89</v>
      </c>
      <c r="S331" s="4">
        <v>34.693899999999999</v>
      </c>
      <c r="T331" s="4">
        <v>-120.04125999999999</v>
      </c>
      <c r="U331">
        <v>1101</v>
      </c>
      <c r="V331" s="6">
        <f t="shared" si="19"/>
        <v>335.58480000000003</v>
      </c>
      <c r="W331" t="s">
        <v>2331</v>
      </c>
      <c r="X331" t="s">
        <v>2375</v>
      </c>
      <c r="Y331" t="s">
        <v>582</v>
      </c>
      <c r="AB331" s="2">
        <v>31.8</v>
      </c>
      <c r="AC331" s="2">
        <v>9.9</v>
      </c>
      <c r="AF331">
        <v>100</v>
      </c>
      <c r="AG331">
        <v>33</v>
      </c>
      <c r="AH331">
        <v>37.1</v>
      </c>
      <c r="AI331">
        <v>6.6</v>
      </c>
      <c r="AJ331" s="41">
        <v>0</v>
      </c>
      <c r="AL331">
        <f t="shared" si="20"/>
        <v>0</v>
      </c>
      <c r="AM331">
        <f t="shared" si="21"/>
        <v>0</v>
      </c>
      <c r="AN331">
        <f t="shared" si="22"/>
        <v>0</v>
      </c>
    </row>
    <row r="332" spans="1:40" x14ac:dyDescent="0.2">
      <c r="A332">
        <v>45</v>
      </c>
      <c r="B332" t="s">
        <v>961</v>
      </c>
      <c r="C332" s="2">
        <v>0</v>
      </c>
      <c r="D332">
        <v>1.831999234855175E-2</v>
      </c>
      <c r="E332" s="2">
        <v>2.8377057984471321E-2</v>
      </c>
      <c r="G332" t="s">
        <v>1186</v>
      </c>
      <c r="H332" s="2" t="s">
        <v>1191</v>
      </c>
      <c r="I332">
        <v>6</v>
      </c>
      <c r="J332" t="s">
        <v>1155</v>
      </c>
      <c r="K332">
        <v>2019</v>
      </c>
      <c r="L332" t="s">
        <v>33</v>
      </c>
      <c r="M332" t="s">
        <v>46</v>
      </c>
      <c r="N332">
        <v>26.5</v>
      </c>
      <c r="O332">
        <f>18.5-16</f>
        <v>2.5</v>
      </c>
      <c r="P332" t="s">
        <v>30</v>
      </c>
      <c r="R332" t="s">
        <v>89</v>
      </c>
      <c r="S332" s="4">
        <v>34.693899999999999</v>
      </c>
      <c r="T332" s="4">
        <v>-120.04125999999999</v>
      </c>
      <c r="U332">
        <v>1101</v>
      </c>
      <c r="V332" s="6">
        <f t="shared" si="19"/>
        <v>335.58480000000003</v>
      </c>
      <c r="W332" t="s">
        <v>2331</v>
      </c>
      <c r="X332" t="s">
        <v>2375</v>
      </c>
      <c r="Y332" t="s">
        <v>1102</v>
      </c>
      <c r="AB332" s="2">
        <v>31.8</v>
      </c>
      <c r="AC332" s="2">
        <v>9.9</v>
      </c>
      <c r="AF332">
        <v>100</v>
      </c>
      <c r="AG332">
        <v>33</v>
      </c>
      <c r="AH332">
        <v>37.1</v>
      </c>
      <c r="AI332">
        <v>6.6</v>
      </c>
      <c r="AJ332" s="41">
        <v>0</v>
      </c>
      <c r="AL332">
        <f t="shared" si="20"/>
        <v>0</v>
      </c>
      <c r="AM332">
        <f t="shared" si="21"/>
        <v>1.46559938788414</v>
      </c>
      <c r="AN332">
        <f t="shared" si="22"/>
        <v>2.2701646387577057</v>
      </c>
    </row>
    <row r="333" spans="1:40" x14ac:dyDescent="0.2">
      <c r="A333">
        <v>45</v>
      </c>
      <c r="B333" t="s">
        <v>962</v>
      </c>
      <c r="C333" s="2">
        <v>0</v>
      </c>
      <c r="D333">
        <v>0</v>
      </c>
      <c r="E333" s="2">
        <v>6.243785098195076E-2</v>
      </c>
      <c r="G333" t="s">
        <v>1186</v>
      </c>
      <c r="H333" s="2" t="s">
        <v>1191</v>
      </c>
      <c r="I333">
        <v>6</v>
      </c>
      <c r="J333" t="s">
        <v>1155</v>
      </c>
      <c r="K333">
        <v>2019</v>
      </c>
      <c r="L333" t="s">
        <v>33</v>
      </c>
      <c r="M333" t="s">
        <v>46</v>
      </c>
      <c r="N333">
        <v>27</v>
      </c>
      <c r="O333">
        <f>12-8.5</f>
        <v>3.5</v>
      </c>
      <c r="P333" t="s">
        <v>30</v>
      </c>
      <c r="R333" t="s">
        <v>89</v>
      </c>
      <c r="S333" s="4">
        <v>34.693899999999999</v>
      </c>
      <c r="T333" s="4">
        <v>-120.04125999999999</v>
      </c>
      <c r="U333">
        <v>1101</v>
      </c>
      <c r="V333" s="6">
        <f t="shared" si="19"/>
        <v>335.58480000000003</v>
      </c>
      <c r="W333" t="s">
        <v>2331</v>
      </c>
      <c r="X333" t="s">
        <v>2375</v>
      </c>
      <c r="Y333" t="s">
        <v>1103</v>
      </c>
      <c r="AB333" s="2">
        <v>31.8</v>
      </c>
      <c r="AC333" s="2">
        <v>9.9</v>
      </c>
      <c r="AF333">
        <v>100</v>
      </c>
      <c r="AG333">
        <v>33</v>
      </c>
      <c r="AH333">
        <v>37.1</v>
      </c>
      <c r="AI333">
        <v>6.6</v>
      </c>
      <c r="AJ333" s="41">
        <v>0</v>
      </c>
      <c r="AL333">
        <f t="shared" si="20"/>
        <v>0</v>
      </c>
      <c r="AM333">
        <f t="shared" si="21"/>
        <v>0</v>
      </c>
      <c r="AN333">
        <f t="shared" si="22"/>
        <v>4.9950280785560608</v>
      </c>
    </row>
    <row r="334" spans="1:40" x14ac:dyDescent="0.2">
      <c r="A334">
        <v>45</v>
      </c>
      <c r="B334" t="s">
        <v>963</v>
      </c>
      <c r="C334">
        <v>9.129679948091507E-2</v>
      </c>
      <c r="D334">
        <v>3.639630600810051E-2</v>
      </c>
      <c r="E334" s="2">
        <v>8.1116251647472382E-2</v>
      </c>
      <c r="G334" t="s">
        <v>1186</v>
      </c>
      <c r="H334" s="2" t="s">
        <v>1191</v>
      </c>
      <c r="I334">
        <v>6</v>
      </c>
      <c r="J334" t="s">
        <v>1155</v>
      </c>
      <c r="K334">
        <v>2019</v>
      </c>
      <c r="L334" t="s">
        <v>33</v>
      </c>
      <c r="M334" t="s">
        <v>46</v>
      </c>
      <c r="N334">
        <v>25.5</v>
      </c>
      <c r="O334">
        <f>13.5-11</f>
        <v>2.5</v>
      </c>
      <c r="P334" t="s">
        <v>30</v>
      </c>
      <c r="R334" t="s">
        <v>89</v>
      </c>
      <c r="S334" s="4">
        <v>34.694020000000002</v>
      </c>
      <c r="T334" s="4">
        <v>-120.04133</v>
      </c>
      <c r="U334">
        <v>1103</v>
      </c>
      <c r="V334" s="6">
        <f t="shared" si="19"/>
        <v>336.19440000000003</v>
      </c>
      <c r="W334" t="s">
        <v>2331</v>
      </c>
      <c r="X334" t="s">
        <v>2375</v>
      </c>
      <c r="Y334" t="s">
        <v>277</v>
      </c>
      <c r="AB334" s="2">
        <v>31.8</v>
      </c>
      <c r="AC334" s="2">
        <v>9.9</v>
      </c>
      <c r="AF334">
        <v>100</v>
      </c>
      <c r="AG334">
        <v>33</v>
      </c>
      <c r="AH334">
        <v>37.1</v>
      </c>
      <c r="AI334">
        <v>6.6</v>
      </c>
      <c r="AJ334" s="41">
        <v>0</v>
      </c>
      <c r="AL334">
        <f t="shared" si="20"/>
        <v>7.3037439584732056</v>
      </c>
      <c r="AM334">
        <f t="shared" si="21"/>
        <v>2.9117044806480408</v>
      </c>
      <c r="AN334">
        <f t="shared" si="22"/>
        <v>6.4893001317977905</v>
      </c>
    </row>
    <row r="335" spans="1:40" x14ac:dyDescent="0.2">
      <c r="A335">
        <v>45</v>
      </c>
      <c r="B335" t="s">
        <v>964</v>
      </c>
      <c r="C335">
        <v>3.0621439218521118E-2</v>
      </c>
      <c r="D335">
        <v>0</v>
      </c>
      <c r="E335" s="2">
        <v>0</v>
      </c>
      <c r="G335" t="s">
        <v>1186</v>
      </c>
      <c r="H335" s="2" t="s">
        <v>1191</v>
      </c>
      <c r="I335">
        <v>6</v>
      </c>
      <c r="J335" t="s">
        <v>1155</v>
      </c>
      <c r="K335">
        <v>2019</v>
      </c>
      <c r="L335" t="s">
        <v>33</v>
      </c>
      <c r="M335" t="s">
        <v>46</v>
      </c>
      <c r="N335">
        <v>32</v>
      </c>
      <c r="O335">
        <f>15.5-11.5</f>
        <v>4</v>
      </c>
      <c r="P335" t="s">
        <v>37</v>
      </c>
      <c r="R335" t="s">
        <v>89</v>
      </c>
      <c r="S335" s="4">
        <v>34.694099999999999</v>
      </c>
      <c r="T335" s="4">
        <v>-120.04138</v>
      </c>
      <c r="U335">
        <v>1103</v>
      </c>
      <c r="V335" s="6">
        <f t="shared" si="19"/>
        <v>336.19440000000003</v>
      </c>
      <c r="W335" t="s">
        <v>2331</v>
      </c>
      <c r="X335" t="s">
        <v>2375</v>
      </c>
      <c r="Y335" t="s">
        <v>280</v>
      </c>
      <c r="AB335" s="2">
        <v>31.8</v>
      </c>
      <c r="AC335" s="2">
        <v>9.9</v>
      </c>
      <c r="AF335">
        <v>100</v>
      </c>
      <c r="AG335">
        <v>33</v>
      </c>
      <c r="AH335">
        <v>37.1</v>
      </c>
      <c r="AI335">
        <v>6.6</v>
      </c>
      <c r="AJ335" s="41">
        <v>0</v>
      </c>
      <c r="AL335">
        <f t="shared" si="20"/>
        <v>2.4497151374816895</v>
      </c>
      <c r="AM335">
        <f t="shared" si="21"/>
        <v>0</v>
      </c>
      <c r="AN335">
        <f t="shared" si="22"/>
        <v>0</v>
      </c>
    </row>
    <row r="336" spans="1:40" x14ac:dyDescent="0.2">
      <c r="A336">
        <v>45</v>
      </c>
      <c r="B336" t="s">
        <v>965</v>
      </c>
      <c r="C336">
        <v>0.11334443837404251</v>
      </c>
      <c r="D336">
        <v>0.12971772253513336</v>
      </c>
      <c r="E336" s="2">
        <v>0.14778517186641693</v>
      </c>
      <c r="G336" t="s">
        <v>1186</v>
      </c>
      <c r="H336" s="2" t="s">
        <v>1191</v>
      </c>
      <c r="I336">
        <v>6</v>
      </c>
      <c r="J336" t="s">
        <v>1155</v>
      </c>
      <c r="K336">
        <v>2019</v>
      </c>
      <c r="L336" t="s">
        <v>33</v>
      </c>
      <c r="M336" t="s">
        <v>46</v>
      </c>
      <c r="N336">
        <v>27</v>
      </c>
      <c r="O336">
        <v>2</v>
      </c>
      <c r="P336" t="s">
        <v>30</v>
      </c>
      <c r="R336" t="s">
        <v>89</v>
      </c>
      <c r="S336" s="4">
        <v>34.694189999999999</v>
      </c>
      <c r="T336" s="4">
        <v>-120.04141</v>
      </c>
      <c r="U336">
        <v>1105</v>
      </c>
      <c r="V336" s="6">
        <f t="shared" si="19"/>
        <v>336.80400000000003</v>
      </c>
      <c r="W336" t="s">
        <v>2331</v>
      </c>
      <c r="X336" t="s">
        <v>2375</v>
      </c>
      <c r="Y336" t="s">
        <v>1104</v>
      </c>
      <c r="AB336" s="2">
        <v>31.8</v>
      </c>
      <c r="AC336" s="2">
        <v>9.9</v>
      </c>
      <c r="AF336">
        <v>100</v>
      </c>
      <c r="AG336">
        <v>33</v>
      </c>
      <c r="AH336">
        <v>37.1</v>
      </c>
      <c r="AI336">
        <v>6.6</v>
      </c>
      <c r="AJ336" s="41">
        <v>0</v>
      </c>
      <c r="AL336">
        <f t="shared" si="20"/>
        <v>9.0675550699234009</v>
      </c>
      <c r="AM336">
        <f t="shared" si="21"/>
        <v>10.377417802810669</v>
      </c>
      <c r="AN336">
        <f t="shared" si="22"/>
        <v>11.822813749313354</v>
      </c>
    </row>
    <row r="337" spans="1:40" x14ac:dyDescent="0.2">
      <c r="A337">
        <v>45</v>
      </c>
      <c r="B337" t="s">
        <v>966</v>
      </c>
      <c r="C337" s="2">
        <v>0</v>
      </c>
      <c r="D337">
        <v>0</v>
      </c>
      <c r="E337" s="2">
        <v>0</v>
      </c>
      <c r="G337" t="s">
        <v>1186</v>
      </c>
      <c r="H337" s="2" t="s">
        <v>1191</v>
      </c>
      <c r="I337">
        <v>6</v>
      </c>
      <c r="J337" t="s">
        <v>1155</v>
      </c>
      <c r="K337">
        <v>2019</v>
      </c>
      <c r="L337" t="s">
        <v>33</v>
      </c>
      <c r="M337" t="s">
        <v>46</v>
      </c>
      <c r="N337">
        <v>38.5</v>
      </c>
      <c r="O337">
        <f>20.5-13.5</f>
        <v>7</v>
      </c>
      <c r="P337" t="s">
        <v>37</v>
      </c>
      <c r="R337" t="s">
        <v>89</v>
      </c>
      <c r="S337" s="4">
        <v>34.694229999999997</v>
      </c>
      <c r="T337" s="4">
        <v>-120.04143000000001</v>
      </c>
      <c r="U337">
        <v>1104</v>
      </c>
      <c r="V337" s="6">
        <f t="shared" si="19"/>
        <v>336.49920000000003</v>
      </c>
      <c r="W337" t="s">
        <v>2331</v>
      </c>
      <c r="X337" t="s">
        <v>2375</v>
      </c>
      <c r="Y337" t="s">
        <v>283</v>
      </c>
      <c r="AB337" s="2">
        <v>31.8</v>
      </c>
      <c r="AC337" s="2">
        <v>9.9</v>
      </c>
      <c r="AF337">
        <v>100</v>
      </c>
      <c r="AG337">
        <v>33</v>
      </c>
      <c r="AH337">
        <v>37.1</v>
      </c>
      <c r="AI337">
        <v>6.6</v>
      </c>
      <c r="AJ337" s="41">
        <v>0</v>
      </c>
      <c r="AL337">
        <f t="shared" si="20"/>
        <v>0</v>
      </c>
      <c r="AM337">
        <f t="shared" si="21"/>
        <v>0</v>
      </c>
      <c r="AN337">
        <f t="shared" si="22"/>
        <v>0</v>
      </c>
    </row>
    <row r="338" spans="1:40" x14ac:dyDescent="0.2">
      <c r="A338">
        <v>47</v>
      </c>
      <c r="B338" t="s">
        <v>967</v>
      </c>
      <c r="C338" s="2">
        <v>3.1028924999999999E-2</v>
      </c>
      <c r="D338">
        <v>0.10169914364814758</v>
      </c>
      <c r="E338" s="2">
        <v>6.1081059277057648E-2</v>
      </c>
      <c r="G338" t="s">
        <v>1186</v>
      </c>
      <c r="H338" s="2" t="s">
        <v>1191</v>
      </c>
      <c r="I338" s="2">
        <v>8</v>
      </c>
      <c r="J338" s="2" t="s">
        <v>1155</v>
      </c>
      <c r="K338">
        <v>2019</v>
      </c>
      <c r="L338" t="s">
        <v>33</v>
      </c>
      <c r="M338" t="s">
        <v>46</v>
      </c>
      <c r="N338">
        <v>34</v>
      </c>
      <c r="O338">
        <f>16.5-11</f>
        <v>5.5</v>
      </c>
      <c r="P338" t="s">
        <v>37</v>
      </c>
      <c r="R338" t="s">
        <v>89</v>
      </c>
      <c r="S338" s="4">
        <v>34.693480000000001</v>
      </c>
      <c r="T338" s="4">
        <v>-120.04088</v>
      </c>
      <c r="U338">
        <v>1058</v>
      </c>
      <c r="V338" s="6">
        <f t="shared" si="19"/>
        <v>322.47840000000002</v>
      </c>
      <c r="W338" t="s">
        <v>2331</v>
      </c>
      <c r="X338" t="s">
        <v>2332</v>
      </c>
      <c r="Y338" t="s">
        <v>165</v>
      </c>
      <c r="AA338" t="s">
        <v>1227</v>
      </c>
      <c r="AB338" s="2">
        <v>30.5</v>
      </c>
      <c r="AC338" s="2">
        <v>7.8</v>
      </c>
      <c r="AF338">
        <v>100</v>
      </c>
      <c r="AG338">
        <v>26</v>
      </c>
      <c r="AH338">
        <v>37.1</v>
      </c>
      <c r="AI338">
        <v>6.6</v>
      </c>
      <c r="AJ338" s="41">
        <v>0</v>
      </c>
      <c r="AL338">
        <f t="shared" si="20"/>
        <v>2.4823139999999997</v>
      </c>
      <c r="AM338">
        <f t="shared" si="21"/>
        <v>8.1359314918518066</v>
      </c>
      <c r="AN338">
        <f t="shared" si="22"/>
        <v>4.8864847421646118</v>
      </c>
    </row>
    <row r="339" spans="1:40" s="2" customFormat="1" x14ac:dyDescent="0.2">
      <c r="A339">
        <v>47</v>
      </c>
      <c r="B339" s="2" t="s">
        <v>968</v>
      </c>
      <c r="C339" s="2">
        <v>0</v>
      </c>
      <c r="D339">
        <v>0</v>
      </c>
      <c r="E339" s="2">
        <v>0</v>
      </c>
      <c r="G339" t="s">
        <v>1186</v>
      </c>
      <c r="H339" s="2" t="s">
        <v>1191</v>
      </c>
      <c r="I339" s="2">
        <v>8</v>
      </c>
      <c r="J339" s="2" t="s">
        <v>1155</v>
      </c>
      <c r="K339">
        <v>2019</v>
      </c>
      <c r="L339" t="s">
        <v>33</v>
      </c>
      <c r="M339" t="s">
        <v>46</v>
      </c>
      <c r="N339" s="2">
        <v>34</v>
      </c>
      <c r="O339" s="2">
        <f>17.5-12</f>
        <v>5.5</v>
      </c>
      <c r="P339" s="2" t="s">
        <v>37</v>
      </c>
      <c r="R339" t="s">
        <v>89</v>
      </c>
      <c r="S339" s="4">
        <v>34.693480000000001</v>
      </c>
      <c r="T339" s="4">
        <v>-120.04088</v>
      </c>
      <c r="U339">
        <v>1058</v>
      </c>
      <c r="V339" s="6">
        <f t="shared" si="19"/>
        <v>322.47840000000002</v>
      </c>
      <c r="W339" t="s">
        <v>2331</v>
      </c>
      <c r="X339" t="s">
        <v>2332</v>
      </c>
      <c r="Y339" s="2" t="s">
        <v>168</v>
      </c>
      <c r="Z339" s="2" t="s">
        <v>1107</v>
      </c>
      <c r="AA339" s="2" t="s">
        <v>1229</v>
      </c>
      <c r="AB339" s="2">
        <v>30.5</v>
      </c>
      <c r="AC339" s="2">
        <v>7.8</v>
      </c>
      <c r="AF339">
        <v>100</v>
      </c>
      <c r="AG339">
        <v>26</v>
      </c>
      <c r="AH339">
        <v>37.1</v>
      </c>
      <c r="AI339">
        <v>6.6</v>
      </c>
      <c r="AJ339" s="41">
        <v>0</v>
      </c>
      <c r="AL339">
        <f t="shared" si="20"/>
        <v>0</v>
      </c>
      <c r="AM339">
        <f t="shared" si="21"/>
        <v>0</v>
      </c>
      <c r="AN339">
        <f t="shared" si="22"/>
        <v>0</v>
      </c>
    </row>
    <row r="340" spans="1:40" s="2" customFormat="1" x14ac:dyDescent="0.2">
      <c r="A340">
        <v>47</v>
      </c>
      <c r="B340" s="2" t="s">
        <v>969</v>
      </c>
      <c r="C340">
        <v>2.8004566207528114E-2</v>
      </c>
      <c r="D340">
        <v>0.13922926783561707</v>
      </c>
      <c r="E340" s="2">
        <v>0</v>
      </c>
      <c r="G340" t="s">
        <v>1186</v>
      </c>
      <c r="H340" s="2" t="s">
        <v>1191</v>
      </c>
      <c r="I340" s="2">
        <v>8</v>
      </c>
      <c r="J340" s="2" t="s">
        <v>1155</v>
      </c>
      <c r="K340">
        <v>2019</v>
      </c>
      <c r="L340" t="s">
        <v>33</v>
      </c>
      <c r="M340" t="s">
        <v>46</v>
      </c>
      <c r="N340" s="2">
        <v>36</v>
      </c>
      <c r="O340" s="2">
        <f>24-19</f>
        <v>5</v>
      </c>
      <c r="P340" s="2" t="s">
        <v>30</v>
      </c>
      <c r="R340" t="s">
        <v>89</v>
      </c>
      <c r="S340" s="5">
        <v>34.693550000000002</v>
      </c>
      <c r="T340" s="5">
        <v>-120.04092</v>
      </c>
      <c r="U340" s="2">
        <v>1061</v>
      </c>
      <c r="V340" s="6">
        <f t="shared" si="19"/>
        <v>323.39280000000002</v>
      </c>
      <c r="W340" t="s">
        <v>2331</v>
      </c>
      <c r="X340" t="s">
        <v>2332</v>
      </c>
      <c r="Y340" s="2" t="s">
        <v>171</v>
      </c>
      <c r="Z340" s="2" t="s">
        <v>1107</v>
      </c>
      <c r="AA340" s="2" t="s">
        <v>1230</v>
      </c>
      <c r="AB340" s="2">
        <v>30.5</v>
      </c>
      <c r="AC340" s="2">
        <v>7.8</v>
      </c>
      <c r="AF340">
        <v>100</v>
      </c>
      <c r="AG340">
        <v>26</v>
      </c>
      <c r="AH340">
        <v>37.1</v>
      </c>
      <c r="AI340">
        <v>6.6</v>
      </c>
      <c r="AJ340" s="41">
        <v>0</v>
      </c>
      <c r="AL340">
        <f t="shared" si="20"/>
        <v>2.2403652966022491</v>
      </c>
      <c r="AM340">
        <f t="shared" si="21"/>
        <v>11.138341426849365</v>
      </c>
      <c r="AN340">
        <f t="shared" si="22"/>
        <v>0</v>
      </c>
    </row>
    <row r="341" spans="1:40" s="2" customFormat="1" x14ac:dyDescent="0.2">
      <c r="A341">
        <v>47</v>
      </c>
      <c r="B341" s="2" t="s">
        <v>970</v>
      </c>
      <c r="C341">
        <v>1.4341749250888824E-2</v>
      </c>
      <c r="D341">
        <v>0</v>
      </c>
      <c r="E341" s="2">
        <v>0</v>
      </c>
      <c r="G341" t="s">
        <v>1186</v>
      </c>
      <c r="H341" s="2" t="s">
        <v>1191</v>
      </c>
      <c r="I341" s="2">
        <v>8</v>
      </c>
      <c r="J341" s="2" t="s">
        <v>1155</v>
      </c>
      <c r="K341">
        <v>2019</v>
      </c>
      <c r="L341" t="s">
        <v>33</v>
      </c>
      <c r="M341" t="s">
        <v>46</v>
      </c>
      <c r="N341" s="2">
        <v>35</v>
      </c>
      <c r="O341" s="2">
        <f>20.5-15</f>
        <v>5.5</v>
      </c>
      <c r="P341" s="2" t="s">
        <v>37</v>
      </c>
      <c r="R341" t="s">
        <v>89</v>
      </c>
      <c r="S341" s="5">
        <v>34.693689999999997</v>
      </c>
      <c r="T341" s="5">
        <v>-120.04107</v>
      </c>
      <c r="U341" s="2">
        <v>1065</v>
      </c>
      <c r="V341" s="6">
        <f t="shared" si="19"/>
        <v>324.61200000000002</v>
      </c>
      <c r="W341" t="s">
        <v>2331</v>
      </c>
      <c r="X341" t="s">
        <v>2332</v>
      </c>
      <c r="Y341" s="2" t="s">
        <v>221</v>
      </c>
      <c r="AA341" s="2" t="s">
        <v>1231</v>
      </c>
      <c r="AB341" s="2">
        <v>30.5</v>
      </c>
      <c r="AC341" s="2">
        <v>7.8</v>
      </c>
      <c r="AF341">
        <v>100</v>
      </c>
      <c r="AG341">
        <v>26</v>
      </c>
      <c r="AH341">
        <v>37.1</v>
      </c>
      <c r="AI341">
        <v>6.6</v>
      </c>
      <c r="AJ341" s="41">
        <v>0</v>
      </c>
      <c r="AL341">
        <f t="shared" si="20"/>
        <v>1.147339940071106</v>
      </c>
      <c r="AM341">
        <f t="shared" si="21"/>
        <v>0</v>
      </c>
      <c r="AN341">
        <f t="shared" si="22"/>
        <v>0</v>
      </c>
    </row>
    <row r="342" spans="1:40" s="2" customFormat="1" x14ac:dyDescent="0.2">
      <c r="A342">
        <v>47</v>
      </c>
      <c r="B342" s="2" t="s">
        <v>971</v>
      </c>
      <c r="C342" s="2">
        <v>0</v>
      </c>
      <c r="D342">
        <v>0</v>
      </c>
      <c r="E342" s="2">
        <v>0</v>
      </c>
      <c r="G342" t="s">
        <v>1186</v>
      </c>
      <c r="H342" s="2" t="s">
        <v>1191</v>
      </c>
      <c r="I342" s="2">
        <v>8</v>
      </c>
      <c r="J342" s="2" t="s">
        <v>1155</v>
      </c>
      <c r="K342">
        <v>2019</v>
      </c>
      <c r="L342" t="s">
        <v>33</v>
      </c>
      <c r="M342" t="s">
        <v>46</v>
      </c>
      <c r="N342" s="2">
        <v>33.5</v>
      </c>
      <c r="O342" s="2">
        <f>18.5-12.5</f>
        <v>6</v>
      </c>
      <c r="P342" s="2" t="s">
        <v>37</v>
      </c>
      <c r="R342" t="s">
        <v>89</v>
      </c>
      <c r="S342" s="5">
        <v>34.693849999999998</v>
      </c>
      <c r="T342" s="5">
        <v>-120.04121000000001</v>
      </c>
      <c r="U342" s="2">
        <v>1074</v>
      </c>
      <c r="V342" s="6">
        <f t="shared" si="19"/>
        <v>327.35520000000002</v>
      </c>
      <c r="W342" t="s">
        <v>2331</v>
      </c>
      <c r="X342" t="s">
        <v>2332</v>
      </c>
      <c r="Y342" s="2" t="s">
        <v>47</v>
      </c>
      <c r="Z342" s="2" t="s">
        <v>1107</v>
      </c>
      <c r="AA342" s="2" t="s">
        <v>1232</v>
      </c>
      <c r="AB342" s="2">
        <v>30.5</v>
      </c>
      <c r="AC342" s="2">
        <v>7.8</v>
      </c>
      <c r="AF342">
        <v>100</v>
      </c>
      <c r="AG342">
        <v>26</v>
      </c>
      <c r="AH342">
        <v>37.1</v>
      </c>
      <c r="AI342">
        <v>6.6</v>
      </c>
      <c r="AJ342" s="41">
        <v>0</v>
      </c>
      <c r="AL342">
        <f t="shared" si="20"/>
        <v>0</v>
      </c>
      <c r="AM342">
        <f t="shared" si="21"/>
        <v>0</v>
      </c>
      <c r="AN342">
        <f t="shared" si="22"/>
        <v>0</v>
      </c>
    </row>
    <row r="343" spans="1:40" s="2" customFormat="1" x14ac:dyDescent="0.2">
      <c r="A343">
        <v>47</v>
      </c>
      <c r="B343" s="2" t="s">
        <v>972</v>
      </c>
      <c r="C343" s="2">
        <v>0</v>
      </c>
      <c r="D343">
        <v>1.7450841143727303E-2</v>
      </c>
      <c r="E343" s="2">
        <v>0</v>
      </c>
      <c r="G343" t="s">
        <v>1186</v>
      </c>
      <c r="H343" s="2" t="s">
        <v>1191</v>
      </c>
      <c r="I343" s="2">
        <v>8</v>
      </c>
      <c r="J343" s="2" t="s">
        <v>1155</v>
      </c>
      <c r="K343">
        <v>2019</v>
      </c>
      <c r="L343" t="s">
        <v>33</v>
      </c>
      <c r="M343" t="s">
        <v>46</v>
      </c>
      <c r="N343" s="2">
        <v>30.5</v>
      </c>
      <c r="O343" s="2">
        <f>17.5-14.5</f>
        <v>3</v>
      </c>
      <c r="P343" s="2" t="s">
        <v>30</v>
      </c>
      <c r="R343" t="s">
        <v>89</v>
      </c>
      <c r="S343" s="5">
        <v>34.693939999999998</v>
      </c>
      <c r="T343" s="5">
        <v>-120.04125000000001</v>
      </c>
      <c r="U343" s="2">
        <v>1081</v>
      </c>
      <c r="V343" s="6">
        <f t="shared" si="19"/>
        <v>329.48880000000003</v>
      </c>
      <c r="W343" t="s">
        <v>2331</v>
      </c>
      <c r="X343" t="s">
        <v>2332</v>
      </c>
      <c r="Y343" s="2" t="s">
        <v>174</v>
      </c>
      <c r="Z343" s="2" t="s">
        <v>1107</v>
      </c>
      <c r="AA343" s="2" t="s">
        <v>1233</v>
      </c>
      <c r="AB343" s="2">
        <v>30.5</v>
      </c>
      <c r="AC343" s="2">
        <v>7.8</v>
      </c>
      <c r="AF343">
        <v>100</v>
      </c>
      <c r="AG343">
        <v>26</v>
      </c>
      <c r="AH343">
        <v>37.1</v>
      </c>
      <c r="AI343">
        <v>6.6</v>
      </c>
      <c r="AJ343" s="41">
        <v>0</v>
      </c>
      <c r="AL343">
        <f t="shared" si="20"/>
        <v>0</v>
      </c>
      <c r="AM343">
        <f t="shared" si="21"/>
        <v>1.3960672914981842</v>
      </c>
      <c r="AN343">
        <f t="shared" si="22"/>
        <v>0</v>
      </c>
    </row>
    <row r="344" spans="1:40" s="2" customFormat="1" x14ac:dyDescent="0.2">
      <c r="A344">
        <v>47</v>
      </c>
      <c r="B344" s="2" t="s">
        <v>973</v>
      </c>
      <c r="C344" s="2">
        <v>0</v>
      </c>
      <c r="D344">
        <v>0</v>
      </c>
      <c r="E344" s="2">
        <v>0</v>
      </c>
      <c r="G344" t="s">
        <v>1186</v>
      </c>
      <c r="H344" s="2" t="s">
        <v>1191</v>
      </c>
      <c r="I344" s="2">
        <v>8</v>
      </c>
      <c r="J344" s="2" t="s">
        <v>1155</v>
      </c>
      <c r="K344">
        <v>2019</v>
      </c>
      <c r="L344" s="2" t="s">
        <v>32</v>
      </c>
      <c r="M344" t="s">
        <v>46</v>
      </c>
      <c r="N344" s="2">
        <v>27.5</v>
      </c>
      <c r="O344" s="2">
        <f>25.5-23.5</f>
        <v>2</v>
      </c>
      <c r="P344" s="2" t="s">
        <v>37</v>
      </c>
      <c r="Q344" s="2" t="s">
        <v>42</v>
      </c>
      <c r="R344" s="2" t="s">
        <v>39</v>
      </c>
      <c r="S344" s="5">
        <v>34.694220000000001</v>
      </c>
      <c r="T344" s="5">
        <v>-120.04143000000001</v>
      </c>
      <c r="U344" s="2">
        <v>1098</v>
      </c>
      <c r="V344" s="6">
        <f t="shared" si="19"/>
        <v>334.67040000000003</v>
      </c>
      <c r="W344" t="s">
        <v>2331</v>
      </c>
      <c r="X344" t="s">
        <v>2332</v>
      </c>
      <c r="Y344" s="2" t="s">
        <v>236</v>
      </c>
      <c r="Z344" s="2" t="s">
        <v>1107</v>
      </c>
      <c r="AA344" s="2" t="s">
        <v>1228</v>
      </c>
      <c r="AB344" s="2">
        <v>30.5</v>
      </c>
      <c r="AC344" s="2">
        <v>7.8</v>
      </c>
      <c r="AF344">
        <v>100</v>
      </c>
      <c r="AG344">
        <v>26</v>
      </c>
      <c r="AH344">
        <v>37.1</v>
      </c>
      <c r="AI344">
        <v>6.6</v>
      </c>
      <c r="AJ344" s="41">
        <v>0</v>
      </c>
      <c r="AL344">
        <f t="shared" si="20"/>
        <v>0</v>
      </c>
      <c r="AM344">
        <f t="shared" si="21"/>
        <v>0</v>
      </c>
      <c r="AN344">
        <f t="shared" si="22"/>
        <v>0</v>
      </c>
    </row>
    <row r="345" spans="1:40" s="2" customFormat="1" x14ac:dyDescent="0.2">
      <c r="A345">
        <v>47</v>
      </c>
      <c r="B345" s="2" t="s">
        <v>974</v>
      </c>
      <c r="C345">
        <v>0.18749198317527771</v>
      </c>
      <c r="D345">
        <v>0.17803971469402313</v>
      </c>
      <c r="E345" s="2">
        <v>0.21916912496089935</v>
      </c>
      <c r="G345" t="s">
        <v>1186</v>
      </c>
      <c r="H345" s="2" t="s">
        <v>1191</v>
      </c>
      <c r="I345" s="2">
        <v>8</v>
      </c>
      <c r="J345" s="2" t="s">
        <v>1155</v>
      </c>
      <c r="K345">
        <v>2019</v>
      </c>
      <c r="L345" s="2" t="s">
        <v>33</v>
      </c>
      <c r="M345" t="s">
        <v>46</v>
      </c>
      <c r="N345" s="2">
        <v>30.5</v>
      </c>
      <c r="O345" s="2">
        <f>17.5-14.5</f>
        <v>3</v>
      </c>
      <c r="P345" s="2" t="s">
        <v>30</v>
      </c>
      <c r="R345" t="s">
        <v>89</v>
      </c>
      <c r="S345" s="5">
        <v>34.694220000000001</v>
      </c>
      <c r="T345" s="5">
        <v>-120.04143000000001</v>
      </c>
      <c r="U345" s="2">
        <v>1098</v>
      </c>
      <c r="V345" s="6">
        <f t="shared" si="19"/>
        <v>334.67040000000003</v>
      </c>
      <c r="W345" t="s">
        <v>2331</v>
      </c>
      <c r="X345" t="s">
        <v>2332</v>
      </c>
      <c r="Y345" s="2" t="s">
        <v>226</v>
      </c>
      <c r="Z345" s="2" t="s">
        <v>1107</v>
      </c>
      <c r="AA345" s="2" t="s">
        <v>1234</v>
      </c>
      <c r="AB345" s="2">
        <v>30.5</v>
      </c>
      <c r="AC345" s="2">
        <v>7.8</v>
      </c>
      <c r="AF345">
        <v>100</v>
      </c>
      <c r="AG345">
        <v>26</v>
      </c>
      <c r="AH345">
        <v>37.1</v>
      </c>
      <c r="AI345">
        <v>6.6</v>
      </c>
      <c r="AJ345" s="41">
        <v>0</v>
      </c>
      <c r="AL345">
        <f t="shared" si="20"/>
        <v>14.999358654022217</v>
      </c>
      <c r="AM345">
        <f t="shared" si="21"/>
        <v>14.243177175521851</v>
      </c>
      <c r="AN345">
        <f t="shared" si="22"/>
        <v>17.533529996871948</v>
      </c>
    </row>
    <row r="346" spans="1:40" s="2" customFormat="1" x14ac:dyDescent="0.2">
      <c r="A346">
        <v>47</v>
      </c>
      <c r="B346" s="2" t="s">
        <v>975</v>
      </c>
      <c r="C346">
        <v>3.0640354380011559E-2</v>
      </c>
      <c r="D346">
        <v>0.14105156064033508</v>
      </c>
      <c r="E346" s="2">
        <v>0.11170466244220734</v>
      </c>
      <c r="G346" t="s">
        <v>1186</v>
      </c>
      <c r="H346" s="2" t="s">
        <v>1191</v>
      </c>
      <c r="I346" s="2">
        <v>8</v>
      </c>
      <c r="J346" s="2" t="s">
        <v>1155</v>
      </c>
      <c r="K346">
        <v>2019</v>
      </c>
      <c r="L346" s="2" t="s">
        <v>33</v>
      </c>
      <c r="M346" t="s">
        <v>46</v>
      </c>
      <c r="N346" s="2">
        <v>28</v>
      </c>
      <c r="O346" s="2">
        <f>18.5-15.5</f>
        <v>3</v>
      </c>
      <c r="P346" s="2" t="s">
        <v>30</v>
      </c>
      <c r="R346" t="s">
        <v>89</v>
      </c>
      <c r="S346" s="5">
        <v>34.694220000000001</v>
      </c>
      <c r="T346" s="5">
        <v>-120.04143000000001</v>
      </c>
      <c r="U346" s="2">
        <v>1098</v>
      </c>
      <c r="V346" s="6">
        <f t="shared" si="19"/>
        <v>334.67040000000003</v>
      </c>
      <c r="W346" t="s">
        <v>2331</v>
      </c>
      <c r="X346" t="s">
        <v>2332</v>
      </c>
      <c r="Y346" s="2" t="s">
        <v>90</v>
      </c>
      <c r="Z346" s="2" t="s">
        <v>1107</v>
      </c>
      <c r="AA346" s="2" t="s">
        <v>1235</v>
      </c>
      <c r="AB346" s="2">
        <v>30.5</v>
      </c>
      <c r="AC346" s="2">
        <v>7.8</v>
      </c>
      <c r="AF346">
        <v>100</v>
      </c>
      <c r="AG346">
        <v>26</v>
      </c>
      <c r="AH346">
        <v>37.1</v>
      </c>
      <c r="AI346">
        <v>6.6</v>
      </c>
      <c r="AJ346" s="41">
        <v>0</v>
      </c>
      <c r="AL346">
        <f t="shared" ref="AL346:AL358" si="23">C346*80</f>
        <v>2.4512283504009247</v>
      </c>
      <c r="AM346">
        <f t="shared" ref="AM346:AM358" si="24">D346*80</f>
        <v>11.284124851226807</v>
      </c>
      <c r="AN346">
        <f t="shared" ref="AN346:AN358" si="25">E346*80</f>
        <v>8.9363729953765869</v>
      </c>
    </row>
    <row r="347" spans="1:40" s="2" customFormat="1" x14ac:dyDescent="0.2">
      <c r="A347">
        <v>47</v>
      </c>
      <c r="B347" s="2" t="s">
        <v>976</v>
      </c>
      <c r="C347">
        <v>2.8742363676428795E-2</v>
      </c>
      <c r="D347">
        <v>4.7976240515708923E-2</v>
      </c>
      <c r="E347" s="2">
        <v>2.167278528213501E-2</v>
      </c>
      <c r="G347" t="s">
        <v>1186</v>
      </c>
      <c r="H347" s="2" t="s">
        <v>1191</v>
      </c>
      <c r="I347" s="2">
        <v>8</v>
      </c>
      <c r="J347" s="2" t="s">
        <v>1155</v>
      </c>
      <c r="K347">
        <v>2019</v>
      </c>
      <c r="L347" s="2" t="s">
        <v>33</v>
      </c>
      <c r="M347" t="s">
        <v>46</v>
      </c>
      <c r="N347" s="2">
        <v>35</v>
      </c>
      <c r="O347" s="2">
        <f>15.5-10.5</f>
        <v>5</v>
      </c>
      <c r="P347" s="2" t="s">
        <v>30</v>
      </c>
      <c r="R347" t="s">
        <v>89</v>
      </c>
      <c r="S347" s="5">
        <v>34.694220000000001</v>
      </c>
      <c r="T347" s="5">
        <v>-120.04143000000001</v>
      </c>
      <c r="U347" s="2">
        <v>1098</v>
      </c>
      <c r="V347" s="6">
        <f t="shared" si="19"/>
        <v>334.67040000000003</v>
      </c>
      <c r="W347" t="s">
        <v>2331</v>
      </c>
      <c r="X347" t="s">
        <v>2332</v>
      </c>
      <c r="Y347" s="2" t="s">
        <v>243</v>
      </c>
      <c r="Z347" s="2" t="s">
        <v>2501</v>
      </c>
      <c r="AA347" s="2" t="s">
        <v>1236</v>
      </c>
      <c r="AB347" s="2">
        <v>30.5</v>
      </c>
      <c r="AC347" s="2">
        <v>7.8</v>
      </c>
      <c r="AF347">
        <v>100</v>
      </c>
      <c r="AG347">
        <v>26</v>
      </c>
      <c r="AH347">
        <v>37.1</v>
      </c>
      <c r="AI347">
        <v>6.6</v>
      </c>
      <c r="AJ347" s="41">
        <v>0</v>
      </c>
      <c r="AL347">
        <f t="shared" si="23"/>
        <v>2.2993890941143036</v>
      </c>
      <c r="AM347">
        <f t="shared" si="24"/>
        <v>3.8380992412567139</v>
      </c>
      <c r="AN347">
        <f t="shared" si="25"/>
        <v>1.7338228225708008</v>
      </c>
    </row>
    <row r="348" spans="1:40" s="2" customFormat="1" x14ac:dyDescent="0.2">
      <c r="A348">
        <v>47</v>
      </c>
      <c r="B348" s="2" t="s">
        <v>977</v>
      </c>
      <c r="C348">
        <v>9.2751443386077881E-2</v>
      </c>
      <c r="D348">
        <v>0.10379599779844284</v>
      </c>
      <c r="E348" s="2">
        <v>8.2025937736034393E-2</v>
      </c>
      <c r="G348" t="s">
        <v>1186</v>
      </c>
      <c r="H348" s="2" t="s">
        <v>1191</v>
      </c>
      <c r="I348" s="2">
        <v>8</v>
      </c>
      <c r="J348" s="2" t="s">
        <v>1155</v>
      </c>
      <c r="K348">
        <v>2019</v>
      </c>
      <c r="L348" s="2" t="s">
        <v>33</v>
      </c>
      <c r="M348" t="s">
        <v>46</v>
      </c>
      <c r="N348" s="2">
        <v>30.5</v>
      </c>
      <c r="O348" s="2">
        <f>21.5-18</f>
        <v>3.5</v>
      </c>
      <c r="P348" s="2" t="s">
        <v>37</v>
      </c>
      <c r="R348" t="s">
        <v>89</v>
      </c>
      <c r="S348" s="5">
        <v>34.694220000000001</v>
      </c>
      <c r="T348" s="5">
        <v>-120.04143000000001</v>
      </c>
      <c r="U348" s="2">
        <v>1098</v>
      </c>
      <c r="V348" s="6">
        <f t="shared" si="19"/>
        <v>334.67040000000003</v>
      </c>
      <c r="W348" t="s">
        <v>2331</v>
      </c>
      <c r="X348" t="s">
        <v>2332</v>
      </c>
      <c r="Y348" s="2" t="s">
        <v>249</v>
      </c>
      <c r="AA348" s="2" t="s">
        <v>1237</v>
      </c>
      <c r="AB348" s="2">
        <v>30.5</v>
      </c>
      <c r="AC348" s="2">
        <v>7.8</v>
      </c>
      <c r="AF348">
        <v>100</v>
      </c>
      <c r="AG348">
        <v>26</v>
      </c>
      <c r="AH348">
        <v>37.1</v>
      </c>
      <c r="AI348">
        <v>6.6</v>
      </c>
      <c r="AJ348" s="41">
        <v>0</v>
      </c>
      <c r="AL348">
        <f t="shared" si="23"/>
        <v>7.4201154708862305</v>
      </c>
      <c r="AM348">
        <f t="shared" si="24"/>
        <v>8.3036798238754272</v>
      </c>
      <c r="AN348">
        <f t="shared" si="25"/>
        <v>6.5620750188827515</v>
      </c>
    </row>
    <row r="349" spans="1:40" s="2" customFormat="1" x14ac:dyDescent="0.2">
      <c r="A349">
        <v>47</v>
      </c>
      <c r="B349" s="2" t="s">
        <v>978</v>
      </c>
      <c r="C349">
        <v>5.1058035343885422E-2</v>
      </c>
      <c r="D349">
        <v>5.7233817875385284E-2</v>
      </c>
      <c r="E349" s="2">
        <v>2.4730253964662552E-2</v>
      </c>
      <c r="G349" t="s">
        <v>1186</v>
      </c>
      <c r="H349" s="2" t="s">
        <v>1191</v>
      </c>
      <c r="I349" s="2">
        <v>8</v>
      </c>
      <c r="J349" s="2" t="s">
        <v>1155</v>
      </c>
      <c r="K349">
        <v>2019</v>
      </c>
      <c r="L349" s="2" t="s">
        <v>33</v>
      </c>
      <c r="M349" t="s">
        <v>46</v>
      </c>
      <c r="N349" s="2">
        <v>35.5</v>
      </c>
      <c r="O349" s="2">
        <f>21-14</f>
        <v>7</v>
      </c>
      <c r="P349" s="2" t="s">
        <v>37</v>
      </c>
      <c r="R349" t="s">
        <v>89</v>
      </c>
      <c r="S349" s="5">
        <v>34.694220000000001</v>
      </c>
      <c r="T349" s="5">
        <v>-120.04143000000001</v>
      </c>
      <c r="U349" s="2">
        <v>1098</v>
      </c>
      <c r="V349" s="6">
        <f t="shared" si="19"/>
        <v>334.67040000000003</v>
      </c>
      <c r="W349" t="s">
        <v>2331</v>
      </c>
      <c r="X349" t="s">
        <v>2332</v>
      </c>
      <c r="Y349" s="2" t="s">
        <v>346</v>
      </c>
      <c r="AA349" s="2" t="s">
        <v>1238</v>
      </c>
      <c r="AB349" s="2">
        <v>30.5</v>
      </c>
      <c r="AC349" s="2">
        <v>7.8</v>
      </c>
      <c r="AF349">
        <v>100</v>
      </c>
      <c r="AG349">
        <v>26</v>
      </c>
      <c r="AH349">
        <v>37.1</v>
      </c>
      <c r="AI349">
        <v>6.6</v>
      </c>
      <c r="AJ349" s="41">
        <v>0</v>
      </c>
      <c r="AL349">
        <f t="shared" si="23"/>
        <v>4.0846428275108337</v>
      </c>
      <c r="AM349">
        <f t="shared" si="24"/>
        <v>4.5787054300308228</v>
      </c>
      <c r="AN349">
        <f t="shared" si="25"/>
        <v>1.9784203171730042</v>
      </c>
    </row>
    <row r="350" spans="1:40" s="2" customFormat="1" x14ac:dyDescent="0.2">
      <c r="A350">
        <v>47</v>
      </c>
      <c r="B350" s="2" t="s">
        <v>979</v>
      </c>
      <c r="C350">
        <v>0.37912186980247498</v>
      </c>
      <c r="D350">
        <v>0.31932985782623291</v>
      </c>
      <c r="E350" s="2">
        <v>0.23163187503814697</v>
      </c>
      <c r="G350" t="s">
        <v>1186</v>
      </c>
      <c r="H350" s="2" t="s">
        <v>1191</v>
      </c>
      <c r="I350" s="2">
        <v>8</v>
      </c>
      <c r="J350" s="2" t="s">
        <v>1155</v>
      </c>
      <c r="K350">
        <v>2019</v>
      </c>
      <c r="L350" s="2" t="s">
        <v>33</v>
      </c>
      <c r="M350" t="s">
        <v>46</v>
      </c>
      <c r="N350" s="2">
        <v>30</v>
      </c>
      <c r="O350" s="2">
        <f>17-12.5</f>
        <v>4.5</v>
      </c>
      <c r="P350" s="2" t="s">
        <v>30</v>
      </c>
      <c r="R350" t="s">
        <v>89</v>
      </c>
      <c r="S350" s="5">
        <v>34.694220000000001</v>
      </c>
      <c r="T350" s="5">
        <v>-120.04143000000001</v>
      </c>
      <c r="U350" s="2">
        <v>1098</v>
      </c>
      <c r="V350" s="6">
        <f t="shared" si="19"/>
        <v>334.67040000000003</v>
      </c>
      <c r="W350" t="s">
        <v>2331</v>
      </c>
      <c r="X350" t="s">
        <v>2332</v>
      </c>
      <c r="Y350" s="2" t="s">
        <v>346</v>
      </c>
      <c r="AA350" s="2" t="s">
        <v>1239</v>
      </c>
      <c r="AB350" s="2">
        <v>30.5</v>
      </c>
      <c r="AC350" s="2">
        <v>7.8</v>
      </c>
      <c r="AF350">
        <v>100</v>
      </c>
      <c r="AG350">
        <v>26</v>
      </c>
      <c r="AH350">
        <v>37.1</v>
      </c>
      <c r="AI350">
        <v>6.6</v>
      </c>
      <c r="AJ350" s="41">
        <v>0</v>
      </c>
      <c r="AL350">
        <f t="shared" si="23"/>
        <v>30.329749584197998</v>
      </c>
      <c r="AM350">
        <f t="shared" si="24"/>
        <v>25.546388626098633</v>
      </c>
      <c r="AN350">
        <f t="shared" si="25"/>
        <v>18.530550003051758</v>
      </c>
    </row>
    <row r="351" spans="1:40" s="2" customFormat="1" x14ac:dyDescent="0.2">
      <c r="A351">
        <v>47</v>
      </c>
      <c r="B351" s="2" t="s">
        <v>980</v>
      </c>
      <c r="C351" s="2">
        <v>0</v>
      </c>
      <c r="D351">
        <v>4.0521644055843353E-2</v>
      </c>
      <c r="E351" s="2">
        <v>0</v>
      </c>
      <c r="G351" t="s">
        <v>1186</v>
      </c>
      <c r="H351" s="2" t="s">
        <v>1191</v>
      </c>
      <c r="I351" s="2">
        <v>8</v>
      </c>
      <c r="J351" s="2" t="s">
        <v>1155</v>
      </c>
      <c r="K351">
        <v>2019</v>
      </c>
      <c r="L351" s="2" t="s">
        <v>33</v>
      </c>
      <c r="M351" t="s">
        <v>46</v>
      </c>
      <c r="N351" s="2">
        <v>36</v>
      </c>
      <c r="O351" s="2">
        <f>29-23.5</f>
        <v>5.5</v>
      </c>
      <c r="P351" s="2" t="s">
        <v>37</v>
      </c>
      <c r="R351" t="s">
        <v>89</v>
      </c>
      <c r="S351" s="5">
        <v>34.693989999999999</v>
      </c>
      <c r="T351" s="5">
        <v>-120.04131</v>
      </c>
      <c r="U351" s="2">
        <v>1087</v>
      </c>
      <c r="V351" s="6">
        <f t="shared" si="19"/>
        <v>331.31760000000003</v>
      </c>
      <c r="W351" t="s">
        <v>2331</v>
      </c>
      <c r="X351" t="s">
        <v>2332</v>
      </c>
      <c r="Y351" s="2" t="s">
        <v>346</v>
      </c>
      <c r="AA351" s="2" t="s">
        <v>1240</v>
      </c>
      <c r="AB351" s="2">
        <v>30.5</v>
      </c>
      <c r="AC351" s="2">
        <v>7.8</v>
      </c>
      <c r="AF351">
        <v>100</v>
      </c>
      <c r="AG351">
        <v>26</v>
      </c>
      <c r="AH351">
        <v>37.1</v>
      </c>
      <c r="AI351">
        <v>6.6</v>
      </c>
      <c r="AJ351" s="41">
        <v>0</v>
      </c>
      <c r="AL351">
        <f t="shared" si="23"/>
        <v>0</v>
      </c>
      <c r="AM351">
        <f t="shared" si="24"/>
        <v>3.2417315244674683</v>
      </c>
      <c r="AN351">
        <f t="shared" si="25"/>
        <v>0</v>
      </c>
    </row>
    <row r="352" spans="1:40" s="2" customFormat="1" x14ac:dyDescent="0.2">
      <c r="A352">
        <v>47</v>
      </c>
      <c r="B352" s="2" t="s">
        <v>981</v>
      </c>
      <c r="C352" s="2">
        <v>0</v>
      </c>
      <c r="D352">
        <v>0</v>
      </c>
      <c r="E352" s="2">
        <v>0</v>
      </c>
      <c r="G352" t="s">
        <v>1186</v>
      </c>
      <c r="H352" s="2" t="s">
        <v>1191</v>
      </c>
      <c r="I352" s="2">
        <v>8</v>
      </c>
      <c r="J352" s="2" t="s">
        <v>1155</v>
      </c>
      <c r="K352">
        <v>2019</v>
      </c>
      <c r="L352" s="2" t="s">
        <v>33</v>
      </c>
      <c r="M352" t="s">
        <v>46</v>
      </c>
      <c r="N352" s="2">
        <v>36</v>
      </c>
      <c r="O352" s="2">
        <f>13-7</f>
        <v>6</v>
      </c>
      <c r="P352" s="2" t="s">
        <v>37</v>
      </c>
      <c r="R352" t="s">
        <v>89</v>
      </c>
      <c r="S352" s="5">
        <v>34.694099999999999</v>
      </c>
      <c r="T352" s="5">
        <v>-120.04137</v>
      </c>
      <c r="U352" s="2">
        <v>1092</v>
      </c>
      <c r="V352" s="6">
        <f t="shared" si="19"/>
        <v>332.84160000000003</v>
      </c>
      <c r="W352" t="s">
        <v>2331</v>
      </c>
      <c r="X352" t="s">
        <v>2332</v>
      </c>
      <c r="Y352" s="2" t="s">
        <v>346</v>
      </c>
      <c r="AA352" s="2" t="s">
        <v>1241</v>
      </c>
      <c r="AB352" s="2">
        <v>30.5</v>
      </c>
      <c r="AC352" s="2">
        <v>7.8</v>
      </c>
      <c r="AF352">
        <v>100</v>
      </c>
      <c r="AG352">
        <v>26</v>
      </c>
      <c r="AH352">
        <v>37.1</v>
      </c>
      <c r="AI352">
        <v>6.6</v>
      </c>
      <c r="AJ352" s="41">
        <v>0</v>
      </c>
      <c r="AL352">
        <f t="shared" si="23"/>
        <v>0</v>
      </c>
      <c r="AM352">
        <f t="shared" si="24"/>
        <v>0</v>
      </c>
      <c r="AN352">
        <f t="shared" si="25"/>
        <v>0</v>
      </c>
    </row>
    <row r="353" spans="1:40" s="2" customFormat="1" x14ac:dyDescent="0.2">
      <c r="A353">
        <v>47</v>
      </c>
      <c r="B353" s="2" t="s">
        <v>982</v>
      </c>
      <c r="C353">
        <v>0.22864501178264618</v>
      </c>
      <c r="D353">
        <v>0.15597423911094666</v>
      </c>
      <c r="E353" s="2">
        <v>0.20293690264225006</v>
      </c>
      <c r="G353" t="s">
        <v>1186</v>
      </c>
      <c r="H353" s="2" t="s">
        <v>1191</v>
      </c>
      <c r="I353" s="2">
        <v>8</v>
      </c>
      <c r="J353" s="2" t="s">
        <v>1155</v>
      </c>
      <c r="K353">
        <v>2019</v>
      </c>
      <c r="L353" s="2" t="s">
        <v>33</v>
      </c>
      <c r="M353" t="s">
        <v>46</v>
      </c>
      <c r="N353" s="2">
        <v>34</v>
      </c>
      <c r="O353" s="2">
        <f>21.5-17.5</f>
        <v>4</v>
      </c>
      <c r="P353" s="2" t="s">
        <v>37</v>
      </c>
      <c r="R353" t="s">
        <v>89</v>
      </c>
      <c r="S353" s="5">
        <v>34.694099999999999</v>
      </c>
      <c r="T353" s="5">
        <v>-120.04137</v>
      </c>
      <c r="U353" s="2">
        <v>1092</v>
      </c>
      <c r="V353" s="6">
        <f t="shared" si="19"/>
        <v>332.84160000000003</v>
      </c>
      <c r="W353" t="s">
        <v>2331</v>
      </c>
      <c r="X353" t="s">
        <v>2332</v>
      </c>
      <c r="Y353" s="2" t="s">
        <v>353</v>
      </c>
      <c r="AB353" s="2">
        <v>30.5</v>
      </c>
      <c r="AC353" s="2">
        <v>7.8</v>
      </c>
      <c r="AF353">
        <v>100</v>
      </c>
      <c r="AG353">
        <v>26</v>
      </c>
      <c r="AH353">
        <v>37.1</v>
      </c>
      <c r="AI353">
        <v>6.6</v>
      </c>
      <c r="AJ353" s="41">
        <v>0</v>
      </c>
      <c r="AL353">
        <f t="shared" si="23"/>
        <v>18.291600942611694</v>
      </c>
      <c r="AM353">
        <f t="shared" si="24"/>
        <v>12.477939128875732</v>
      </c>
      <c r="AN353">
        <f t="shared" si="25"/>
        <v>16.234952211380005</v>
      </c>
    </row>
    <row r="354" spans="1:40" s="2" customFormat="1" x14ac:dyDescent="0.2">
      <c r="A354">
        <v>47</v>
      </c>
      <c r="B354" s="2" t="s">
        <v>983</v>
      </c>
      <c r="C354">
        <v>0.46695980429649353</v>
      </c>
      <c r="D354">
        <v>0.49402335286140442</v>
      </c>
      <c r="E354" s="2">
        <v>0.35194042325019836</v>
      </c>
      <c r="G354" t="s">
        <v>1186</v>
      </c>
      <c r="H354" s="2" t="s">
        <v>1191</v>
      </c>
      <c r="I354" s="2">
        <v>8</v>
      </c>
      <c r="J354" s="2" t="s">
        <v>1155</v>
      </c>
      <c r="K354">
        <v>2019</v>
      </c>
      <c r="L354" s="2" t="s">
        <v>33</v>
      </c>
      <c r="M354" t="s">
        <v>46</v>
      </c>
      <c r="N354" s="2">
        <v>25.5</v>
      </c>
      <c r="O354" s="2">
        <f>21-19.5</f>
        <v>1.5</v>
      </c>
      <c r="P354" s="2" t="s">
        <v>37</v>
      </c>
      <c r="R354" t="s">
        <v>89</v>
      </c>
      <c r="S354" s="5">
        <v>34.694099999999999</v>
      </c>
      <c r="T354" s="5">
        <v>-120.04137</v>
      </c>
      <c r="U354" s="2">
        <v>1092</v>
      </c>
      <c r="V354" s="6">
        <f t="shared" si="19"/>
        <v>332.84160000000003</v>
      </c>
      <c r="W354" t="s">
        <v>2331</v>
      </c>
      <c r="X354" t="s">
        <v>2332</v>
      </c>
      <c r="Y354" s="2" t="s">
        <v>1105</v>
      </c>
      <c r="Z354" s="2" t="s">
        <v>1107</v>
      </c>
      <c r="AA354" s="2" t="s">
        <v>1242</v>
      </c>
      <c r="AB354" s="2">
        <v>30.5</v>
      </c>
      <c r="AC354" s="2">
        <v>7.8</v>
      </c>
      <c r="AF354">
        <v>100</v>
      </c>
      <c r="AG354">
        <v>26</v>
      </c>
      <c r="AH354">
        <v>37.1</v>
      </c>
      <c r="AI354">
        <v>6.6</v>
      </c>
      <c r="AJ354" s="41">
        <v>0</v>
      </c>
      <c r="AL354">
        <f t="shared" si="23"/>
        <v>37.356784343719482</v>
      </c>
      <c r="AM354">
        <f t="shared" si="24"/>
        <v>39.521868228912354</v>
      </c>
      <c r="AN354">
        <f t="shared" si="25"/>
        <v>28.155233860015869</v>
      </c>
    </row>
    <row r="355" spans="1:40" s="2" customFormat="1" x14ac:dyDescent="0.2">
      <c r="A355">
        <v>47</v>
      </c>
      <c r="B355" s="2" t="s">
        <v>984</v>
      </c>
      <c r="C355">
        <v>2.250687837600708</v>
      </c>
      <c r="D355">
        <v>1.7552025318145752</v>
      </c>
      <c r="E355" s="2">
        <v>1.34792160987854</v>
      </c>
      <c r="G355" t="s">
        <v>1186</v>
      </c>
      <c r="H355" s="2" t="s">
        <v>1191</v>
      </c>
      <c r="I355" s="2">
        <v>8</v>
      </c>
      <c r="J355" s="2" t="s">
        <v>1155</v>
      </c>
      <c r="K355">
        <v>2019</v>
      </c>
      <c r="L355" s="2" t="s">
        <v>33</v>
      </c>
      <c r="M355" t="s">
        <v>46</v>
      </c>
      <c r="N355" s="2">
        <v>29</v>
      </c>
      <c r="O355" s="2">
        <f>21-17</f>
        <v>4</v>
      </c>
      <c r="P355" s="2" t="s">
        <v>37</v>
      </c>
      <c r="R355" t="s">
        <v>89</v>
      </c>
      <c r="S355" s="5">
        <v>34.694099999999999</v>
      </c>
      <c r="T355" s="5">
        <v>-120.04137</v>
      </c>
      <c r="U355" s="2">
        <v>1092</v>
      </c>
      <c r="V355" s="6">
        <f t="shared" si="19"/>
        <v>332.84160000000003</v>
      </c>
      <c r="W355" t="s">
        <v>2331</v>
      </c>
      <c r="X355" t="s">
        <v>2332</v>
      </c>
      <c r="Y355" s="2" t="s">
        <v>891</v>
      </c>
      <c r="AA355" s="2" t="s">
        <v>1243</v>
      </c>
      <c r="AB355" s="2">
        <v>30.5</v>
      </c>
      <c r="AC355" s="2">
        <v>7.8</v>
      </c>
      <c r="AF355">
        <v>100</v>
      </c>
      <c r="AG355">
        <v>26</v>
      </c>
      <c r="AH355">
        <v>37.1</v>
      </c>
      <c r="AI355">
        <v>6.6</v>
      </c>
      <c r="AJ355" s="41">
        <v>0</v>
      </c>
      <c r="AL355">
        <f t="shared" si="23"/>
        <v>180.05502700805664</v>
      </c>
      <c r="AM355">
        <f t="shared" si="24"/>
        <v>140.41620254516602</v>
      </c>
      <c r="AN355">
        <f t="shared" si="25"/>
        <v>107.8337287902832</v>
      </c>
    </row>
    <row r="356" spans="1:40" s="2" customFormat="1" x14ac:dyDescent="0.2">
      <c r="A356">
        <v>47</v>
      </c>
      <c r="B356" s="2" t="s">
        <v>985</v>
      </c>
      <c r="C356" s="2">
        <v>0</v>
      </c>
      <c r="D356" s="2">
        <v>0</v>
      </c>
      <c r="E356" s="2">
        <v>0</v>
      </c>
      <c r="G356" t="s">
        <v>1186</v>
      </c>
      <c r="H356" s="2" t="s">
        <v>1191</v>
      </c>
      <c r="I356" s="2">
        <v>8</v>
      </c>
      <c r="J356" s="2" t="s">
        <v>1155</v>
      </c>
      <c r="K356">
        <v>2019</v>
      </c>
      <c r="L356" s="2" t="s">
        <v>33</v>
      </c>
      <c r="M356" t="s">
        <v>46</v>
      </c>
      <c r="N356" s="2">
        <v>28.5</v>
      </c>
      <c r="O356" s="2">
        <f>20-17</f>
        <v>3</v>
      </c>
      <c r="P356" s="2" t="s">
        <v>37</v>
      </c>
      <c r="R356" t="s">
        <v>89</v>
      </c>
      <c r="S356" s="5">
        <v>34.694099999999999</v>
      </c>
      <c r="T356" s="5">
        <v>-120.04137</v>
      </c>
      <c r="U356" s="2">
        <v>1092</v>
      </c>
      <c r="V356" s="6">
        <f t="shared" si="19"/>
        <v>332.84160000000003</v>
      </c>
      <c r="W356" t="s">
        <v>2331</v>
      </c>
      <c r="X356" t="s">
        <v>2332</v>
      </c>
      <c r="Y356" s="2" t="s">
        <v>891</v>
      </c>
      <c r="AA356" s="2" t="s">
        <v>1244</v>
      </c>
      <c r="AB356" s="2">
        <v>30.5</v>
      </c>
      <c r="AC356" s="2">
        <v>7.8</v>
      </c>
      <c r="AF356">
        <v>100</v>
      </c>
      <c r="AG356">
        <v>26</v>
      </c>
      <c r="AH356">
        <v>37.1</v>
      </c>
      <c r="AI356">
        <v>6.6</v>
      </c>
      <c r="AJ356" s="41">
        <v>0</v>
      </c>
      <c r="AL356">
        <f t="shared" si="23"/>
        <v>0</v>
      </c>
      <c r="AM356">
        <f t="shared" si="24"/>
        <v>0</v>
      </c>
      <c r="AN356">
        <f t="shared" si="25"/>
        <v>0</v>
      </c>
    </row>
    <row r="357" spans="1:40" s="2" customFormat="1" x14ac:dyDescent="0.2">
      <c r="A357" s="2">
        <v>47</v>
      </c>
      <c r="B357" s="2" t="s">
        <v>986</v>
      </c>
      <c r="C357" s="2">
        <v>0</v>
      </c>
      <c r="D357" s="2">
        <v>0</v>
      </c>
      <c r="E357" s="2">
        <v>0</v>
      </c>
      <c r="G357" t="s">
        <v>1186</v>
      </c>
      <c r="H357" s="2" t="s">
        <v>1191</v>
      </c>
      <c r="I357" s="2">
        <v>8</v>
      </c>
      <c r="J357" s="2" t="s">
        <v>1155</v>
      </c>
      <c r="K357">
        <v>2019</v>
      </c>
      <c r="L357" s="2" t="s">
        <v>32</v>
      </c>
      <c r="M357" t="s">
        <v>46</v>
      </c>
      <c r="N357" s="2">
        <v>27.5</v>
      </c>
      <c r="O357" s="2">
        <f>16.5-14</f>
        <v>2.5</v>
      </c>
      <c r="P357" s="2" t="s">
        <v>37</v>
      </c>
      <c r="Q357" s="2" t="s">
        <v>42</v>
      </c>
      <c r="R357" s="2" t="s">
        <v>39</v>
      </c>
      <c r="S357" s="5">
        <v>34.694099999999999</v>
      </c>
      <c r="T357" s="5">
        <v>-120.04137</v>
      </c>
      <c r="U357" s="2">
        <v>1092</v>
      </c>
      <c r="V357" s="6">
        <f t="shared" si="19"/>
        <v>332.84160000000003</v>
      </c>
      <c r="W357" t="s">
        <v>2331</v>
      </c>
      <c r="X357" t="s">
        <v>2332</v>
      </c>
      <c r="Y357" s="2" t="s">
        <v>1106</v>
      </c>
      <c r="Z357" s="2" t="s">
        <v>1247</v>
      </c>
      <c r="AA357" s="2" t="s">
        <v>1245</v>
      </c>
      <c r="AB357" s="2">
        <v>30.5</v>
      </c>
      <c r="AC357" s="2">
        <v>7.8</v>
      </c>
      <c r="AF357">
        <v>100</v>
      </c>
      <c r="AG357">
        <v>26</v>
      </c>
      <c r="AH357">
        <v>37.1</v>
      </c>
      <c r="AI357">
        <v>6.6</v>
      </c>
      <c r="AJ357" s="41">
        <v>0</v>
      </c>
      <c r="AL357">
        <f t="shared" si="23"/>
        <v>0</v>
      </c>
      <c r="AM357">
        <f t="shared" si="24"/>
        <v>0</v>
      </c>
      <c r="AN357">
        <f t="shared" si="25"/>
        <v>0</v>
      </c>
    </row>
    <row r="358" spans="1:40" x14ac:dyDescent="0.2">
      <c r="A358" s="2">
        <v>48</v>
      </c>
      <c r="B358" t="s">
        <v>987</v>
      </c>
      <c r="C358" s="2">
        <v>0</v>
      </c>
      <c r="D358" s="2">
        <v>0</v>
      </c>
      <c r="E358" s="2">
        <v>0</v>
      </c>
      <c r="G358" t="s">
        <v>1186</v>
      </c>
      <c r="H358" s="2" t="s">
        <v>1191</v>
      </c>
      <c r="I358" s="2">
        <v>9</v>
      </c>
      <c r="J358" s="2" t="s">
        <v>1155</v>
      </c>
      <c r="K358">
        <v>2019</v>
      </c>
      <c r="L358" s="2" t="s">
        <v>33</v>
      </c>
      <c r="M358" t="s">
        <v>46</v>
      </c>
      <c r="N358" s="2">
        <v>86</v>
      </c>
      <c r="O358">
        <f>100-9.5</f>
        <v>90.5</v>
      </c>
      <c r="P358" s="2" t="s">
        <v>30</v>
      </c>
      <c r="Q358" s="45" t="s">
        <v>42</v>
      </c>
      <c r="R358" s="2" t="s">
        <v>39</v>
      </c>
      <c r="S358" s="4">
        <v>34.68909</v>
      </c>
      <c r="T358" s="4">
        <v>-120.04555000000001</v>
      </c>
      <c r="U358">
        <v>1178</v>
      </c>
      <c r="V358" s="6">
        <f t="shared" si="19"/>
        <v>359.05440000000004</v>
      </c>
      <c r="W358" t="s">
        <v>2324</v>
      </c>
      <c r="X358" t="s">
        <v>2335</v>
      </c>
      <c r="Y358" s="2" t="s">
        <v>1108</v>
      </c>
      <c r="AA358" s="2" t="s">
        <v>1246</v>
      </c>
      <c r="AB358" s="2">
        <v>30.7</v>
      </c>
      <c r="AC358" s="2">
        <v>8.3000000000000007</v>
      </c>
      <c r="AF358">
        <v>96</v>
      </c>
      <c r="AG358">
        <v>30</v>
      </c>
      <c r="AH358">
        <v>37.1</v>
      </c>
      <c r="AI358">
        <v>6.6</v>
      </c>
      <c r="AJ358" s="41">
        <v>0</v>
      </c>
      <c r="AL358">
        <f t="shared" si="23"/>
        <v>0</v>
      </c>
      <c r="AM358">
        <f t="shared" si="24"/>
        <v>0</v>
      </c>
      <c r="AN358">
        <f t="shared" si="25"/>
        <v>0</v>
      </c>
    </row>
    <row r="359" spans="1:40" x14ac:dyDescent="0.2">
      <c r="A359" s="2">
        <v>49</v>
      </c>
      <c r="B359" t="s">
        <v>988</v>
      </c>
      <c r="C359" s="2">
        <v>0</v>
      </c>
      <c r="D359" s="2">
        <v>0</v>
      </c>
      <c r="E359" s="2">
        <v>0</v>
      </c>
      <c r="G359" t="s">
        <v>1186</v>
      </c>
      <c r="H359" s="2" t="s">
        <v>1191</v>
      </c>
      <c r="I359" s="2">
        <v>9</v>
      </c>
      <c r="J359" s="2" t="s">
        <v>1155</v>
      </c>
      <c r="K359">
        <v>2019</v>
      </c>
      <c r="L359" s="2" t="s">
        <v>33</v>
      </c>
      <c r="M359" t="s">
        <v>46</v>
      </c>
      <c r="N359" s="2">
        <v>43.5</v>
      </c>
      <c r="O359">
        <f>30.5-14</f>
        <v>16.5</v>
      </c>
      <c r="P359" s="2" t="s">
        <v>37</v>
      </c>
      <c r="R359" t="s">
        <v>1249</v>
      </c>
      <c r="S359" s="4">
        <v>34.693530000000003</v>
      </c>
      <c r="T359" s="4">
        <v>-120.04085000000001</v>
      </c>
      <c r="U359">
        <v>1096</v>
      </c>
      <c r="V359" s="6">
        <f t="shared" si="19"/>
        <v>334.06080000000003</v>
      </c>
      <c r="W359" t="s">
        <v>2331</v>
      </c>
      <c r="X359" t="s">
        <v>2332</v>
      </c>
      <c r="Y359" s="2" t="s">
        <v>67</v>
      </c>
      <c r="AA359" s="2" t="s">
        <v>1250</v>
      </c>
      <c r="AB359" s="2">
        <v>30.7</v>
      </c>
      <c r="AC359" s="2">
        <v>8.3000000000000007</v>
      </c>
      <c r="AF359">
        <v>96</v>
      </c>
      <c r="AG359">
        <v>30</v>
      </c>
      <c r="AH359">
        <v>37.1</v>
      </c>
      <c r="AI359">
        <v>6.6</v>
      </c>
      <c r="AJ359" s="41">
        <v>0</v>
      </c>
      <c r="AL359">
        <f t="shared" ref="AL359:AL396" si="26">C359*80</f>
        <v>0</v>
      </c>
      <c r="AM359">
        <f t="shared" ref="AM359:AM396" si="27">D359*80</f>
        <v>0</v>
      </c>
      <c r="AN359">
        <f t="shared" ref="AN359:AN396" si="28">E359*80</f>
        <v>0</v>
      </c>
    </row>
    <row r="360" spans="1:40" x14ac:dyDescent="0.2">
      <c r="A360" s="2">
        <v>49</v>
      </c>
      <c r="B360" t="s">
        <v>989</v>
      </c>
      <c r="C360" s="2">
        <v>0</v>
      </c>
      <c r="D360">
        <v>2.6617236435413361E-2</v>
      </c>
      <c r="E360" s="2">
        <v>0</v>
      </c>
      <c r="G360" t="s">
        <v>1186</v>
      </c>
      <c r="H360" s="2" t="s">
        <v>1191</v>
      </c>
      <c r="I360" s="2">
        <v>9</v>
      </c>
      <c r="J360" s="2" t="s">
        <v>1155</v>
      </c>
      <c r="K360">
        <v>2019</v>
      </c>
      <c r="L360" s="2" t="s">
        <v>33</v>
      </c>
      <c r="M360" t="s">
        <v>46</v>
      </c>
      <c r="N360" s="2">
        <v>31.5</v>
      </c>
      <c r="O360">
        <f>21-16.5</f>
        <v>4.5</v>
      </c>
      <c r="P360" s="2" t="s">
        <v>30</v>
      </c>
      <c r="R360" t="s">
        <v>89</v>
      </c>
      <c r="S360" s="4">
        <v>34.693809999999999</v>
      </c>
      <c r="T360" s="4">
        <v>-120.04114</v>
      </c>
      <c r="U360">
        <v>1095</v>
      </c>
      <c r="V360" s="6">
        <f t="shared" si="19"/>
        <v>333.75600000000003</v>
      </c>
      <c r="W360" t="s">
        <v>2331</v>
      </c>
      <c r="X360" t="s">
        <v>2332</v>
      </c>
      <c r="Y360" s="2" t="s">
        <v>76</v>
      </c>
      <c r="AA360" s="2" t="s">
        <v>1251</v>
      </c>
      <c r="AB360" s="2">
        <v>30.7</v>
      </c>
      <c r="AC360" s="2">
        <v>8.3000000000000007</v>
      </c>
      <c r="AF360">
        <v>96</v>
      </c>
      <c r="AG360">
        <v>30</v>
      </c>
      <c r="AH360">
        <v>37.1</v>
      </c>
      <c r="AI360">
        <v>6.6</v>
      </c>
      <c r="AJ360" s="41">
        <v>0</v>
      </c>
      <c r="AL360">
        <f t="shared" si="26"/>
        <v>0</v>
      </c>
      <c r="AM360">
        <f t="shared" si="27"/>
        <v>2.1293789148330688</v>
      </c>
      <c r="AN360">
        <f t="shared" si="28"/>
        <v>0</v>
      </c>
    </row>
    <row r="361" spans="1:40" x14ac:dyDescent="0.2">
      <c r="A361" s="2">
        <v>49</v>
      </c>
      <c r="B361" t="s">
        <v>990</v>
      </c>
      <c r="C361" s="2">
        <v>0.300703198</v>
      </c>
      <c r="D361">
        <v>0.19894339144229889</v>
      </c>
      <c r="E361">
        <v>0.19134482741355896</v>
      </c>
      <c r="G361" t="s">
        <v>1186</v>
      </c>
      <c r="H361" s="2" t="s">
        <v>1191</v>
      </c>
      <c r="I361" s="2">
        <v>9</v>
      </c>
      <c r="J361" s="2" t="s">
        <v>1155</v>
      </c>
      <c r="K361">
        <v>2019</v>
      </c>
      <c r="L361" s="2" t="s">
        <v>33</v>
      </c>
      <c r="M361" t="s">
        <v>46</v>
      </c>
      <c r="N361" s="2">
        <v>29</v>
      </c>
      <c r="O361">
        <f>18.5-14</f>
        <v>4.5</v>
      </c>
      <c r="P361" s="2" t="s">
        <v>37</v>
      </c>
      <c r="R361" t="s">
        <v>89</v>
      </c>
      <c r="S361" s="4">
        <v>34.693989999999999</v>
      </c>
      <c r="T361" s="4">
        <v>120.04129</v>
      </c>
      <c r="U361">
        <v>1097</v>
      </c>
      <c r="V361" s="6">
        <f t="shared" si="19"/>
        <v>334.36560000000003</v>
      </c>
      <c r="W361" t="s">
        <v>2331</v>
      </c>
      <c r="X361" t="s">
        <v>2332</v>
      </c>
      <c r="Y361" s="2" t="s">
        <v>118</v>
      </c>
      <c r="AA361" s="2" t="s">
        <v>1252</v>
      </c>
      <c r="AB361" s="2">
        <v>30.7</v>
      </c>
      <c r="AC361" s="2">
        <v>8.3000000000000007</v>
      </c>
      <c r="AF361">
        <v>96</v>
      </c>
      <c r="AG361">
        <v>30</v>
      </c>
      <c r="AH361">
        <v>37.1</v>
      </c>
      <c r="AI361">
        <v>6.6</v>
      </c>
      <c r="AJ361" s="41">
        <v>0</v>
      </c>
      <c r="AL361">
        <f t="shared" si="26"/>
        <v>24.056255839999999</v>
      </c>
      <c r="AM361">
        <f t="shared" si="27"/>
        <v>15.915471315383911</v>
      </c>
      <c r="AN361">
        <f t="shared" si="28"/>
        <v>15.307586193084717</v>
      </c>
    </row>
    <row r="362" spans="1:40" x14ac:dyDescent="0.2">
      <c r="A362" s="2">
        <v>49</v>
      </c>
      <c r="B362" t="s">
        <v>991</v>
      </c>
      <c r="C362" s="2">
        <v>0</v>
      </c>
      <c r="D362">
        <v>0</v>
      </c>
      <c r="E362">
        <v>0</v>
      </c>
      <c r="G362" t="s">
        <v>1186</v>
      </c>
      <c r="H362" s="2" t="s">
        <v>1191</v>
      </c>
      <c r="I362" s="2">
        <v>9</v>
      </c>
      <c r="J362" s="2" t="s">
        <v>1155</v>
      </c>
      <c r="K362">
        <v>2019</v>
      </c>
      <c r="L362" s="2" t="s">
        <v>33</v>
      </c>
      <c r="M362" t="s">
        <v>46</v>
      </c>
      <c r="N362" s="2">
        <v>31.5</v>
      </c>
      <c r="O362">
        <f>18-14</f>
        <v>4</v>
      </c>
      <c r="P362" s="2" t="s">
        <v>37</v>
      </c>
      <c r="R362" t="s">
        <v>89</v>
      </c>
      <c r="S362" s="4">
        <v>34.693989999999999</v>
      </c>
      <c r="T362" s="4">
        <v>120.04129</v>
      </c>
      <c r="U362">
        <v>1097</v>
      </c>
      <c r="V362" s="6">
        <f t="shared" si="19"/>
        <v>334.36560000000003</v>
      </c>
      <c r="W362" t="s">
        <v>2331</v>
      </c>
      <c r="X362" t="s">
        <v>2332</v>
      </c>
      <c r="Y362" s="2" t="s">
        <v>733</v>
      </c>
      <c r="AA362" s="2" t="s">
        <v>1253</v>
      </c>
      <c r="AB362" s="2">
        <v>30.7</v>
      </c>
      <c r="AC362" s="2">
        <v>8.3000000000000007</v>
      </c>
      <c r="AF362">
        <v>96</v>
      </c>
      <c r="AG362">
        <v>30</v>
      </c>
      <c r="AH362">
        <v>37.1</v>
      </c>
      <c r="AI362">
        <v>6.6</v>
      </c>
      <c r="AJ362" s="41">
        <v>0</v>
      </c>
      <c r="AL362">
        <f t="shared" si="26"/>
        <v>0</v>
      </c>
      <c r="AM362">
        <f t="shared" si="27"/>
        <v>0</v>
      </c>
      <c r="AN362">
        <f t="shared" si="28"/>
        <v>0</v>
      </c>
    </row>
    <row r="363" spans="1:40" x14ac:dyDescent="0.2">
      <c r="A363" s="2">
        <v>49</v>
      </c>
      <c r="B363" t="s">
        <v>992</v>
      </c>
      <c r="C363" s="2">
        <v>0</v>
      </c>
      <c r="D363">
        <v>0</v>
      </c>
      <c r="E363">
        <v>0</v>
      </c>
      <c r="G363" t="s">
        <v>1186</v>
      </c>
      <c r="H363" s="2" t="s">
        <v>1191</v>
      </c>
      <c r="I363" s="2">
        <v>9</v>
      </c>
      <c r="J363" s="2" t="s">
        <v>1155</v>
      </c>
      <c r="K363">
        <v>2019</v>
      </c>
      <c r="L363" s="2" t="s">
        <v>33</v>
      </c>
      <c r="M363" t="s">
        <v>46</v>
      </c>
      <c r="N363" s="2">
        <v>34</v>
      </c>
      <c r="O363">
        <f>18-12</f>
        <v>6</v>
      </c>
      <c r="P363" s="2" t="s">
        <v>37</v>
      </c>
      <c r="R363" t="s">
        <v>89</v>
      </c>
      <c r="S363" s="4">
        <v>34.693989999999999</v>
      </c>
      <c r="T363" s="4">
        <v>120.04129</v>
      </c>
      <c r="U363">
        <v>1097</v>
      </c>
      <c r="V363" s="6">
        <f t="shared" si="19"/>
        <v>334.36560000000003</v>
      </c>
      <c r="W363" t="s">
        <v>2331</v>
      </c>
      <c r="X363" t="s">
        <v>2332</v>
      </c>
      <c r="Y363" s="2" t="s">
        <v>733</v>
      </c>
      <c r="AA363" s="2" t="s">
        <v>1254</v>
      </c>
      <c r="AB363" s="2">
        <v>30.7</v>
      </c>
      <c r="AC363" s="2">
        <v>8.3000000000000007</v>
      </c>
      <c r="AF363">
        <v>96</v>
      </c>
      <c r="AG363">
        <v>30</v>
      </c>
      <c r="AH363">
        <v>37.1</v>
      </c>
      <c r="AI363">
        <v>6.6</v>
      </c>
      <c r="AJ363" s="41">
        <v>0</v>
      </c>
      <c r="AL363">
        <f t="shared" si="26"/>
        <v>0</v>
      </c>
      <c r="AM363">
        <f t="shared" si="27"/>
        <v>0</v>
      </c>
      <c r="AN363">
        <f t="shared" si="28"/>
        <v>0</v>
      </c>
    </row>
    <row r="364" spans="1:40" x14ac:dyDescent="0.2">
      <c r="A364" s="2">
        <v>49</v>
      </c>
      <c r="B364" t="s">
        <v>993</v>
      </c>
      <c r="C364" s="18">
        <v>0.551373</v>
      </c>
      <c r="D364">
        <v>0.45663735270500183</v>
      </c>
      <c r="E364">
        <v>0.34924092888832092</v>
      </c>
      <c r="G364" t="s">
        <v>1186</v>
      </c>
      <c r="H364" s="2" t="s">
        <v>1191</v>
      </c>
      <c r="I364" s="2">
        <v>9</v>
      </c>
      <c r="J364" s="2" t="s">
        <v>1155</v>
      </c>
      <c r="K364">
        <v>2019</v>
      </c>
      <c r="L364" s="2" t="s">
        <v>33</v>
      </c>
      <c r="M364" t="s">
        <v>46</v>
      </c>
      <c r="N364" s="2">
        <v>32.5</v>
      </c>
      <c r="O364">
        <f>16.5-13.5</f>
        <v>3</v>
      </c>
      <c r="P364" s="2" t="s">
        <v>30</v>
      </c>
      <c r="R364" t="s">
        <v>89</v>
      </c>
      <c r="S364" s="4">
        <v>34.693989999999999</v>
      </c>
      <c r="T364" s="4">
        <v>120.04129</v>
      </c>
      <c r="U364">
        <v>1097</v>
      </c>
      <c r="V364" s="6">
        <f t="shared" ref="V364:V427" si="29">U364*0.3048</f>
        <v>334.36560000000003</v>
      </c>
      <c r="W364" t="s">
        <v>2331</v>
      </c>
      <c r="X364" t="s">
        <v>2332</v>
      </c>
      <c r="Y364" s="2" t="s">
        <v>733</v>
      </c>
      <c r="AA364" s="2" t="s">
        <v>1255</v>
      </c>
      <c r="AB364" s="2">
        <v>30.7</v>
      </c>
      <c r="AC364" s="2">
        <v>8.3000000000000007</v>
      </c>
      <c r="AF364">
        <v>96</v>
      </c>
      <c r="AG364">
        <v>30</v>
      </c>
      <c r="AH364">
        <v>37.1</v>
      </c>
      <c r="AI364">
        <v>6.6</v>
      </c>
      <c r="AJ364" s="41">
        <v>0</v>
      </c>
      <c r="AL364">
        <f t="shared" si="26"/>
        <v>44.109839999999998</v>
      </c>
      <c r="AM364">
        <f t="shared" si="27"/>
        <v>36.530988216400146</v>
      </c>
      <c r="AN364">
        <f t="shared" si="28"/>
        <v>27.939274311065674</v>
      </c>
    </row>
    <row r="365" spans="1:40" x14ac:dyDescent="0.2">
      <c r="A365" s="2">
        <v>49</v>
      </c>
      <c r="B365" t="s">
        <v>994</v>
      </c>
      <c r="C365" s="2">
        <v>0</v>
      </c>
      <c r="D365">
        <v>0</v>
      </c>
      <c r="E365">
        <v>0</v>
      </c>
      <c r="G365" t="s">
        <v>1186</v>
      </c>
      <c r="H365" s="2" t="s">
        <v>1191</v>
      </c>
      <c r="I365" s="2">
        <v>9</v>
      </c>
      <c r="J365" s="2" t="s">
        <v>1155</v>
      </c>
      <c r="K365">
        <v>2019</v>
      </c>
      <c r="L365" s="2" t="s">
        <v>33</v>
      </c>
      <c r="M365" t="s">
        <v>46</v>
      </c>
      <c r="N365" s="2">
        <v>28.5</v>
      </c>
      <c r="O365">
        <f>16.5-14</f>
        <v>2.5</v>
      </c>
      <c r="P365" s="2" t="s">
        <v>37</v>
      </c>
      <c r="R365" t="s">
        <v>89</v>
      </c>
      <c r="S365" s="4">
        <v>34.694049999999997</v>
      </c>
      <c r="T365" s="4">
        <v>-120.04131</v>
      </c>
      <c r="U365">
        <v>1104</v>
      </c>
      <c r="V365" s="6">
        <f t="shared" si="29"/>
        <v>336.49920000000003</v>
      </c>
      <c r="W365" t="s">
        <v>2331</v>
      </c>
      <c r="X365" t="s">
        <v>2332</v>
      </c>
      <c r="Y365" s="2" t="s">
        <v>104</v>
      </c>
      <c r="AA365" s="2" t="s">
        <v>1256</v>
      </c>
      <c r="AB365" s="2">
        <v>30.7</v>
      </c>
      <c r="AC365" s="2">
        <v>8.3000000000000007</v>
      </c>
      <c r="AF365">
        <v>96</v>
      </c>
      <c r="AG365">
        <v>30</v>
      </c>
      <c r="AH365">
        <v>37.1</v>
      </c>
      <c r="AI365">
        <v>6.6</v>
      </c>
      <c r="AJ365" s="41">
        <v>0</v>
      </c>
      <c r="AL365">
        <f t="shared" si="26"/>
        <v>0</v>
      </c>
      <c r="AM365">
        <f t="shared" si="27"/>
        <v>0</v>
      </c>
      <c r="AN365">
        <f t="shared" si="28"/>
        <v>0</v>
      </c>
    </row>
    <row r="366" spans="1:40" x14ac:dyDescent="0.2">
      <c r="A366" s="2">
        <v>49</v>
      </c>
      <c r="B366" t="s">
        <v>995</v>
      </c>
      <c r="C366">
        <v>0.138325780630112</v>
      </c>
      <c r="D366">
        <v>3.0130732804536819E-2</v>
      </c>
      <c r="E366">
        <v>7.5683072209358215E-2</v>
      </c>
      <c r="G366" t="s">
        <v>1186</v>
      </c>
      <c r="H366" s="2" t="s">
        <v>1191</v>
      </c>
      <c r="I366" s="2">
        <v>9</v>
      </c>
      <c r="J366" s="2" t="s">
        <v>1155</v>
      </c>
      <c r="K366">
        <v>2019</v>
      </c>
      <c r="L366" s="2" t="s">
        <v>33</v>
      </c>
      <c r="M366" t="s">
        <v>46</v>
      </c>
      <c r="N366" s="2">
        <v>27</v>
      </c>
      <c r="O366">
        <f>14-11.5</f>
        <v>2.5</v>
      </c>
      <c r="P366" s="2" t="s">
        <v>30</v>
      </c>
      <c r="R366" t="s">
        <v>89</v>
      </c>
      <c r="S366" s="4">
        <v>34.694270000000003</v>
      </c>
      <c r="T366" s="4">
        <v>-120.04147</v>
      </c>
      <c r="U366">
        <v>1104</v>
      </c>
      <c r="V366" s="6">
        <f t="shared" si="29"/>
        <v>336.49920000000003</v>
      </c>
      <c r="W366" t="s">
        <v>2331</v>
      </c>
      <c r="X366" t="s">
        <v>2332</v>
      </c>
      <c r="Y366" s="2" t="s">
        <v>587</v>
      </c>
      <c r="AA366" s="2" t="s">
        <v>1257</v>
      </c>
      <c r="AB366" s="2">
        <v>30.7</v>
      </c>
      <c r="AC366" s="2">
        <v>8.3000000000000007</v>
      </c>
      <c r="AF366">
        <v>96</v>
      </c>
      <c r="AG366">
        <v>30</v>
      </c>
      <c r="AH366">
        <v>37.1</v>
      </c>
      <c r="AI366">
        <v>6.6</v>
      </c>
      <c r="AJ366" s="41">
        <v>0</v>
      </c>
      <c r="AL366">
        <f t="shared" si="26"/>
        <v>11.06606245040896</v>
      </c>
      <c r="AM366">
        <f t="shared" si="27"/>
        <v>2.4104586243629456</v>
      </c>
      <c r="AN366">
        <f t="shared" si="28"/>
        <v>6.0546457767486572</v>
      </c>
    </row>
    <row r="367" spans="1:40" x14ac:dyDescent="0.2">
      <c r="A367" s="2">
        <v>49</v>
      </c>
      <c r="B367" t="s">
        <v>996</v>
      </c>
      <c r="C367">
        <v>4.9423646926879883</v>
      </c>
      <c r="D367">
        <v>4.16412353515625</v>
      </c>
      <c r="E367">
        <v>4.4557619094848633</v>
      </c>
      <c r="G367" t="s">
        <v>1186</v>
      </c>
      <c r="H367" s="2" t="s">
        <v>1191</v>
      </c>
      <c r="I367" s="2">
        <v>9</v>
      </c>
      <c r="J367" s="2" t="s">
        <v>1155</v>
      </c>
      <c r="K367">
        <v>2019</v>
      </c>
      <c r="L367" s="2" t="s">
        <v>33</v>
      </c>
      <c r="M367" t="s">
        <v>46</v>
      </c>
      <c r="N367" s="2">
        <v>23.5</v>
      </c>
      <c r="O367">
        <v>2</v>
      </c>
      <c r="P367" s="2" t="s">
        <v>37</v>
      </c>
      <c r="R367" t="s">
        <v>89</v>
      </c>
      <c r="S367" s="4">
        <v>34.694270000000003</v>
      </c>
      <c r="T367" s="4">
        <v>-120.04147</v>
      </c>
      <c r="U367">
        <v>1104</v>
      </c>
      <c r="V367" s="6">
        <f t="shared" si="29"/>
        <v>336.49920000000003</v>
      </c>
      <c r="W367" t="s">
        <v>2331</v>
      </c>
      <c r="X367" t="s">
        <v>2332</v>
      </c>
      <c r="Y367" s="2" t="s">
        <v>587</v>
      </c>
      <c r="AA367" s="2" t="s">
        <v>1258</v>
      </c>
      <c r="AB367" s="2">
        <v>30.7</v>
      </c>
      <c r="AC367" s="2">
        <v>8.3000000000000007</v>
      </c>
      <c r="AF367">
        <v>96</v>
      </c>
      <c r="AG367">
        <v>30</v>
      </c>
      <c r="AH367">
        <v>37.1</v>
      </c>
      <c r="AI367">
        <v>6.6</v>
      </c>
      <c r="AJ367" s="41">
        <v>0</v>
      </c>
      <c r="AL367">
        <f t="shared" si="26"/>
        <v>395.38917541503906</v>
      </c>
      <c r="AM367">
        <f t="shared" si="27"/>
        <v>333.1298828125</v>
      </c>
      <c r="AN367">
        <f t="shared" si="28"/>
        <v>356.46095275878906</v>
      </c>
    </row>
    <row r="368" spans="1:40" x14ac:dyDescent="0.2">
      <c r="A368" s="2">
        <v>49</v>
      </c>
      <c r="B368" t="s">
        <v>997</v>
      </c>
      <c r="C368" s="2">
        <v>0</v>
      </c>
      <c r="D368">
        <v>0</v>
      </c>
      <c r="E368">
        <v>0</v>
      </c>
      <c r="G368" t="s">
        <v>1186</v>
      </c>
      <c r="H368" s="2" t="s">
        <v>1191</v>
      </c>
      <c r="I368" s="2">
        <v>9</v>
      </c>
      <c r="J368" s="2" t="s">
        <v>1155</v>
      </c>
      <c r="K368">
        <v>2019</v>
      </c>
      <c r="L368" s="2" t="s">
        <v>33</v>
      </c>
      <c r="M368" t="s">
        <v>46</v>
      </c>
      <c r="N368" s="2">
        <v>30.5</v>
      </c>
      <c r="O368">
        <f>13.5-10.5</f>
        <v>3</v>
      </c>
      <c r="P368" s="2" t="s">
        <v>30</v>
      </c>
      <c r="R368" t="s">
        <v>89</v>
      </c>
      <c r="S368" s="4">
        <v>34.694270000000003</v>
      </c>
      <c r="T368" s="4">
        <v>-120.04147</v>
      </c>
      <c r="U368">
        <v>1104</v>
      </c>
      <c r="V368" s="6">
        <f t="shared" si="29"/>
        <v>336.49920000000003</v>
      </c>
      <c r="W368" t="s">
        <v>2331</v>
      </c>
      <c r="X368" t="s">
        <v>2332</v>
      </c>
      <c r="Y368" s="2" t="s">
        <v>693</v>
      </c>
      <c r="AA368" s="2" t="s">
        <v>1259</v>
      </c>
      <c r="AB368" s="2">
        <v>30.7</v>
      </c>
      <c r="AC368" s="2">
        <v>8.3000000000000007</v>
      </c>
      <c r="AF368">
        <v>96</v>
      </c>
      <c r="AG368">
        <v>30</v>
      </c>
      <c r="AH368">
        <v>37.1</v>
      </c>
      <c r="AI368">
        <v>6.6</v>
      </c>
      <c r="AJ368" s="41">
        <v>0</v>
      </c>
      <c r="AL368">
        <f t="shared" si="26"/>
        <v>0</v>
      </c>
      <c r="AM368">
        <f t="shared" si="27"/>
        <v>0</v>
      </c>
      <c r="AN368">
        <f t="shared" si="28"/>
        <v>0</v>
      </c>
    </row>
    <row r="369" spans="1:40" x14ac:dyDescent="0.2">
      <c r="A369" s="2">
        <v>49</v>
      </c>
      <c r="B369" t="s">
        <v>998</v>
      </c>
      <c r="C369" s="2">
        <v>0</v>
      </c>
      <c r="D369">
        <v>2.6316260918974876E-2</v>
      </c>
      <c r="E369">
        <v>2.2279081866145134E-2</v>
      </c>
      <c r="G369" t="s">
        <v>1186</v>
      </c>
      <c r="H369" s="2" t="s">
        <v>1191</v>
      </c>
      <c r="I369" s="2">
        <v>9</v>
      </c>
      <c r="J369" s="2" t="s">
        <v>1155</v>
      </c>
      <c r="K369">
        <v>2019</v>
      </c>
      <c r="L369" s="2" t="s">
        <v>33</v>
      </c>
      <c r="M369" t="s">
        <v>46</v>
      </c>
      <c r="N369" s="2">
        <v>31.5</v>
      </c>
      <c r="O369">
        <f>17-12.5</f>
        <v>4.5</v>
      </c>
      <c r="P369" s="2" t="s">
        <v>37</v>
      </c>
      <c r="R369" t="s">
        <v>89</v>
      </c>
      <c r="S369" s="4">
        <v>34.694360000000003</v>
      </c>
      <c r="T369" s="4">
        <v>-120.04151</v>
      </c>
      <c r="U369">
        <v>1104</v>
      </c>
      <c r="V369" s="6">
        <f t="shared" si="29"/>
        <v>336.49920000000003</v>
      </c>
      <c r="W369" t="s">
        <v>2331</v>
      </c>
      <c r="X369" t="s">
        <v>2332</v>
      </c>
      <c r="Y369" s="2" t="s">
        <v>695</v>
      </c>
      <c r="Z369" t="s">
        <v>1268</v>
      </c>
      <c r="AA369" s="2" t="s">
        <v>1260</v>
      </c>
      <c r="AB369" s="2">
        <v>30.7</v>
      </c>
      <c r="AC369" s="2">
        <v>8.3000000000000007</v>
      </c>
      <c r="AF369">
        <v>96</v>
      </c>
      <c r="AG369">
        <v>30</v>
      </c>
      <c r="AH369">
        <v>37.1</v>
      </c>
      <c r="AI369">
        <v>6.6</v>
      </c>
      <c r="AJ369" s="41">
        <v>0</v>
      </c>
      <c r="AL369">
        <f t="shared" si="26"/>
        <v>0</v>
      </c>
      <c r="AM369">
        <f t="shared" si="27"/>
        <v>2.1053008735179901</v>
      </c>
      <c r="AN369">
        <f t="shared" si="28"/>
        <v>1.7823265492916107</v>
      </c>
    </row>
    <row r="370" spans="1:40" x14ac:dyDescent="0.2">
      <c r="A370" s="2">
        <v>49</v>
      </c>
      <c r="B370" t="s">
        <v>999</v>
      </c>
      <c r="C370" s="2">
        <v>0</v>
      </c>
      <c r="D370">
        <v>0</v>
      </c>
      <c r="E370">
        <v>2.4743610993027687E-2</v>
      </c>
      <c r="G370" s="9" t="s">
        <v>1186</v>
      </c>
      <c r="H370" s="2" t="s">
        <v>1191</v>
      </c>
      <c r="I370" s="2">
        <v>9</v>
      </c>
      <c r="J370" s="2" t="s">
        <v>1155</v>
      </c>
      <c r="K370">
        <v>2019</v>
      </c>
      <c r="L370" s="2" t="s">
        <v>33</v>
      </c>
      <c r="M370" t="s">
        <v>46</v>
      </c>
      <c r="N370" s="2">
        <v>34</v>
      </c>
      <c r="O370">
        <f>19.5-15.5</f>
        <v>4</v>
      </c>
      <c r="P370" s="2" t="s">
        <v>37</v>
      </c>
      <c r="R370" t="s">
        <v>89</v>
      </c>
      <c r="S370" s="4">
        <v>34.694470000000003</v>
      </c>
      <c r="T370" s="4">
        <v>-120.04161000000001</v>
      </c>
      <c r="U370">
        <v>1107</v>
      </c>
      <c r="V370" s="6">
        <f t="shared" si="29"/>
        <v>337.41360000000003</v>
      </c>
      <c r="W370" t="s">
        <v>2331</v>
      </c>
      <c r="X370" t="s">
        <v>2332</v>
      </c>
      <c r="Y370" s="2" t="s">
        <v>697</v>
      </c>
      <c r="AA370" s="2" t="s">
        <v>1261</v>
      </c>
      <c r="AB370" s="2">
        <v>30.7</v>
      </c>
      <c r="AC370" s="2">
        <v>8.3000000000000007</v>
      </c>
      <c r="AF370">
        <v>96</v>
      </c>
      <c r="AG370">
        <v>30</v>
      </c>
      <c r="AH370">
        <v>37.1</v>
      </c>
      <c r="AI370">
        <v>6.6</v>
      </c>
      <c r="AJ370" s="41">
        <v>0</v>
      </c>
      <c r="AL370">
        <f t="shared" si="26"/>
        <v>0</v>
      </c>
      <c r="AM370">
        <f t="shared" si="27"/>
        <v>0</v>
      </c>
      <c r="AN370">
        <f t="shared" si="28"/>
        <v>1.979488879442215</v>
      </c>
    </row>
    <row r="371" spans="1:40" x14ac:dyDescent="0.2">
      <c r="A371" s="2">
        <v>49</v>
      </c>
      <c r="B371" t="s">
        <v>1000</v>
      </c>
      <c r="C371" s="2">
        <v>0</v>
      </c>
      <c r="D371">
        <v>0</v>
      </c>
      <c r="E371">
        <v>0</v>
      </c>
      <c r="G371" t="s">
        <v>1186</v>
      </c>
      <c r="H371" s="2" t="s">
        <v>1191</v>
      </c>
      <c r="I371" s="2">
        <v>9</v>
      </c>
      <c r="J371" s="2" t="s">
        <v>1155</v>
      </c>
      <c r="K371">
        <v>2019</v>
      </c>
      <c r="L371" s="2" t="s">
        <v>33</v>
      </c>
      <c r="M371" t="s">
        <v>46</v>
      </c>
      <c r="N371" s="2">
        <v>23.5</v>
      </c>
      <c r="O371">
        <f>16-14</f>
        <v>2</v>
      </c>
      <c r="P371" s="2" t="s">
        <v>37</v>
      </c>
      <c r="R371" t="s">
        <v>89</v>
      </c>
      <c r="S371" s="4">
        <v>34.694699999999997</v>
      </c>
      <c r="T371" s="4">
        <v>-120.04182</v>
      </c>
      <c r="U371">
        <v>1110</v>
      </c>
      <c r="V371" s="6">
        <f t="shared" si="29"/>
        <v>338.32800000000003</v>
      </c>
      <c r="W371" t="s">
        <v>2331</v>
      </c>
      <c r="X371" t="s">
        <v>2332</v>
      </c>
      <c r="Y371" s="2" t="s">
        <v>1085</v>
      </c>
      <c r="AA371" s="2" t="s">
        <v>1262</v>
      </c>
      <c r="AB371" s="2">
        <v>30.7</v>
      </c>
      <c r="AC371" s="2">
        <v>8.3000000000000007</v>
      </c>
      <c r="AF371">
        <v>96</v>
      </c>
      <c r="AG371">
        <v>30</v>
      </c>
      <c r="AH371">
        <v>37.1</v>
      </c>
      <c r="AI371">
        <v>6.6</v>
      </c>
      <c r="AJ371" s="41">
        <v>0</v>
      </c>
      <c r="AL371">
        <f t="shared" si="26"/>
        <v>0</v>
      </c>
      <c r="AM371">
        <f t="shared" si="27"/>
        <v>0</v>
      </c>
      <c r="AN371">
        <f t="shared" si="28"/>
        <v>0</v>
      </c>
    </row>
    <row r="372" spans="1:40" x14ac:dyDescent="0.2">
      <c r="A372" s="2">
        <v>49</v>
      </c>
      <c r="B372" t="s">
        <v>1001</v>
      </c>
      <c r="C372">
        <v>0.27547267079353333</v>
      </c>
      <c r="D372">
        <v>0.41008985042572021</v>
      </c>
      <c r="E372">
        <v>0.25742283463478088</v>
      </c>
      <c r="G372" t="s">
        <v>1186</v>
      </c>
      <c r="H372" s="2" t="s">
        <v>1191</v>
      </c>
      <c r="I372" s="2">
        <v>9</v>
      </c>
      <c r="J372" s="2" t="s">
        <v>1155</v>
      </c>
      <c r="K372">
        <v>2019</v>
      </c>
      <c r="L372" s="2" t="s">
        <v>32</v>
      </c>
      <c r="M372" t="s">
        <v>46</v>
      </c>
      <c r="N372" s="2">
        <v>24</v>
      </c>
      <c r="O372">
        <f>14-12.5</f>
        <v>1.5</v>
      </c>
      <c r="P372" s="2" t="s">
        <v>37</v>
      </c>
      <c r="R372" s="45" t="s">
        <v>39</v>
      </c>
      <c r="S372" s="4">
        <v>34.694839999999999</v>
      </c>
      <c r="T372" s="4">
        <v>-120.04191</v>
      </c>
      <c r="U372">
        <v>1108</v>
      </c>
      <c r="V372" s="6">
        <f t="shared" si="29"/>
        <v>337.71840000000003</v>
      </c>
      <c r="W372" t="s">
        <v>2331</v>
      </c>
      <c r="X372" t="s">
        <v>2332</v>
      </c>
      <c r="Y372" s="2" t="s">
        <v>1109</v>
      </c>
      <c r="AA372" s="2" t="s">
        <v>1263</v>
      </c>
      <c r="AB372" s="2">
        <v>30.7</v>
      </c>
      <c r="AC372" s="2">
        <v>8.3000000000000007</v>
      </c>
      <c r="AF372">
        <v>96</v>
      </c>
      <c r="AG372">
        <v>30</v>
      </c>
      <c r="AH372">
        <v>37.1</v>
      </c>
      <c r="AI372">
        <v>6.6</v>
      </c>
      <c r="AJ372" s="41">
        <v>0</v>
      </c>
      <c r="AL372">
        <f t="shared" si="26"/>
        <v>22.037813663482666</v>
      </c>
      <c r="AM372">
        <f t="shared" si="27"/>
        <v>32.807188034057617</v>
      </c>
      <c r="AN372">
        <f t="shared" si="28"/>
        <v>20.593826770782471</v>
      </c>
    </row>
    <row r="373" spans="1:40" x14ac:dyDescent="0.2">
      <c r="A373" s="2">
        <v>49</v>
      </c>
      <c r="B373" t="s">
        <v>1002</v>
      </c>
      <c r="C373">
        <v>0.17546004056930542</v>
      </c>
      <c r="D373">
        <v>0.17167830467224121</v>
      </c>
      <c r="E373">
        <v>0.10301431268453598</v>
      </c>
      <c r="G373" t="s">
        <v>1186</v>
      </c>
      <c r="H373" s="2" t="s">
        <v>1191</v>
      </c>
      <c r="I373" s="2">
        <v>9</v>
      </c>
      <c r="J373" s="2" t="s">
        <v>1155</v>
      </c>
      <c r="K373">
        <v>2019</v>
      </c>
      <c r="L373" s="2" t="s">
        <v>33</v>
      </c>
      <c r="M373" t="s">
        <v>46</v>
      </c>
      <c r="N373" s="2">
        <v>27.5</v>
      </c>
      <c r="O373">
        <f>16.5-14</f>
        <v>2.5</v>
      </c>
      <c r="P373" s="2" t="s">
        <v>37</v>
      </c>
      <c r="R373" t="s">
        <v>89</v>
      </c>
      <c r="S373" s="4">
        <v>34.695010000000003</v>
      </c>
      <c r="T373" s="4">
        <v>-120.04201999999999</v>
      </c>
      <c r="U373">
        <v>1107</v>
      </c>
      <c r="V373" s="6">
        <f t="shared" si="29"/>
        <v>337.41360000000003</v>
      </c>
      <c r="W373" t="s">
        <v>2331</v>
      </c>
      <c r="X373" t="s">
        <v>2332</v>
      </c>
      <c r="Y373" s="2" t="s">
        <v>821</v>
      </c>
      <c r="AA373" s="2" t="s">
        <v>1264</v>
      </c>
      <c r="AB373" s="2">
        <v>30.7</v>
      </c>
      <c r="AC373" s="2">
        <v>8.3000000000000007</v>
      </c>
      <c r="AF373">
        <v>96</v>
      </c>
      <c r="AG373">
        <v>30</v>
      </c>
      <c r="AH373">
        <v>37.1</v>
      </c>
      <c r="AI373">
        <v>6.6</v>
      </c>
      <c r="AJ373" s="41">
        <v>0</v>
      </c>
      <c r="AL373">
        <f t="shared" si="26"/>
        <v>14.036803245544434</v>
      </c>
      <c r="AM373">
        <f t="shared" si="27"/>
        <v>13.734264373779297</v>
      </c>
      <c r="AN373">
        <f t="shared" si="28"/>
        <v>8.2411450147628784</v>
      </c>
    </row>
    <row r="374" spans="1:40" x14ac:dyDescent="0.2">
      <c r="A374" s="2">
        <v>49</v>
      </c>
      <c r="B374" t="s">
        <v>1003</v>
      </c>
      <c r="C374" s="2">
        <v>0</v>
      </c>
      <c r="D374">
        <v>0</v>
      </c>
      <c r="E374">
        <v>1.2576156295835972E-2</v>
      </c>
      <c r="G374" t="s">
        <v>1186</v>
      </c>
      <c r="H374" s="2" t="s">
        <v>1191</v>
      </c>
      <c r="I374" s="2">
        <v>9</v>
      </c>
      <c r="J374" s="2" t="s">
        <v>1155</v>
      </c>
      <c r="K374">
        <v>2019</v>
      </c>
      <c r="L374" s="2" t="s">
        <v>33</v>
      </c>
      <c r="M374" t="s">
        <v>46</v>
      </c>
      <c r="N374" s="2">
        <v>26.5</v>
      </c>
      <c r="O374">
        <f>15.5-14</f>
        <v>1.5</v>
      </c>
      <c r="P374" s="2" t="s">
        <v>37</v>
      </c>
      <c r="R374" t="s">
        <v>89</v>
      </c>
      <c r="S374" s="4">
        <v>34.695039999999999</v>
      </c>
      <c r="T374" s="4">
        <v>-120.04205</v>
      </c>
      <c r="U374">
        <v>1110</v>
      </c>
      <c r="V374" s="6">
        <f t="shared" si="29"/>
        <v>338.32800000000003</v>
      </c>
      <c r="W374" t="s">
        <v>2331</v>
      </c>
      <c r="X374" t="s">
        <v>2332</v>
      </c>
      <c r="Y374" s="2" t="s">
        <v>895</v>
      </c>
      <c r="AA374" s="16" t="s">
        <v>1265</v>
      </c>
      <c r="AB374" s="2">
        <v>30.7</v>
      </c>
      <c r="AC374" s="2">
        <v>8.3000000000000007</v>
      </c>
      <c r="AF374">
        <v>96</v>
      </c>
      <c r="AG374">
        <v>30</v>
      </c>
      <c r="AH374">
        <v>37.1</v>
      </c>
      <c r="AI374">
        <v>6.6</v>
      </c>
      <c r="AJ374" s="41">
        <v>0</v>
      </c>
      <c r="AL374">
        <f t="shared" si="26"/>
        <v>0</v>
      </c>
      <c r="AM374">
        <f t="shared" si="27"/>
        <v>0</v>
      </c>
      <c r="AN374">
        <f t="shared" si="28"/>
        <v>1.0060925036668777</v>
      </c>
    </row>
    <row r="375" spans="1:40" x14ac:dyDescent="0.2">
      <c r="A375" s="2">
        <v>50</v>
      </c>
      <c r="B375" t="s">
        <v>1004</v>
      </c>
      <c r="C375" s="2">
        <v>0</v>
      </c>
      <c r="D375">
        <v>0</v>
      </c>
      <c r="E375" s="2">
        <v>0</v>
      </c>
      <c r="G375" t="s">
        <v>1186</v>
      </c>
      <c r="H375" s="2" t="s">
        <v>1191</v>
      </c>
      <c r="I375">
        <v>12</v>
      </c>
      <c r="J375" t="s">
        <v>1155</v>
      </c>
      <c r="K375">
        <v>2019</v>
      </c>
      <c r="L375" s="2" t="s">
        <v>33</v>
      </c>
      <c r="M375" t="s">
        <v>897</v>
      </c>
      <c r="N375" s="2">
        <v>22</v>
      </c>
      <c r="O375">
        <v>0.5</v>
      </c>
      <c r="P375" s="2" t="s">
        <v>37</v>
      </c>
      <c r="R375" t="s">
        <v>89</v>
      </c>
      <c r="S375" s="4">
        <v>37.379849999999998</v>
      </c>
      <c r="T375" s="4">
        <v>-121.74673</v>
      </c>
      <c r="U375">
        <v>700</v>
      </c>
      <c r="V375" s="6">
        <f t="shared" si="29"/>
        <v>213.36</v>
      </c>
      <c r="W375" t="s">
        <v>898</v>
      </c>
      <c r="X375" t="s">
        <v>2161</v>
      </c>
      <c r="Y375" s="2" t="s">
        <v>93</v>
      </c>
      <c r="AB375" s="2">
        <v>32</v>
      </c>
      <c r="AC375" s="2">
        <v>13.2</v>
      </c>
      <c r="AF375">
        <v>68</v>
      </c>
      <c r="AG375">
        <v>23</v>
      </c>
      <c r="AJ375" s="41">
        <v>0</v>
      </c>
      <c r="AL375">
        <f t="shared" si="26"/>
        <v>0</v>
      </c>
      <c r="AM375">
        <f t="shared" si="27"/>
        <v>0</v>
      </c>
      <c r="AN375">
        <f t="shared" si="28"/>
        <v>0</v>
      </c>
    </row>
    <row r="376" spans="1:40" x14ac:dyDescent="0.2">
      <c r="A376" s="2">
        <v>50</v>
      </c>
      <c r="B376" t="s">
        <v>1005</v>
      </c>
      <c r="C376" s="2">
        <v>0</v>
      </c>
      <c r="D376">
        <v>0</v>
      </c>
      <c r="E376" s="2">
        <v>0</v>
      </c>
      <c r="G376" t="s">
        <v>1186</v>
      </c>
      <c r="H376" s="2" t="s">
        <v>1191</v>
      </c>
      <c r="I376">
        <v>12</v>
      </c>
      <c r="J376" t="s">
        <v>1155</v>
      </c>
      <c r="K376">
        <v>2019</v>
      </c>
      <c r="L376" s="2" t="s">
        <v>33</v>
      </c>
      <c r="M376" t="s">
        <v>897</v>
      </c>
      <c r="N376" s="2">
        <v>25</v>
      </c>
      <c r="O376">
        <f>42.5-41</f>
        <v>1.5</v>
      </c>
      <c r="P376" s="2" t="s">
        <v>37</v>
      </c>
      <c r="R376" t="s">
        <v>89</v>
      </c>
      <c r="S376" s="4">
        <v>37.379849999999998</v>
      </c>
      <c r="T376" s="4">
        <v>-121.74673</v>
      </c>
      <c r="U376">
        <v>700</v>
      </c>
      <c r="V376" s="6">
        <f t="shared" si="29"/>
        <v>213.36</v>
      </c>
      <c r="W376" t="s">
        <v>898</v>
      </c>
      <c r="X376" t="s">
        <v>2161</v>
      </c>
      <c r="Y376" s="2" t="s">
        <v>96</v>
      </c>
      <c r="AA376" t="s">
        <v>1269</v>
      </c>
      <c r="AB376" s="2">
        <v>32</v>
      </c>
      <c r="AC376" s="2">
        <v>13.2</v>
      </c>
      <c r="AF376">
        <v>68</v>
      </c>
      <c r="AG376">
        <v>23</v>
      </c>
      <c r="AJ376" s="41">
        <v>0</v>
      </c>
      <c r="AL376">
        <f t="shared" si="26"/>
        <v>0</v>
      </c>
      <c r="AM376">
        <f t="shared" si="27"/>
        <v>0</v>
      </c>
      <c r="AN376">
        <f t="shared" si="28"/>
        <v>0</v>
      </c>
    </row>
    <row r="377" spans="1:40" x14ac:dyDescent="0.2">
      <c r="A377" s="2">
        <v>50</v>
      </c>
      <c r="B377" t="s">
        <v>1006</v>
      </c>
      <c r="C377" s="2">
        <v>0</v>
      </c>
      <c r="D377">
        <v>0</v>
      </c>
      <c r="E377" s="2">
        <v>0</v>
      </c>
      <c r="G377" t="s">
        <v>1186</v>
      </c>
      <c r="H377" s="2" t="s">
        <v>1191</v>
      </c>
      <c r="I377">
        <v>12</v>
      </c>
      <c r="J377" t="s">
        <v>1155</v>
      </c>
      <c r="K377">
        <v>2019</v>
      </c>
      <c r="L377" s="2" t="s">
        <v>33</v>
      </c>
      <c r="M377" t="s">
        <v>897</v>
      </c>
      <c r="N377" s="2">
        <v>22</v>
      </c>
      <c r="O377">
        <v>1</v>
      </c>
      <c r="P377" s="2" t="s">
        <v>30</v>
      </c>
      <c r="R377" t="s">
        <v>89</v>
      </c>
      <c r="S377" s="4">
        <v>37.379849999999998</v>
      </c>
      <c r="T377" s="4">
        <v>-121.74673</v>
      </c>
      <c r="U377">
        <v>700</v>
      </c>
      <c r="V377" s="6">
        <f t="shared" si="29"/>
        <v>213.36</v>
      </c>
      <c r="W377" t="s">
        <v>898</v>
      </c>
      <c r="X377" t="s">
        <v>2161</v>
      </c>
      <c r="Y377" s="2" t="s">
        <v>1110</v>
      </c>
      <c r="AB377" s="2">
        <v>32</v>
      </c>
      <c r="AC377" s="2">
        <v>13.2</v>
      </c>
      <c r="AF377">
        <v>68</v>
      </c>
      <c r="AG377">
        <v>23</v>
      </c>
      <c r="AJ377" s="41">
        <v>0</v>
      </c>
      <c r="AL377">
        <f t="shared" si="26"/>
        <v>0</v>
      </c>
      <c r="AM377">
        <f t="shared" si="27"/>
        <v>0</v>
      </c>
      <c r="AN377">
        <f t="shared" si="28"/>
        <v>0</v>
      </c>
    </row>
    <row r="378" spans="1:40" x14ac:dyDescent="0.2">
      <c r="A378" s="2">
        <v>50</v>
      </c>
      <c r="B378" t="s">
        <v>1007</v>
      </c>
      <c r="C378" s="2">
        <v>0</v>
      </c>
      <c r="D378">
        <v>0</v>
      </c>
      <c r="E378" s="2">
        <v>0</v>
      </c>
      <c r="G378" t="s">
        <v>1186</v>
      </c>
      <c r="H378" s="2" t="s">
        <v>1191</v>
      </c>
      <c r="I378">
        <v>12</v>
      </c>
      <c r="J378" t="s">
        <v>1155</v>
      </c>
      <c r="K378">
        <v>2019</v>
      </c>
      <c r="L378" s="2" t="s">
        <v>33</v>
      </c>
      <c r="M378" t="s">
        <v>897</v>
      </c>
      <c r="N378" s="2">
        <v>23</v>
      </c>
      <c r="O378">
        <f>17-15.5</f>
        <v>1.5</v>
      </c>
      <c r="P378" s="2" t="s">
        <v>30</v>
      </c>
      <c r="R378" t="s">
        <v>89</v>
      </c>
      <c r="S378" s="4">
        <v>37.379849999999998</v>
      </c>
      <c r="T378" s="4">
        <v>-121.74673</v>
      </c>
      <c r="U378">
        <v>700</v>
      </c>
      <c r="V378" s="6">
        <f t="shared" si="29"/>
        <v>213.36</v>
      </c>
      <c r="W378" t="s">
        <v>898</v>
      </c>
      <c r="X378" t="s">
        <v>2161</v>
      </c>
      <c r="Y378" s="2" t="s">
        <v>56</v>
      </c>
      <c r="AA378" t="s">
        <v>1266</v>
      </c>
      <c r="AB378" s="2">
        <v>32</v>
      </c>
      <c r="AC378" s="2">
        <v>13.2</v>
      </c>
      <c r="AF378">
        <v>68</v>
      </c>
      <c r="AG378">
        <v>23</v>
      </c>
      <c r="AJ378" s="41">
        <v>0</v>
      </c>
      <c r="AL378">
        <f t="shared" si="26"/>
        <v>0</v>
      </c>
      <c r="AM378">
        <f t="shared" si="27"/>
        <v>0</v>
      </c>
      <c r="AN378">
        <f t="shared" si="28"/>
        <v>0</v>
      </c>
    </row>
    <row r="379" spans="1:40" x14ac:dyDescent="0.2">
      <c r="A379" s="2">
        <v>50</v>
      </c>
      <c r="B379" t="s">
        <v>1008</v>
      </c>
      <c r="C379" s="2">
        <v>0</v>
      </c>
      <c r="D379">
        <v>0</v>
      </c>
      <c r="E379" s="2">
        <v>0</v>
      </c>
      <c r="G379" t="s">
        <v>1186</v>
      </c>
      <c r="H379" s="2" t="s">
        <v>1191</v>
      </c>
      <c r="I379">
        <v>12</v>
      </c>
      <c r="J379" t="s">
        <v>1155</v>
      </c>
      <c r="K379">
        <v>2019</v>
      </c>
      <c r="L379" s="2" t="s">
        <v>32</v>
      </c>
      <c r="M379" t="s">
        <v>897</v>
      </c>
      <c r="N379" s="2">
        <v>20.5</v>
      </c>
      <c r="O379">
        <f>15-13.5</f>
        <v>1.5</v>
      </c>
      <c r="P379" s="2" t="s">
        <v>37</v>
      </c>
      <c r="R379" s="45" t="s">
        <v>39</v>
      </c>
      <c r="S379" s="4">
        <v>37.379849999999998</v>
      </c>
      <c r="T379" s="4">
        <v>-121.74673</v>
      </c>
      <c r="U379">
        <v>700</v>
      </c>
      <c r="V379" s="6">
        <f t="shared" si="29"/>
        <v>213.36</v>
      </c>
      <c r="W379" t="s">
        <v>898</v>
      </c>
      <c r="X379" t="s">
        <v>2161</v>
      </c>
      <c r="Y379" s="2" t="s">
        <v>561</v>
      </c>
      <c r="AB379" s="2">
        <v>32</v>
      </c>
      <c r="AC379" s="2">
        <v>13.2</v>
      </c>
      <c r="AF379">
        <v>68</v>
      </c>
      <c r="AG379">
        <v>23</v>
      </c>
      <c r="AJ379" s="41">
        <v>0</v>
      </c>
      <c r="AL379">
        <f t="shared" si="26"/>
        <v>0</v>
      </c>
      <c r="AM379">
        <f t="shared" si="27"/>
        <v>0</v>
      </c>
      <c r="AN379">
        <f t="shared" si="28"/>
        <v>0</v>
      </c>
    </row>
    <row r="380" spans="1:40" x14ac:dyDescent="0.2">
      <c r="A380" s="2">
        <v>50</v>
      </c>
      <c r="B380" t="s">
        <v>1009</v>
      </c>
      <c r="C380" s="2">
        <v>0</v>
      </c>
      <c r="D380">
        <v>0</v>
      </c>
      <c r="E380" s="2">
        <v>0</v>
      </c>
      <c r="G380" t="s">
        <v>1186</v>
      </c>
      <c r="H380" s="2" t="s">
        <v>1191</v>
      </c>
      <c r="I380">
        <v>12</v>
      </c>
      <c r="J380" t="s">
        <v>1155</v>
      </c>
      <c r="K380">
        <v>2019</v>
      </c>
      <c r="L380" s="2" t="s">
        <v>32</v>
      </c>
      <c r="M380" t="s">
        <v>897</v>
      </c>
      <c r="N380" s="2">
        <v>19</v>
      </c>
      <c r="O380">
        <v>1</v>
      </c>
      <c r="P380" s="2" t="s">
        <v>37</v>
      </c>
      <c r="R380" s="45" t="s">
        <v>39</v>
      </c>
      <c r="S380" s="4">
        <v>37.379849999999998</v>
      </c>
      <c r="T380" s="4">
        <v>-121.74673</v>
      </c>
      <c r="U380">
        <v>700</v>
      </c>
      <c r="V380" s="6">
        <f t="shared" si="29"/>
        <v>213.36</v>
      </c>
      <c r="W380" t="s">
        <v>898</v>
      </c>
      <c r="X380" t="s">
        <v>2161</v>
      </c>
      <c r="Y380" s="2" t="s">
        <v>454</v>
      </c>
      <c r="AB380" s="2">
        <v>32</v>
      </c>
      <c r="AC380" s="2">
        <v>13.2</v>
      </c>
      <c r="AF380">
        <v>68</v>
      </c>
      <c r="AG380">
        <v>23</v>
      </c>
      <c r="AJ380" s="41">
        <v>0</v>
      </c>
      <c r="AL380">
        <f t="shared" si="26"/>
        <v>0</v>
      </c>
      <c r="AM380">
        <f t="shared" si="27"/>
        <v>0</v>
      </c>
      <c r="AN380">
        <f t="shared" si="28"/>
        <v>0</v>
      </c>
    </row>
    <row r="381" spans="1:40" x14ac:dyDescent="0.2">
      <c r="A381" s="2">
        <v>50</v>
      </c>
      <c r="B381" t="s">
        <v>1010</v>
      </c>
      <c r="C381" s="2">
        <v>0</v>
      </c>
      <c r="D381">
        <v>2.6459617540240288E-2</v>
      </c>
      <c r="E381" s="2">
        <v>0</v>
      </c>
      <c r="G381" t="s">
        <v>1186</v>
      </c>
      <c r="H381" s="2" t="s">
        <v>1191</v>
      </c>
      <c r="I381">
        <v>12</v>
      </c>
      <c r="J381" t="s">
        <v>1155</v>
      </c>
      <c r="K381">
        <v>2019</v>
      </c>
      <c r="L381" s="2" t="s">
        <v>33</v>
      </c>
      <c r="M381" t="s">
        <v>897</v>
      </c>
      <c r="N381" s="2">
        <v>17</v>
      </c>
      <c r="O381">
        <f>41-39</f>
        <v>2</v>
      </c>
      <c r="P381" s="2" t="s">
        <v>37</v>
      </c>
      <c r="R381" t="s">
        <v>89</v>
      </c>
      <c r="S381" s="4">
        <v>37.379849999999998</v>
      </c>
      <c r="T381" s="4">
        <v>-121.74673</v>
      </c>
      <c r="U381">
        <v>700</v>
      </c>
      <c r="V381" s="6">
        <f t="shared" si="29"/>
        <v>213.36</v>
      </c>
      <c r="W381" t="s">
        <v>898</v>
      </c>
      <c r="X381" t="s">
        <v>2161</v>
      </c>
      <c r="Y381" s="2" t="s">
        <v>456</v>
      </c>
      <c r="AB381" s="2">
        <v>32</v>
      </c>
      <c r="AC381" s="2">
        <v>13.2</v>
      </c>
      <c r="AF381">
        <v>68</v>
      </c>
      <c r="AG381">
        <v>23</v>
      </c>
      <c r="AJ381" s="41">
        <v>0</v>
      </c>
      <c r="AL381">
        <f t="shared" si="26"/>
        <v>0</v>
      </c>
      <c r="AM381">
        <f t="shared" si="27"/>
        <v>2.116769403219223</v>
      </c>
      <c r="AN381">
        <f t="shared" si="28"/>
        <v>0</v>
      </c>
    </row>
    <row r="382" spans="1:40" x14ac:dyDescent="0.2">
      <c r="A382" s="2">
        <v>50</v>
      </c>
      <c r="B382" t="s">
        <v>1011</v>
      </c>
      <c r="C382" s="2">
        <v>0</v>
      </c>
      <c r="D382">
        <v>0</v>
      </c>
      <c r="E382" s="2">
        <v>0</v>
      </c>
      <c r="G382" t="s">
        <v>1186</v>
      </c>
      <c r="H382" s="2" t="s">
        <v>1191</v>
      </c>
      <c r="I382">
        <v>12</v>
      </c>
      <c r="J382" t="s">
        <v>1155</v>
      </c>
      <c r="K382">
        <v>2019</v>
      </c>
      <c r="L382" s="2" t="s">
        <v>33</v>
      </c>
      <c r="M382" t="s">
        <v>897</v>
      </c>
      <c r="N382" s="2">
        <v>17.5</v>
      </c>
      <c r="O382">
        <v>1</v>
      </c>
      <c r="P382" s="2" t="s">
        <v>37</v>
      </c>
      <c r="R382" t="s">
        <v>89</v>
      </c>
      <c r="S382" s="4">
        <v>37.379849999999998</v>
      </c>
      <c r="T382" s="4">
        <v>-121.74673</v>
      </c>
      <c r="U382">
        <v>700</v>
      </c>
      <c r="V382" s="6">
        <f t="shared" si="29"/>
        <v>213.36</v>
      </c>
      <c r="W382" t="s">
        <v>898</v>
      </c>
      <c r="X382" t="s">
        <v>2161</v>
      </c>
      <c r="Y382" s="2" t="s">
        <v>456</v>
      </c>
      <c r="AA382" t="s">
        <v>1267</v>
      </c>
      <c r="AB382" s="2">
        <v>32</v>
      </c>
      <c r="AC382" s="2">
        <v>13.2</v>
      </c>
      <c r="AF382">
        <v>68</v>
      </c>
      <c r="AG382">
        <v>23</v>
      </c>
      <c r="AJ382" s="41">
        <v>0</v>
      </c>
      <c r="AL382">
        <f t="shared" si="26"/>
        <v>0</v>
      </c>
      <c r="AM382">
        <f t="shared" si="27"/>
        <v>0</v>
      </c>
      <c r="AN382">
        <f t="shared" si="28"/>
        <v>0</v>
      </c>
    </row>
    <row r="383" spans="1:40" x14ac:dyDescent="0.2">
      <c r="A383" s="2">
        <v>50</v>
      </c>
      <c r="B383" t="s">
        <v>1012</v>
      </c>
      <c r="C383" s="2">
        <v>0</v>
      </c>
      <c r="D383">
        <v>0</v>
      </c>
      <c r="E383" s="2">
        <v>0</v>
      </c>
      <c r="G383" t="s">
        <v>1186</v>
      </c>
      <c r="H383" s="2" t="s">
        <v>1191</v>
      </c>
      <c r="I383">
        <v>12</v>
      </c>
      <c r="J383" t="s">
        <v>1155</v>
      </c>
      <c r="K383">
        <v>2019</v>
      </c>
      <c r="L383" s="2" t="s">
        <v>32</v>
      </c>
      <c r="M383" t="s">
        <v>897</v>
      </c>
      <c r="N383" s="2">
        <v>18</v>
      </c>
      <c r="O383">
        <v>1</v>
      </c>
      <c r="P383" s="2" t="s">
        <v>37</v>
      </c>
      <c r="R383" t="s">
        <v>89</v>
      </c>
      <c r="S383" s="4">
        <v>37.379849999999998</v>
      </c>
      <c r="T383" s="4">
        <v>-121.74673</v>
      </c>
      <c r="U383">
        <v>700</v>
      </c>
      <c r="V383" s="6">
        <f t="shared" si="29"/>
        <v>213.36</v>
      </c>
      <c r="W383" t="s">
        <v>898</v>
      </c>
      <c r="X383" t="s">
        <v>2161</v>
      </c>
      <c r="Y383" s="2" t="s">
        <v>254</v>
      </c>
      <c r="AB383" s="2">
        <v>32</v>
      </c>
      <c r="AC383" s="2">
        <v>13.2</v>
      </c>
      <c r="AF383">
        <v>68</v>
      </c>
      <c r="AG383">
        <v>23</v>
      </c>
      <c r="AJ383" s="41">
        <v>0</v>
      </c>
      <c r="AL383">
        <f t="shared" si="26"/>
        <v>0</v>
      </c>
      <c r="AM383">
        <f t="shared" si="27"/>
        <v>0</v>
      </c>
      <c r="AN383">
        <f t="shared" si="28"/>
        <v>0</v>
      </c>
    </row>
    <row r="384" spans="1:40" x14ac:dyDescent="0.2">
      <c r="A384" s="2">
        <v>50</v>
      </c>
      <c r="B384" t="s">
        <v>1013</v>
      </c>
      <c r="C384" s="2">
        <v>0</v>
      </c>
      <c r="D384">
        <v>0</v>
      </c>
      <c r="E384" s="2">
        <v>0</v>
      </c>
      <c r="G384" t="s">
        <v>1186</v>
      </c>
      <c r="H384" s="2" t="s">
        <v>1191</v>
      </c>
      <c r="I384">
        <v>12</v>
      </c>
      <c r="J384" t="s">
        <v>1155</v>
      </c>
      <c r="K384">
        <v>2019</v>
      </c>
      <c r="L384" s="2" t="s">
        <v>32</v>
      </c>
      <c r="M384" t="s">
        <v>897</v>
      </c>
      <c r="N384" s="2">
        <v>20</v>
      </c>
      <c r="O384">
        <v>2</v>
      </c>
      <c r="P384" s="2" t="s">
        <v>37</v>
      </c>
      <c r="R384" s="45" t="s">
        <v>39</v>
      </c>
      <c r="S384" s="4">
        <v>37.379849999999998</v>
      </c>
      <c r="T384" s="4">
        <v>-121.74673</v>
      </c>
      <c r="U384">
        <v>700</v>
      </c>
      <c r="V384" s="6">
        <f t="shared" si="29"/>
        <v>213.36</v>
      </c>
      <c r="W384" t="s">
        <v>898</v>
      </c>
      <c r="X384" t="s">
        <v>2161</v>
      </c>
      <c r="Y384" s="2" t="s">
        <v>257</v>
      </c>
      <c r="AB384" s="2">
        <v>32</v>
      </c>
      <c r="AC384" s="2">
        <v>13.2</v>
      </c>
      <c r="AF384">
        <v>68</v>
      </c>
      <c r="AG384">
        <v>23</v>
      </c>
      <c r="AJ384" s="41">
        <v>0</v>
      </c>
      <c r="AL384">
        <f t="shared" si="26"/>
        <v>0</v>
      </c>
      <c r="AM384">
        <f t="shared" si="27"/>
        <v>0</v>
      </c>
      <c r="AN384">
        <f t="shared" si="28"/>
        <v>0</v>
      </c>
    </row>
    <row r="385" spans="1:40" x14ac:dyDescent="0.2">
      <c r="A385" s="2">
        <v>50</v>
      </c>
      <c r="B385" t="s">
        <v>1014</v>
      </c>
      <c r="C385" s="2">
        <v>0</v>
      </c>
      <c r="D385">
        <v>0</v>
      </c>
      <c r="E385" s="2">
        <v>0</v>
      </c>
      <c r="G385" t="s">
        <v>1186</v>
      </c>
      <c r="H385" s="2" t="s">
        <v>1191</v>
      </c>
      <c r="I385">
        <v>12</v>
      </c>
      <c r="J385" t="s">
        <v>1155</v>
      </c>
      <c r="K385">
        <v>2019</v>
      </c>
      <c r="L385" s="2" t="s">
        <v>32</v>
      </c>
      <c r="M385" t="s">
        <v>897</v>
      </c>
      <c r="N385" s="2">
        <v>17.5</v>
      </c>
      <c r="O385">
        <f>21-20.5</f>
        <v>0.5</v>
      </c>
      <c r="P385" s="2" t="s">
        <v>37</v>
      </c>
      <c r="R385" t="s">
        <v>89</v>
      </c>
      <c r="S385" s="4">
        <v>37.379849999999998</v>
      </c>
      <c r="T385" s="4">
        <v>-121.74673</v>
      </c>
      <c r="U385">
        <v>700</v>
      </c>
      <c r="V385" s="6">
        <f t="shared" si="29"/>
        <v>213.36</v>
      </c>
      <c r="W385" t="s">
        <v>898</v>
      </c>
      <c r="X385" t="s">
        <v>2161</v>
      </c>
      <c r="Y385" s="2" t="s">
        <v>257</v>
      </c>
      <c r="AB385" s="2">
        <v>32</v>
      </c>
      <c r="AC385" s="2">
        <v>13.2</v>
      </c>
      <c r="AF385">
        <v>68</v>
      </c>
      <c r="AG385">
        <v>23</v>
      </c>
      <c r="AJ385" s="41">
        <v>0</v>
      </c>
      <c r="AL385">
        <f t="shared" si="26"/>
        <v>0</v>
      </c>
      <c r="AM385">
        <f t="shared" si="27"/>
        <v>0</v>
      </c>
      <c r="AN385">
        <f t="shared" si="28"/>
        <v>0</v>
      </c>
    </row>
    <row r="386" spans="1:40" x14ac:dyDescent="0.2">
      <c r="A386" s="2">
        <v>50</v>
      </c>
      <c r="B386" t="s">
        <v>1015</v>
      </c>
      <c r="C386" s="2">
        <v>0</v>
      </c>
      <c r="D386">
        <v>0</v>
      </c>
      <c r="E386" s="2">
        <v>0</v>
      </c>
      <c r="G386" t="s">
        <v>1186</v>
      </c>
      <c r="H386" s="2" t="s">
        <v>1191</v>
      </c>
      <c r="I386">
        <v>12</v>
      </c>
      <c r="J386" t="s">
        <v>1155</v>
      </c>
      <c r="K386">
        <v>2019</v>
      </c>
      <c r="L386" s="2" t="s">
        <v>32</v>
      </c>
      <c r="M386" t="s">
        <v>897</v>
      </c>
      <c r="N386" s="2">
        <v>17.5</v>
      </c>
      <c r="O386">
        <f>36.5-35.5</f>
        <v>1</v>
      </c>
      <c r="P386" s="2" t="s">
        <v>37</v>
      </c>
      <c r="R386" t="s">
        <v>89</v>
      </c>
      <c r="S386" s="4">
        <v>37.379849999999998</v>
      </c>
      <c r="T386" s="4">
        <v>-121.74673</v>
      </c>
      <c r="U386">
        <v>700</v>
      </c>
      <c r="V386" s="6">
        <f t="shared" si="29"/>
        <v>213.36</v>
      </c>
      <c r="W386" t="s">
        <v>898</v>
      </c>
      <c r="X386" t="s">
        <v>2161</v>
      </c>
      <c r="Y386" s="2" t="s">
        <v>257</v>
      </c>
      <c r="AB386" s="2">
        <v>32</v>
      </c>
      <c r="AC386" s="2">
        <v>13.2</v>
      </c>
      <c r="AF386">
        <v>68</v>
      </c>
      <c r="AG386">
        <v>23</v>
      </c>
      <c r="AJ386" s="41">
        <v>0</v>
      </c>
      <c r="AL386">
        <f t="shared" si="26"/>
        <v>0</v>
      </c>
      <c r="AM386">
        <f t="shared" si="27"/>
        <v>0</v>
      </c>
      <c r="AN386">
        <f t="shared" si="28"/>
        <v>0</v>
      </c>
    </row>
    <row r="387" spans="1:40" x14ac:dyDescent="0.2">
      <c r="A387" s="2">
        <v>50</v>
      </c>
      <c r="B387" t="s">
        <v>1016</v>
      </c>
      <c r="C387" s="2">
        <v>0</v>
      </c>
      <c r="D387">
        <v>0</v>
      </c>
      <c r="E387" s="2">
        <v>0</v>
      </c>
      <c r="G387" t="s">
        <v>1186</v>
      </c>
      <c r="H387" s="2" t="s">
        <v>1191</v>
      </c>
      <c r="I387">
        <v>12</v>
      </c>
      <c r="J387" t="s">
        <v>1155</v>
      </c>
      <c r="K387">
        <v>2019</v>
      </c>
      <c r="L387" s="2" t="s">
        <v>32</v>
      </c>
      <c r="M387" t="s">
        <v>897</v>
      </c>
      <c r="N387" s="2">
        <v>17</v>
      </c>
      <c r="O387">
        <v>0.5</v>
      </c>
      <c r="P387" s="2" t="s">
        <v>37</v>
      </c>
      <c r="R387" t="s">
        <v>89</v>
      </c>
      <c r="S387" s="4">
        <v>37.379849999999998</v>
      </c>
      <c r="T387" s="4">
        <v>-121.74673</v>
      </c>
      <c r="U387">
        <v>700</v>
      </c>
      <c r="V387" s="6">
        <f t="shared" si="29"/>
        <v>213.36</v>
      </c>
      <c r="W387" t="s">
        <v>898</v>
      </c>
      <c r="X387" t="s">
        <v>2161</v>
      </c>
      <c r="Y387" s="2" t="s">
        <v>263</v>
      </c>
      <c r="AB387" s="2">
        <v>32</v>
      </c>
      <c r="AC387" s="2">
        <v>13.2</v>
      </c>
      <c r="AF387">
        <v>68</v>
      </c>
      <c r="AG387">
        <v>23</v>
      </c>
      <c r="AJ387" s="41">
        <v>0</v>
      </c>
      <c r="AL387">
        <f t="shared" si="26"/>
        <v>0</v>
      </c>
      <c r="AM387">
        <f t="shared" si="27"/>
        <v>0</v>
      </c>
      <c r="AN387">
        <f t="shared" si="28"/>
        <v>0</v>
      </c>
    </row>
    <row r="388" spans="1:40" x14ac:dyDescent="0.2">
      <c r="A388" s="2">
        <v>50</v>
      </c>
      <c r="B388" t="s">
        <v>1017</v>
      </c>
      <c r="C388" s="2">
        <v>0</v>
      </c>
      <c r="D388">
        <v>0</v>
      </c>
      <c r="E388" s="2">
        <v>0</v>
      </c>
      <c r="G388" t="s">
        <v>1186</v>
      </c>
      <c r="H388" s="2" t="s">
        <v>1191</v>
      </c>
      <c r="I388">
        <v>12</v>
      </c>
      <c r="J388" t="s">
        <v>1155</v>
      </c>
      <c r="K388">
        <v>2019</v>
      </c>
      <c r="L388" s="2" t="s">
        <v>32</v>
      </c>
      <c r="M388" t="s">
        <v>897</v>
      </c>
      <c r="N388" s="2">
        <v>21</v>
      </c>
      <c r="O388">
        <v>1</v>
      </c>
      <c r="P388" s="2" t="s">
        <v>37</v>
      </c>
      <c r="R388" s="45" t="s">
        <v>39</v>
      </c>
      <c r="S388" s="4">
        <v>37.379849999999998</v>
      </c>
      <c r="T388" s="4">
        <v>-121.74673</v>
      </c>
      <c r="U388">
        <v>700</v>
      </c>
      <c r="V388" s="6">
        <f t="shared" si="29"/>
        <v>213.36</v>
      </c>
      <c r="W388" t="s">
        <v>898</v>
      </c>
      <c r="X388" t="s">
        <v>2161</v>
      </c>
      <c r="Y388" s="2" t="s">
        <v>267</v>
      </c>
      <c r="AB388" s="2">
        <v>32</v>
      </c>
      <c r="AC388" s="2">
        <v>13.2</v>
      </c>
      <c r="AF388">
        <v>68</v>
      </c>
      <c r="AG388">
        <v>23</v>
      </c>
      <c r="AJ388" s="41">
        <v>0</v>
      </c>
      <c r="AL388">
        <f t="shared" si="26"/>
        <v>0</v>
      </c>
      <c r="AM388">
        <f t="shared" si="27"/>
        <v>0</v>
      </c>
      <c r="AN388">
        <f t="shared" si="28"/>
        <v>0</v>
      </c>
    </row>
    <row r="389" spans="1:40" x14ac:dyDescent="0.2">
      <c r="A389" s="2">
        <v>50</v>
      </c>
      <c r="B389" t="s">
        <v>1018</v>
      </c>
      <c r="C389" s="2">
        <v>0</v>
      </c>
      <c r="D389">
        <v>0</v>
      </c>
      <c r="E389" s="2">
        <v>0</v>
      </c>
      <c r="G389" t="s">
        <v>1186</v>
      </c>
      <c r="H389" s="2" t="s">
        <v>1191</v>
      </c>
      <c r="I389">
        <v>12</v>
      </c>
      <c r="J389" t="s">
        <v>1155</v>
      </c>
      <c r="K389">
        <v>2019</v>
      </c>
      <c r="L389" s="2" t="s">
        <v>33</v>
      </c>
      <c r="M389" t="s">
        <v>897</v>
      </c>
      <c r="N389" s="2">
        <v>19</v>
      </c>
      <c r="O389">
        <v>1</v>
      </c>
      <c r="P389" s="2" t="s">
        <v>37</v>
      </c>
      <c r="R389" t="s">
        <v>89</v>
      </c>
      <c r="S389" s="4">
        <v>37.379849999999998</v>
      </c>
      <c r="T389" s="4">
        <v>-121.74673</v>
      </c>
      <c r="U389">
        <v>700</v>
      </c>
      <c r="V389" s="6">
        <f t="shared" si="29"/>
        <v>213.36</v>
      </c>
      <c r="W389" t="s">
        <v>898</v>
      </c>
      <c r="X389" t="s">
        <v>2161</v>
      </c>
      <c r="Y389" s="2" t="s">
        <v>357</v>
      </c>
      <c r="AB389" s="2">
        <v>32</v>
      </c>
      <c r="AC389" s="2">
        <v>13.2</v>
      </c>
      <c r="AF389">
        <v>68</v>
      </c>
      <c r="AG389">
        <v>23</v>
      </c>
      <c r="AJ389" s="41">
        <v>0</v>
      </c>
      <c r="AL389">
        <f t="shared" si="26"/>
        <v>0</v>
      </c>
      <c r="AM389">
        <f t="shared" si="27"/>
        <v>0</v>
      </c>
      <c r="AN389">
        <f t="shared" si="28"/>
        <v>0</v>
      </c>
    </row>
    <row r="390" spans="1:40" x14ac:dyDescent="0.2">
      <c r="A390" s="2">
        <v>50</v>
      </c>
      <c r="B390" t="s">
        <v>1019</v>
      </c>
      <c r="C390" s="2">
        <v>0</v>
      </c>
      <c r="D390">
        <v>0</v>
      </c>
      <c r="E390" s="2">
        <v>0</v>
      </c>
      <c r="G390" t="s">
        <v>1186</v>
      </c>
      <c r="H390" s="2" t="s">
        <v>1191</v>
      </c>
      <c r="I390">
        <v>12</v>
      </c>
      <c r="J390" t="s">
        <v>1155</v>
      </c>
      <c r="K390">
        <v>2019</v>
      </c>
      <c r="L390" s="2" t="s">
        <v>32</v>
      </c>
      <c r="M390" t="s">
        <v>897</v>
      </c>
      <c r="N390" s="2">
        <v>19</v>
      </c>
      <c r="O390">
        <v>0.5</v>
      </c>
      <c r="P390" s="2" t="s">
        <v>37</v>
      </c>
      <c r="R390" s="45" t="s">
        <v>39</v>
      </c>
      <c r="S390" s="4">
        <v>37.379849999999998</v>
      </c>
      <c r="T390" s="4">
        <v>-121.74673</v>
      </c>
      <c r="U390">
        <v>700</v>
      </c>
      <c r="V390" s="6">
        <f t="shared" si="29"/>
        <v>213.36</v>
      </c>
      <c r="W390" t="s">
        <v>898</v>
      </c>
      <c r="X390" t="s">
        <v>2161</v>
      </c>
      <c r="Y390" s="2" t="s">
        <v>357</v>
      </c>
      <c r="AB390" s="2">
        <v>32</v>
      </c>
      <c r="AC390" s="2">
        <v>13.2</v>
      </c>
      <c r="AF390">
        <v>68</v>
      </c>
      <c r="AG390">
        <v>23</v>
      </c>
      <c r="AJ390" s="41">
        <v>0</v>
      </c>
      <c r="AL390">
        <f t="shared" si="26"/>
        <v>0</v>
      </c>
      <c r="AM390">
        <f t="shared" si="27"/>
        <v>0</v>
      </c>
      <c r="AN390">
        <f t="shared" si="28"/>
        <v>0</v>
      </c>
    </row>
    <row r="391" spans="1:40" x14ac:dyDescent="0.2">
      <c r="A391" s="2">
        <v>50</v>
      </c>
      <c r="B391" t="s">
        <v>1020</v>
      </c>
      <c r="C391" s="2">
        <v>0</v>
      </c>
      <c r="D391">
        <v>0</v>
      </c>
      <c r="E391">
        <v>1.7245903611183167E-2</v>
      </c>
      <c r="G391" t="s">
        <v>1186</v>
      </c>
      <c r="H391" s="2" t="s">
        <v>1191</v>
      </c>
      <c r="I391">
        <v>12</v>
      </c>
      <c r="J391" t="s">
        <v>1155</v>
      </c>
      <c r="K391">
        <v>2019</v>
      </c>
      <c r="L391" s="2" t="s">
        <v>32</v>
      </c>
      <c r="M391" t="s">
        <v>897</v>
      </c>
      <c r="N391" s="2">
        <v>17</v>
      </c>
      <c r="O391">
        <v>0.5</v>
      </c>
      <c r="P391" s="2" t="s">
        <v>37</v>
      </c>
      <c r="R391" t="s">
        <v>89</v>
      </c>
      <c r="S391" s="4">
        <v>37.379849999999998</v>
      </c>
      <c r="T391" s="4">
        <v>-121.74673</v>
      </c>
      <c r="U391">
        <v>700</v>
      </c>
      <c r="V391" s="6">
        <f t="shared" si="29"/>
        <v>213.36</v>
      </c>
      <c r="W391" t="s">
        <v>898</v>
      </c>
      <c r="X391" t="s">
        <v>2161</v>
      </c>
      <c r="Y391" s="2" t="s">
        <v>459</v>
      </c>
      <c r="AB391" s="2">
        <v>32</v>
      </c>
      <c r="AC391" s="2">
        <v>13.2</v>
      </c>
      <c r="AF391">
        <v>68</v>
      </c>
      <c r="AG391">
        <v>23</v>
      </c>
      <c r="AJ391" s="41">
        <v>0</v>
      </c>
      <c r="AL391">
        <f t="shared" si="26"/>
        <v>0</v>
      </c>
      <c r="AM391">
        <f t="shared" si="27"/>
        <v>0</v>
      </c>
      <c r="AN391">
        <f t="shared" si="28"/>
        <v>1.3796722888946533</v>
      </c>
    </row>
    <row r="392" spans="1:40" x14ac:dyDescent="0.2">
      <c r="A392" s="2">
        <v>50</v>
      </c>
      <c r="B392" t="s">
        <v>1021</v>
      </c>
      <c r="C392" s="2">
        <v>0</v>
      </c>
      <c r="D392">
        <v>0</v>
      </c>
      <c r="E392" s="2">
        <v>0</v>
      </c>
      <c r="G392" t="s">
        <v>1186</v>
      </c>
      <c r="H392" s="2" t="s">
        <v>1191</v>
      </c>
      <c r="I392">
        <v>12</v>
      </c>
      <c r="J392" t="s">
        <v>1155</v>
      </c>
      <c r="K392">
        <v>2019</v>
      </c>
      <c r="L392" s="2" t="s">
        <v>32</v>
      </c>
      <c r="M392" t="s">
        <v>897</v>
      </c>
      <c r="N392" s="2">
        <v>16.5</v>
      </c>
      <c r="O392">
        <v>0.5</v>
      </c>
      <c r="P392" s="2" t="s">
        <v>37</v>
      </c>
      <c r="R392" t="s">
        <v>89</v>
      </c>
      <c r="S392" s="4">
        <v>37.379849999999998</v>
      </c>
      <c r="T392" s="4">
        <v>-121.74673</v>
      </c>
      <c r="U392">
        <v>700</v>
      </c>
      <c r="V392" s="6">
        <f t="shared" si="29"/>
        <v>213.36</v>
      </c>
      <c r="W392" t="s">
        <v>898</v>
      </c>
      <c r="X392" t="s">
        <v>2161</v>
      </c>
      <c r="Y392" s="2" t="s">
        <v>891</v>
      </c>
      <c r="AB392" s="2">
        <v>32</v>
      </c>
      <c r="AC392" s="2">
        <v>13.2</v>
      </c>
      <c r="AF392">
        <v>68</v>
      </c>
      <c r="AG392">
        <v>23</v>
      </c>
      <c r="AJ392" s="41">
        <v>0</v>
      </c>
      <c r="AL392">
        <f t="shared" si="26"/>
        <v>0</v>
      </c>
      <c r="AM392">
        <f t="shared" si="27"/>
        <v>0</v>
      </c>
      <c r="AN392">
        <f t="shared" si="28"/>
        <v>0</v>
      </c>
    </row>
    <row r="393" spans="1:40" x14ac:dyDescent="0.2">
      <c r="A393" s="2">
        <v>50</v>
      </c>
      <c r="B393" t="s">
        <v>1022</v>
      </c>
      <c r="C393" s="2">
        <v>0</v>
      </c>
      <c r="D393">
        <v>0</v>
      </c>
      <c r="E393" s="2">
        <v>0</v>
      </c>
      <c r="G393" t="s">
        <v>1186</v>
      </c>
      <c r="H393" s="2" t="s">
        <v>1191</v>
      </c>
      <c r="I393">
        <v>12</v>
      </c>
      <c r="J393" t="s">
        <v>1155</v>
      </c>
      <c r="K393">
        <v>2019</v>
      </c>
      <c r="L393" s="2" t="s">
        <v>32</v>
      </c>
      <c r="M393" t="s">
        <v>897</v>
      </c>
      <c r="N393" s="2">
        <v>19</v>
      </c>
      <c r="O393">
        <v>0.5</v>
      </c>
      <c r="P393" s="2" t="s">
        <v>37</v>
      </c>
      <c r="R393" s="45" t="s">
        <v>39</v>
      </c>
      <c r="S393" s="4">
        <v>37.379849999999998</v>
      </c>
      <c r="T393" s="4">
        <v>-121.74673</v>
      </c>
      <c r="U393">
        <v>700</v>
      </c>
      <c r="V393" s="6">
        <f t="shared" si="29"/>
        <v>213.36</v>
      </c>
      <c r="W393" t="s">
        <v>898</v>
      </c>
      <c r="X393" t="s">
        <v>2161</v>
      </c>
      <c r="Y393" s="2" t="s">
        <v>783</v>
      </c>
      <c r="AB393" s="2">
        <v>32</v>
      </c>
      <c r="AC393" s="2">
        <v>13.2</v>
      </c>
      <c r="AF393">
        <v>68</v>
      </c>
      <c r="AG393">
        <v>23</v>
      </c>
      <c r="AJ393" s="41">
        <v>0</v>
      </c>
      <c r="AL393">
        <f t="shared" si="26"/>
        <v>0</v>
      </c>
      <c r="AM393">
        <f t="shared" si="27"/>
        <v>0</v>
      </c>
      <c r="AN393">
        <f t="shared" si="28"/>
        <v>0</v>
      </c>
    </row>
    <row r="394" spans="1:40" x14ac:dyDescent="0.2">
      <c r="A394" s="2">
        <v>50</v>
      </c>
      <c r="B394" t="s">
        <v>1023</v>
      </c>
      <c r="C394" s="2">
        <v>0</v>
      </c>
      <c r="D394">
        <v>0</v>
      </c>
      <c r="E394" s="2">
        <v>0</v>
      </c>
      <c r="G394" t="s">
        <v>1186</v>
      </c>
      <c r="H394" s="2" t="s">
        <v>1191</v>
      </c>
      <c r="I394">
        <v>12</v>
      </c>
      <c r="J394" t="s">
        <v>1155</v>
      </c>
      <c r="K394">
        <v>2019</v>
      </c>
      <c r="L394" s="2" t="s">
        <v>32</v>
      </c>
      <c r="M394" t="s">
        <v>897</v>
      </c>
      <c r="N394" s="2">
        <v>19.5</v>
      </c>
      <c r="O394">
        <v>1</v>
      </c>
      <c r="P394" s="2" t="s">
        <v>37</v>
      </c>
      <c r="R394" s="45" t="s">
        <v>39</v>
      </c>
      <c r="S394" s="4">
        <v>37.379849999999998</v>
      </c>
      <c r="T394" s="4">
        <v>-121.74673</v>
      </c>
      <c r="U394">
        <v>700</v>
      </c>
      <c r="V394" s="6">
        <f t="shared" si="29"/>
        <v>213.36</v>
      </c>
      <c r="W394" t="s">
        <v>898</v>
      </c>
      <c r="X394" t="s">
        <v>2161</v>
      </c>
      <c r="Y394" s="2" t="s">
        <v>1099</v>
      </c>
      <c r="AB394" s="2">
        <v>32</v>
      </c>
      <c r="AC394" s="2">
        <v>13.2</v>
      </c>
      <c r="AF394">
        <v>68</v>
      </c>
      <c r="AG394">
        <v>23</v>
      </c>
      <c r="AJ394" s="41">
        <v>0</v>
      </c>
      <c r="AL394">
        <f t="shared" si="26"/>
        <v>0</v>
      </c>
      <c r="AM394">
        <f t="shared" si="27"/>
        <v>0</v>
      </c>
      <c r="AN394">
        <f t="shared" si="28"/>
        <v>0</v>
      </c>
    </row>
    <row r="395" spans="1:40" x14ac:dyDescent="0.2">
      <c r="A395" s="2">
        <v>50</v>
      </c>
      <c r="B395" t="s">
        <v>1024</v>
      </c>
      <c r="D395" t="s">
        <v>1895</v>
      </c>
      <c r="G395" t="s">
        <v>1191</v>
      </c>
      <c r="H395" s="2" t="s">
        <v>1191</v>
      </c>
      <c r="I395">
        <v>12</v>
      </c>
      <c r="J395" t="s">
        <v>1155</v>
      </c>
      <c r="K395">
        <v>2019</v>
      </c>
      <c r="L395" s="2" t="s">
        <v>32</v>
      </c>
      <c r="M395" t="s">
        <v>897</v>
      </c>
      <c r="N395" s="2">
        <v>22</v>
      </c>
      <c r="O395">
        <v>1</v>
      </c>
      <c r="P395" s="2" t="s">
        <v>37</v>
      </c>
      <c r="R395" s="45" t="s">
        <v>39</v>
      </c>
      <c r="S395" s="4">
        <v>37.379849999999998</v>
      </c>
      <c r="T395" s="4">
        <v>-121.74673</v>
      </c>
      <c r="U395">
        <v>700</v>
      </c>
      <c r="V395" s="6">
        <f t="shared" si="29"/>
        <v>213.36</v>
      </c>
      <c r="W395" t="s">
        <v>898</v>
      </c>
      <c r="X395" t="s">
        <v>2161</v>
      </c>
      <c r="Y395" s="2" t="s">
        <v>360</v>
      </c>
      <c r="AB395" s="2">
        <v>32</v>
      </c>
      <c r="AC395" s="2">
        <v>13.2</v>
      </c>
      <c r="AF395">
        <v>68</v>
      </c>
      <c r="AG395">
        <v>23</v>
      </c>
      <c r="AJ395" s="41">
        <v>0</v>
      </c>
      <c r="AL395">
        <f t="shared" si="26"/>
        <v>0</v>
      </c>
      <c r="AM395" t="e">
        <f t="shared" si="27"/>
        <v>#VALUE!</v>
      </c>
      <c r="AN395">
        <f t="shared" si="28"/>
        <v>0</v>
      </c>
    </row>
    <row r="396" spans="1:40" x14ac:dyDescent="0.2">
      <c r="A396" s="2">
        <v>50</v>
      </c>
      <c r="B396" t="s">
        <v>1025</v>
      </c>
      <c r="C396" s="2">
        <v>0</v>
      </c>
      <c r="D396">
        <v>0</v>
      </c>
      <c r="E396" s="2">
        <v>0</v>
      </c>
      <c r="G396" t="s">
        <v>1186</v>
      </c>
      <c r="H396" s="2" t="s">
        <v>1191</v>
      </c>
      <c r="I396">
        <v>12</v>
      </c>
      <c r="J396" t="s">
        <v>1155</v>
      </c>
      <c r="K396">
        <v>2019</v>
      </c>
      <c r="L396" s="2" t="s">
        <v>32</v>
      </c>
      <c r="M396" t="s">
        <v>897</v>
      </c>
      <c r="N396" s="2">
        <v>19.5</v>
      </c>
      <c r="O396">
        <v>1</v>
      </c>
      <c r="P396" s="2" t="s">
        <v>30</v>
      </c>
      <c r="R396" s="45" t="s">
        <v>39</v>
      </c>
      <c r="S396" s="4">
        <v>37.379849999999998</v>
      </c>
      <c r="T396" s="4">
        <v>-121.74673</v>
      </c>
      <c r="U396">
        <v>700</v>
      </c>
      <c r="V396" s="6">
        <f t="shared" si="29"/>
        <v>213.36</v>
      </c>
      <c r="W396" t="s">
        <v>898</v>
      </c>
      <c r="X396" t="s">
        <v>2161</v>
      </c>
      <c r="Y396" s="2" t="s">
        <v>360</v>
      </c>
      <c r="Z396" t="s">
        <v>1270</v>
      </c>
      <c r="AB396" s="2">
        <v>32</v>
      </c>
      <c r="AC396" s="2">
        <v>13.2</v>
      </c>
      <c r="AF396">
        <v>68</v>
      </c>
      <c r="AG396">
        <v>23</v>
      </c>
      <c r="AJ396" s="41">
        <v>0</v>
      </c>
      <c r="AL396">
        <f t="shared" si="26"/>
        <v>0</v>
      </c>
      <c r="AM396">
        <f t="shared" si="27"/>
        <v>0</v>
      </c>
      <c r="AN396">
        <f t="shared" si="28"/>
        <v>0</v>
      </c>
    </row>
    <row r="397" spans="1:40" x14ac:dyDescent="0.2">
      <c r="A397" s="2">
        <v>50</v>
      </c>
      <c r="B397" t="s">
        <v>1026</v>
      </c>
      <c r="C397" s="2">
        <v>0</v>
      </c>
      <c r="D397">
        <v>0</v>
      </c>
      <c r="E397" s="2">
        <v>0</v>
      </c>
      <c r="G397" t="s">
        <v>1186</v>
      </c>
      <c r="H397" s="2" t="s">
        <v>1191</v>
      </c>
      <c r="I397">
        <v>12</v>
      </c>
      <c r="J397" t="s">
        <v>1155</v>
      </c>
      <c r="K397">
        <v>2019</v>
      </c>
      <c r="L397" s="2" t="s">
        <v>33</v>
      </c>
      <c r="M397" t="s">
        <v>897</v>
      </c>
      <c r="N397" s="2">
        <v>32</v>
      </c>
      <c r="O397">
        <f>26-21.5</f>
        <v>4.5</v>
      </c>
      <c r="P397" s="2" t="s">
        <v>30</v>
      </c>
      <c r="R397" t="s">
        <v>89</v>
      </c>
      <c r="S397" s="4">
        <v>37.379849999999998</v>
      </c>
      <c r="T397" s="4">
        <v>-121.74673</v>
      </c>
      <c r="U397">
        <v>700</v>
      </c>
      <c r="V397" s="6">
        <f t="shared" si="29"/>
        <v>213.36</v>
      </c>
      <c r="W397" t="s">
        <v>898</v>
      </c>
      <c r="X397" t="s">
        <v>2161</v>
      </c>
      <c r="Y397" s="2" t="s">
        <v>751</v>
      </c>
      <c r="Z397" t="s">
        <v>1271</v>
      </c>
      <c r="AB397" s="2">
        <v>32</v>
      </c>
      <c r="AC397" s="2">
        <v>13.2</v>
      </c>
      <c r="AF397">
        <v>68</v>
      </c>
      <c r="AG397">
        <v>23</v>
      </c>
      <c r="AJ397" s="41">
        <v>0</v>
      </c>
      <c r="AL397">
        <f t="shared" ref="AL397:AL460" si="30">C397*80</f>
        <v>0</v>
      </c>
      <c r="AM397">
        <f t="shared" ref="AM397:AM460" si="31">D397*80</f>
        <v>0</v>
      </c>
      <c r="AN397">
        <f t="shared" ref="AN397:AN460" si="32">E397*80</f>
        <v>0</v>
      </c>
    </row>
    <row r="398" spans="1:40" x14ac:dyDescent="0.2">
      <c r="A398" s="2">
        <v>50</v>
      </c>
      <c r="B398" t="s">
        <v>1027</v>
      </c>
      <c r="C398" s="2">
        <v>0</v>
      </c>
      <c r="D398">
        <v>0</v>
      </c>
      <c r="E398" s="2">
        <v>0</v>
      </c>
      <c r="G398" t="s">
        <v>1186</v>
      </c>
      <c r="H398" s="2" t="s">
        <v>1191</v>
      </c>
      <c r="I398">
        <v>12</v>
      </c>
      <c r="J398" t="s">
        <v>1155</v>
      </c>
      <c r="K398">
        <v>2019</v>
      </c>
      <c r="L398" s="2" t="s">
        <v>32</v>
      </c>
      <c r="M398" t="s">
        <v>897</v>
      </c>
      <c r="N398" s="2">
        <v>18</v>
      </c>
      <c r="O398">
        <v>0.5</v>
      </c>
      <c r="P398" s="2" t="s">
        <v>37</v>
      </c>
      <c r="R398" t="s">
        <v>89</v>
      </c>
      <c r="S398" s="4">
        <v>37.379849999999998</v>
      </c>
      <c r="T398" s="4">
        <v>-121.74673</v>
      </c>
      <c r="U398">
        <v>700</v>
      </c>
      <c r="V398" s="6">
        <f t="shared" si="29"/>
        <v>213.36</v>
      </c>
      <c r="W398" t="s">
        <v>898</v>
      </c>
      <c r="X398" t="s">
        <v>2161</v>
      </c>
      <c r="Y398" s="2" t="s">
        <v>605</v>
      </c>
      <c r="AB398" s="2">
        <v>32</v>
      </c>
      <c r="AC398" s="2">
        <v>13.2</v>
      </c>
      <c r="AF398">
        <v>68</v>
      </c>
      <c r="AG398">
        <v>23</v>
      </c>
      <c r="AJ398" s="41">
        <v>0</v>
      </c>
      <c r="AL398">
        <f t="shared" si="30"/>
        <v>0</v>
      </c>
      <c r="AM398">
        <f t="shared" si="31"/>
        <v>0</v>
      </c>
      <c r="AN398">
        <f t="shared" si="32"/>
        <v>0</v>
      </c>
    </row>
    <row r="399" spans="1:40" x14ac:dyDescent="0.2">
      <c r="A399" s="2">
        <v>50</v>
      </c>
      <c r="B399" t="s">
        <v>1028</v>
      </c>
      <c r="C399" s="2">
        <v>0</v>
      </c>
      <c r="D399">
        <v>0</v>
      </c>
      <c r="E399" s="2">
        <v>0</v>
      </c>
      <c r="G399" t="s">
        <v>1186</v>
      </c>
      <c r="H399" s="2" t="s">
        <v>1191</v>
      </c>
      <c r="I399">
        <v>12</v>
      </c>
      <c r="J399" t="s">
        <v>1155</v>
      </c>
      <c r="K399">
        <v>2019</v>
      </c>
      <c r="L399" s="2" t="s">
        <v>691</v>
      </c>
      <c r="M399" t="s">
        <v>897</v>
      </c>
      <c r="N399" s="2">
        <v>53</v>
      </c>
      <c r="O399">
        <f>73-44.5</f>
        <v>28.5</v>
      </c>
      <c r="P399" s="2" t="s">
        <v>37</v>
      </c>
      <c r="R399" t="s">
        <v>89</v>
      </c>
      <c r="S399" s="4">
        <v>37.379849999999998</v>
      </c>
      <c r="T399" s="4">
        <v>-121.74673</v>
      </c>
      <c r="U399">
        <v>700</v>
      </c>
      <c r="V399" s="6">
        <f t="shared" si="29"/>
        <v>213.36</v>
      </c>
      <c r="W399" t="s">
        <v>898</v>
      </c>
      <c r="X399" t="s">
        <v>2161</v>
      </c>
      <c r="Y399" s="2" t="s">
        <v>605</v>
      </c>
      <c r="AB399" s="2">
        <v>32</v>
      </c>
      <c r="AC399" s="2">
        <v>13.2</v>
      </c>
      <c r="AF399">
        <v>68</v>
      </c>
      <c r="AG399">
        <v>23</v>
      </c>
      <c r="AJ399" s="41">
        <v>0</v>
      </c>
      <c r="AL399">
        <f t="shared" si="30"/>
        <v>0</v>
      </c>
      <c r="AM399">
        <f t="shared" si="31"/>
        <v>0</v>
      </c>
      <c r="AN399">
        <f t="shared" si="32"/>
        <v>0</v>
      </c>
    </row>
    <row r="400" spans="1:40" x14ac:dyDescent="0.2">
      <c r="A400" s="2">
        <v>50</v>
      </c>
      <c r="B400" t="s">
        <v>1029</v>
      </c>
      <c r="C400" s="2">
        <v>0</v>
      </c>
      <c r="D400">
        <v>2.8052801266312599E-2</v>
      </c>
      <c r="E400" s="2">
        <v>0</v>
      </c>
      <c r="G400" t="s">
        <v>1186</v>
      </c>
      <c r="H400" s="2" t="s">
        <v>1191</v>
      </c>
      <c r="I400">
        <v>12</v>
      </c>
      <c r="J400" t="s">
        <v>1155</v>
      </c>
      <c r="K400">
        <v>2019</v>
      </c>
      <c r="L400" s="2" t="s">
        <v>32</v>
      </c>
      <c r="M400" t="s">
        <v>897</v>
      </c>
      <c r="N400" s="2">
        <v>15</v>
      </c>
      <c r="O400">
        <v>0.5</v>
      </c>
      <c r="P400" s="2" t="s">
        <v>37</v>
      </c>
      <c r="R400" t="s">
        <v>89</v>
      </c>
      <c r="S400" s="4">
        <v>37.379849999999998</v>
      </c>
      <c r="T400" s="4">
        <v>-121.74673</v>
      </c>
      <c r="U400">
        <v>700</v>
      </c>
      <c r="V400" s="6">
        <f t="shared" si="29"/>
        <v>213.36</v>
      </c>
      <c r="W400" t="s">
        <v>898</v>
      </c>
      <c r="X400" t="s">
        <v>2161</v>
      </c>
      <c r="Y400" s="2" t="s">
        <v>1111</v>
      </c>
      <c r="AB400" s="2">
        <v>32</v>
      </c>
      <c r="AC400" s="2">
        <v>13.2</v>
      </c>
      <c r="AF400">
        <v>68</v>
      </c>
      <c r="AG400">
        <v>23</v>
      </c>
      <c r="AJ400" s="41">
        <v>0</v>
      </c>
      <c r="AL400">
        <f t="shared" si="30"/>
        <v>0</v>
      </c>
      <c r="AM400">
        <f t="shared" si="31"/>
        <v>2.2442241013050079</v>
      </c>
      <c r="AN400">
        <f t="shared" si="32"/>
        <v>0</v>
      </c>
    </row>
    <row r="401" spans="1:40" x14ac:dyDescent="0.2">
      <c r="A401" s="2">
        <v>50</v>
      </c>
      <c r="B401" t="s">
        <v>1030</v>
      </c>
      <c r="C401">
        <v>2.8493581339716911E-2</v>
      </c>
      <c r="D401">
        <v>0</v>
      </c>
      <c r="E401" s="2">
        <v>0</v>
      </c>
      <c r="G401" t="s">
        <v>1186</v>
      </c>
      <c r="H401" s="2" t="s">
        <v>1191</v>
      </c>
      <c r="I401">
        <v>12</v>
      </c>
      <c r="J401" t="s">
        <v>1155</v>
      </c>
      <c r="K401">
        <v>2019</v>
      </c>
      <c r="L401" s="2" t="s">
        <v>691</v>
      </c>
      <c r="M401" t="s">
        <v>897</v>
      </c>
      <c r="N401" s="2">
        <v>130.5</v>
      </c>
      <c r="O401" t="s">
        <v>43</v>
      </c>
      <c r="P401" s="2" t="s">
        <v>30</v>
      </c>
      <c r="Q401" s="11"/>
      <c r="R401" s="2" t="s">
        <v>39</v>
      </c>
      <c r="S401" s="4">
        <v>37.379849999999998</v>
      </c>
      <c r="T401" s="4">
        <v>-121.74673</v>
      </c>
      <c r="U401">
        <v>700</v>
      </c>
      <c r="V401" s="6">
        <f t="shared" si="29"/>
        <v>213.36</v>
      </c>
      <c r="W401" t="s">
        <v>898</v>
      </c>
      <c r="X401" t="s">
        <v>2161</v>
      </c>
      <c r="Y401" s="2" t="s">
        <v>754</v>
      </c>
      <c r="AB401" s="2">
        <v>32</v>
      </c>
      <c r="AC401" s="2">
        <v>13.2</v>
      </c>
      <c r="AF401">
        <v>68</v>
      </c>
      <c r="AG401">
        <v>23</v>
      </c>
      <c r="AJ401" s="41">
        <v>0</v>
      </c>
      <c r="AL401">
        <f t="shared" si="30"/>
        <v>2.2794865071773529</v>
      </c>
      <c r="AM401">
        <f t="shared" si="31"/>
        <v>0</v>
      </c>
      <c r="AN401">
        <f t="shared" si="32"/>
        <v>0</v>
      </c>
    </row>
    <row r="402" spans="1:40" x14ac:dyDescent="0.2">
      <c r="A402" s="2">
        <v>50</v>
      </c>
      <c r="B402" t="s">
        <v>1031</v>
      </c>
      <c r="C402" s="2">
        <v>0</v>
      </c>
      <c r="D402">
        <v>0</v>
      </c>
      <c r="E402" s="2">
        <v>0</v>
      </c>
      <c r="G402" t="s">
        <v>1186</v>
      </c>
      <c r="H402" s="2" t="s">
        <v>1191</v>
      </c>
      <c r="I402">
        <v>12</v>
      </c>
      <c r="J402" t="s">
        <v>1155</v>
      </c>
      <c r="K402">
        <v>2019</v>
      </c>
      <c r="L402" s="2" t="s">
        <v>33</v>
      </c>
      <c r="M402" t="s">
        <v>897</v>
      </c>
      <c r="N402" s="2">
        <v>12</v>
      </c>
      <c r="O402">
        <v>0.5</v>
      </c>
      <c r="P402" s="2" t="s">
        <v>37</v>
      </c>
      <c r="R402" s="2" t="s">
        <v>89</v>
      </c>
      <c r="S402" s="4">
        <v>37.379849999999998</v>
      </c>
      <c r="T402" s="4">
        <v>-121.74673</v>
      </c>
      <c r="U402">
        <v>700</v>
      </c>
      <c r="V402" s="6">
        <f t="shared" si="29"/>
        <v>213.36</v>
      </c>
      <c r="W402" t="s">
        <v>898</v>
      </c>
      <c r="X402" t="s">
        <v>2161</v>
      </c>
      <c r="Y402" s="2" t="s">
        <v>742</v>
      </c>
      <c r="AB402" s="2">
        <v>32</v>
      </c>
      <c r="AC402" s="2">
        <v>13.2</v>
      </c>
      <c r="AF402">
        <v>68</v>
      </c>
      <c r="AG402">
        <v>23</v>
      </c>
      <c r="AJ402" s="41">
        <v>0</v>
      </c>
      <c r="AL402">
        <f t="shared" si="30"/>
        <v>0</v>
      </c>
      <c r="AM402">
        <f t="shared" si="31"/>
        <v>0</v>
      </c>
      <c r="AN402">
        <f t="shared" si="32"/>
        <v>0</v>
      </c>
    </row>
    <row r="403" spans="1:40" x14ac:dyDescent="0.2">
      <c r="A403" s="2">
        <v>50</v>
      </c>
      <c r="B403" t="s">
        <v>1032</v>
      </c>
      <c r="C403" s="2">
        <v>0</v>
      </c>
      <c r="D403">
        <v>0</v>
      </c>
      <c r="E403" s="2">
        <v>0</v>
      </c>
      <c r="G403" t="s">
        <v>1186</v>
      </c>
      <c r="H403" s="2" t="s">
        <v>1191</v>
      </c>
      <c r="I403">
        <v>12</v>
      </c>
      <c r="J403" t="s">
        <v>1155</v>
      </c>
      <c r="K403">
        <v>2019</v>
      </c>
      <c r="L403" s="2" t="s">
        <v>691</v>
      </c>
      <c r="M403" t="s">
        <v>897</v>
      </c>
      <c r="N403" s="2">
        <v>49.5</v>
      </c>
      <c r="O403">
        <f>48.5-33</f>
        <v>15.5</v>
      </c>
      <c r="P403" s="2" t="s">
        <v>37</v>
      </c>
      <c r="R403" s="2" t="s">
        <v>89</v>
      </c>
      <c r="S403" s="4">
        <v>37.379849999999998</v>
      </c>
      <c r="T403" s="4">
        <v>-121.74673</v>
      </c>
      <c r="U403">
        <v>700</v>
      </c>
      <c r="V403" s="6">
        <f t="shared" si="29"/>
        <v>213.36</v>
      </c>
      <c r="W403" t="s">
        <v>898</v>
      </c>
      <c r="X403" t="s">
        <v>2161</v>
      </c>
      <c r="Y403" s="2" t="s">
        <v>692</v>
      </c>
      <c r="AB403" s="2">
        <v>32</v>
      </c>
      <c r="AC403" s="2">
        <v>13.2</v>
      </c>
      <c r="AF403">
        <v>68</v>
      </c>
      <c r="AG403">
        <v>23</v>
      </c>
      <c r="AJ403" s="41">
        <v>0</v>
      </c>
      <c r="AL403">
        <f t="shared" si="30"/>
        <v>0</v>
      </c>
      <c r="AM403">
        <f t="shared" si="31"/>
        <v>0</v>
      </c>
      <c r="AN403">
        <f t="shared" si="32"/>
        <v>0</v>
      </c>
    </row>
    <row r="404" spans="1:40" x14ac:dyDescent="0.2">
      <c r="A404" s="2">
        <v>50</v>
      </c>
      <c r="B404" t="s">
        <v>1033</v>
      </c>
      <c r="C404">
        <v>7.8099906444549561E-2</v>
      </c>
      <c r="D404">
        <v>0</v>
      </c>
      <c r="E404">
        <v>7.6498948037624359E-2</v>
      </c>
      <c r="G404" t="s">
        <v>1186</v>
      </c>
      <c r="H404" s="2" t="s">
        <v>1191</v>
      </c>
      <c r="I404">
        <v>12</v>
      </c>
      <c r="J404" t="s">
        <v>1155</v>
      </c>
      <c r="K404">
        <v>2019</v>
      </c>
      <c r="L404" s="2" t="s">
        <v>691</v>
      </c>
      <c r="M404" t="s">
        <v>897</v>
      </c>
      <c r="N404" t="s">
        <v>1248</v>
      </c>
      <c r="O404" t="s">
        <v>43</v>
      </c>
      <c r="P404" s="2" t="s">
        <v>30</v>
      </c>
      <c r="Q404" s="11"/>
      <c r="R404" s="2" t="s">
        <v>39</v>
      </c>
      <c r="S404" s="4">
        <v>37.379849999999998</v>
      </c>
      <c r="T404" s="4">
        <v>-121.74673</v>
      </c>
      <c r="U404">
        <v>700</v>
      </c>
      <c r="V404" s="6">
        <f t="shared" si="29"/>
        <v>213.36</v>
      </c>
      <c r="W404" t="s">
        <v>898</v>
      </c>
      <c r="X404" t="s">
        <v>2161</v>
      </c>
      <c r="Y404" s="2" t="s">
        <v>104</v>
      </c>
      <c r="AB404" s="2">
        <v>32</v>
      </c>
      <c r="AC404" s="2">
        <v>13.2</v>
      </c>
      <c r="AF404">
        <v>68</v>
      </c>
      <c r="AG404">
        <v>23</v>
      </c>
      <c r="AJ404" s="41">
        <v>0</v>
      </c>
      <c r="AL404">
        <f t="shared" si="30"/>
        <v>6.2479925155639648</v>
      </c>
      <c r="AM404">
        <f t="shared" si="31"/>
        <v>0</v>
      </c>
      <c r="AN404">
        <f t="shared" si="32"/>
        <v>6.1199158430099487</v>
      </c>
    </row>
    <row r="405" spans="1:40" x14ac:dyDescent="0.2">
      <c r="A405" s="2">
        <v>51</v>
      </c>
      <c r="B405" t="s">
        <v>1034</v>
      </c>
      <c r="C405" s="2">
        <v>0</v>
      </c>
      <c r="D405">
        <v>0</v>
      </c>
      <c r="E405">
        <v>0</v>
      </c>
      <c r="G405" t="s">
        <v>1186</v>
      </c>
      <c r="H405" s="2" t="s">
        <v>1191</v>
      </c>
      <c r="I405">
        <v>12</v>
      </c>
      <c r="J405" t="s">
        <v>1155</v>
      </c>
      <c r="K405">
        <v>2019</v>
      </c>
      <c r="L405" s="2" t="s">
        <v>32</v>
      </c>
      <c r="M405" t="s">
        <v>897</v>
      </c>
      <c r="N405">
        <v>16</v>
      </c>
      <c r="O405">
        <v>1</v>
      </c>
      <c r="P405" s="2" t="s">
        <v>37</v>
      </c>
      <c r="R405" s="2" t="s">
        <v>89</v>
      </c>
      <c r="S405" s="4">
        <v>37.379309999999997</v>
      </c>
      <c r="T405" s="4">
        <v>-121.73188</v>
      </c>
      <c r="U405">
        <v>1868</v>
      </c>
      <c r="V405" s="6">
        <f t="shared" si="29"/>
        <v>569.3664</v>
      </c>
      <c r="W405" t="s">
        <v>898</v>
      </c>
      <c r="X405" t="s">
        <v>2160</v>
      </c>
      <c r="Y405" s="2" t="s">
        <v>1112</v>
      </c>
      <c r="Z405" t="s">
        <v>1272</v>
      </c>
      <c r="AA405" t="s">
        <v>1273</v>
      </c>
      <c r="AB405" s="2">
        <v>32</v>
      </c>
      <c r="AC405" s="2">
        <v>13.2</v>
      </c>
      <c r="AF405">
        <v>68</v>
      </c>
      <c r="AG405">
        <v>23</v>
      </c>
      <c r="AJ405" s="41">
        <v>0</v>
      </c>
      <c r="AL405">
        <f t="shared" si="30"/>
        <v>0</v>
      </c>
      <c r="AM405">
        <f t="shared" si="31"/>
        <v>0</v>
      </c>
      <c r="AN405">
        <f t="shared" si="32"/>
        <v>0</v>
      </c>
    </row>
    <row r="406" spans="1:40" x14ac:dyDescent="0.2">
      <c r="A406" s="2">
        <v>52</v>
      </c>
      <c r="B406" t="s">
        <v>1035</v>
      </c>
      <c r="C406" s="2">
        <v>0</v>
      </c>
      <c r="D406">
        <v>0</v>
      </c>
      <c r="E406">
        <v>0</v>
      </c>
      <c r="G406" t="s">
        <v>1186</v>
      </c>
      <c r="H406" s="2" t="s">
        <v>1191</v>
      </c>
      <c r="I406" s="2">
        <v>13</v>
      </c>
      <c r="J406" s="2" t="s">
        <v>1155</v>
      </c>
      <c r="K406">
        <v>2019</v>
      </c>
      <c r="L406" s="2" t="s">
        <v>691</v>
      </c>
      <c r="M406" t="s">
        <v>897</v>
      </c>
      <c r="N406">
        <v>45</v>
      </c>
      <c r="O406">
        <f>68-53</f>
        <v>15</v>
      </c>
      <c r="P406" s="2" t="s">
        <v>30</v>
      </c>
      <c r="R406" s="2" t="s">
        <v>89</v>
      </c>
      <c r="S406" s="4">
        <v>37.379309999999997</v>
      </c>
      <c r="T406" s="4">
        <v>-121.73188</v>
      </c>
      <c r="U406">
        <v>1868</v>
      </c>
      <c r="V406" s="6">
        <f t="shared" si="29"/>
        <v>569.3664</v>
      </c>
      <c r="W406" t="s">
        <v>898</v>
      </c>
      <c r="X406" t="s">
        <v>2160</v>
      </c>
      <c r="Y406" s="2" t="s">
        <v>243</v>
      </c>
      <c r="Z406" t="s">
        <v>1274</v>
      </c>
      <c r="AA406" t="s">
        <v>792</v>
      </c>
      <c r="AB406" s="2">
        <v>33.6</v>
      </c>
      <c r="AC406" s="2">
        <v>13</v>
      </c>
      <c r="AF406">
        <v>51</v>
      </c>
      <c r="AG406">
        <v>12</v>
      </c>
      <c r="AJ406" s="41">
        <v>0</v>
      </c>
      <c r="AL406">
        <f t="shared" si="30"/>
        <v>0</v>
      </c>
      <c r="AM406">
        <f t="shared" si="31"/>
        <v>0</v>
      </c>
      <c r="AN406">
        <f t="shared" si="32"/>
        <v>0</v>
      </c>
    </row>
    <row r="407" spans="1:40" x14ac:dyDescent="0.2">
      <c r="A407" s="2">
        <v>52</v>
      </c>
      <c r="B407" t="s">
        <v>1036</v>
      </c>
      <c r="C407">
        <v>3.0743001028895378E-2</v>
      </c>
      <c r="D407">
        <v>0.23961059749126434</v>
      </c>
      <c r="E407">
        <v>5.2670907229185104E-2</v>
      </c>
      <c r="G407" t="s">
        <v>1186</v>
      </c>
      <c r="H407" s="2" t="s">
        <v>1191</v>
      </c>
      <c r="I407" s="2">
        <v>13</v>
      </c>
      <c r="J407" s="2" t="s">
        <v>1155</v>
      </c>
      <c r="K407">
        <v>2019</v>
      </c>
      <c r="L407" s="2" t="s">
        <v>691</v>
      </c>
      <c r="M407" t="s">
        <v>897</v>
      </c>
      <c r="N407">
        <v>41.5</v>
      </c>
      <c r="O407">
        <f>57-46.5</f>
        <v>10.5</v>
      </c>
      <c r="P407" s="2" t="s">
        <v>30</v>
      </c>
      <c r="R407" s="2" t="s">
        <v>89</v>
      </c>
      <c r="S407" s="4">
        <v>37.379309999999997</v>
      </c>
      <c r="T407" s="4">
        <v>-121.73188</v>
      </c>
      <c r="U407">
        <v>1868</v>
      </c>
      <c r="V407" s="6">
        <f t="shared" si="29"/>
        <v>569.3664</v>
      </c>
      <c r="W407" t="s">
        <v>898</v>
      </c>
      <c r="X407" t="s">
        <v>2160</v>
      </c>
      <c r="Y407" s="2" t="s">
        <v>76</v>
      </c>
      <c r="AA407" t="s">
        <v>1275</v>
      </c>
      <c r="AB407" s="2">
        <v>33.6</v>
      </c>
      <c r="AC407" s="2">
        <v>13</v>
      </c>
      <c r="AF407">
        <v>51</v>
      </c>
      <c r="AG407">
        <v>12</v>
      </c>
      <c r="AJ407" s="41">
        <v>0</v>
      </c>
      <c r="AL407">
        <f t="shared" si="30"/>
        <v>2.4594400823116302</v>
      </c>
      <c r="AM407">
        <f t="shared" si="31"/>
        <v>19.168847799301147</v>
      </c>
      <c r="AN407">
        <f t="shared" si="32"/>
        <v>4.2136725783348083</v>
      </c>
    </row>
    <row r="408" spans="1:40" x14ac:dyDescent="0.2">
      <c r="A408" s="2">
        <v>52</v>
      </c>
      <c r="B408" t="s">
        <v>1037</v>
      </c>
      <c r="C408">
        <v>0.42709818482398987</v>
      </c>
      <c r="D408">
        <v>3.0531274154782295E-2</v>
      </c>
      <c r="E408">
        <v>0.60954791307449341</v>
      </c>
      <c r="G408" t="s">
        <v>1186</v>
      </c>
      <c r="H408" s="2" t="s">
        <v>1191</v>
      </c>
      <c r="I408" s="2">
        <v>13</v>
      </c>
      <c r="J408" s="2" t="s">
        <v>1155</v>
      </c>
      <c r="K408">
        <v>2019</v>
      </c>
      <c r="L408" s="2" t="s">
        <v>691</v>
      </c>
      <c r="M408" t="s">
        <v>897</v>
      </c>
      <c r="N408">
        <v>41.5</v>
      </c>
      <c r="O408">
        <f>35.5-23.5</f>
        <v>12</v>
      </c>
      <c r="P408" s="2" t="s">
        <v>30</v>
      </c>
      <c r="R408" s="2" t="s">
        <v>89</v>
      </c>
      <c r="S408" s="4">
        <v>37.379309999999997</v>
      </c>
      <c r="T408" s="4">
        <v>-121.73188</v>
      </c>
      <c r="U408">
        <v>1868</v>
      </c>
      <c r="V408" s="6">
        <f t="shared" si="29"/>
        <v>569.3664</v>
      </c>
      <c r="W408" t="s">
        <v>898</v>
      </c>
      <c r="X408" t="s">
        <v>2160</v>
      </c>
      <c r="Y408" s="2" t="s">
        <v>1110</v>
      </c>
      <c r="AA408" t="s">
        <v>1278</v>
      </c>
      <c r="AB408" s="2">
        <v>33.6</v>
      </c>
      <c r="AC408" s="2">
        <v>13</v>
      </c>
      <c r="AF408">
        <v>51</v>
      </c>
      <c r="AG408">
        <v>12</v>
      </c>
      <c r="AJ408" s="41">
        <v>0</v>
      </c>
      <c r="AL408">
        <f t="shared" si="30"/>
        <v>34.167854785919189</v>
      </c>
      <c r="AM408">
        <f t="shared" si="31"/>
        <v>2.4425019323825836</v>
      </c>
      <c r="AN408">
        <f t="shared" si="32"/>
        <v>48.763833045959473</v>
      </c>
    </row>
    <row r="409" spans="1:40" x14ac:dyDescent="0.2">
      <c r="A409" s="2">
        <v>52</v>
      </c>
      <c r="B409" t="s">
        <v>1038</v>
      </c>
      <c r="C409" s="2">
        <v>0</v>
      </c>
      <c r="D409">
        <v>1.6717507839202881</v>
      </c>
      <c r="E409">
        <v>0</v>
      </c>
      <c r="G409" t="s">
        <v>1186</v>
      </c>
      <c r="H409" s="2" t="s">
        <v>1191</v>
      </c>
      <c r="I409" s="2">
        <v>13</v>
      </c>
      <c r="J409" s="2" t="s">
        <v>1155</v>
      </c>
      <c r="K409">
        <v>2019</v>
      </c>
      <c r="L409" s="2" t="s">
        <v>691</v>
      </c>
      <c r="M409" t="s">
        <v>897</v>
      </c>
      <c r="N409">
        <v>43</v>
      </c>
      <c r="O409">
        <f>57.5-46</f>
        <v>11.5</v>
      </c>
      <c r="P409" s="2" t="s">
        <v>37</v>
      </c>
      <c r="R409" s="2" t="s">
        <v>89</v>
      </c>
      <c r="S409" s="4">
        <v>37.379309999999997</v>
      </c>
      <c r="T409" s="4">
        <v>-121.73188</v>
      </c>
      <c r="U409">
        <v>1868</v>
      </c>
      <c r="V409" s="6">
        <f t="shared" si="29"/>
        <v>569.3664</v>
      </c>
      <c r="W409" t="s">
        <v>898</v>
      </c>
      <c r="X409" t="s">
        <v>2160</v>
      </c>
      <c r="Y409" s="2" t="s">
        <v>1097</v>
      </c>
      <c r="AA409" t="s">
        <v>1279</v>
      </c>
      <c r="AB409" s="2">
        <v>33.6</v>
      </c>
      <c r="AC409" s="2">
        <v>13</v>
      </c>
      <c r="AF409">
        <v>51</v>
      </c>
      <c r="AG409">
        <v>12</v>
      </c>
      <c r="AJ409" s="41">
        <v>0</v>
      </c>
      <c r="AL409">
        <f t="shared" si="30"/>
        <v>0</v>
      </c>
      <c r="AM409">
        <f t="shared" si="31"/>
        <v>133.74006271362305</v>
      </c>
      <c r="AN409">
        <f t="shared" si="32"/>
        <v>0</v>
      </c>
    </row>
    <row r="410" spans="1:40" x14ac:dyDescent="0.2">
      <c r="A410" s="2">
        <v>52</v>
      </c>
      <c r="B410" t="s">
        <v>1039</v>
      </c>
      <c r="C410" s="18">
        <v>2.7331910000000001</v>
      </c>
      <c r="D410">
        <v>0</v>
      </c>
      <c r="E410">
        <v>1.965678334236145</v>
      </c>
      <c r="G410" t="s">
        <v>1186</v>
      </c>
      <c r="H410" s="2" t="s">
        <v>1191</v>
      </c>
      <c r="I410" s="2">
        <v>13</v>
      </c>
      <c r="J410" s="2" t="s">
        <v>1155</v>
      </c>
      <c r="K410">
        <v>2019</v>
      </c>
      <c r="L410" s="2" t="s">
        <v>691</v>
      </c>
      <c r="M410" t="s">
        <v>897</v>
      </c>
      <c r="N410">
        <v>41.5</v>
      </c>
      <c r="O410">
        <v>8</v>
      </c>
      <c r="P410" s="2" t="s">
        <v>37</v>
      </c>
      <c r="R410" s="2" t="s">
        <v>89</v>
      </c>
      <c r="S410" s="4">
        <v>37.379309999999997</v>
      </c>
      <c r="T410" s="4">
        <v>-121.73188</v>
      </c>
      <c r="U410">
        <v>1868</v>
      </c>
      <c r="V410" s="6">
        <f t="shared" si="29"/>
        <v>569.3664</v>
      </c>
      <c r="W410" t="s">
        <v>898</v>
      </c>
      <c r="X410" t="s">
        <v>2160</v>
      </c>
      <c r="Y410" s="2" t="s">
        <v>1108</v>
      </c>
      <c r="AA410" t="s">
        <v>1280</v>
      </c>
      <c r="AB410" s="2">
        <v>33.6</v>
      </c>
      <c r="AC410" s="2">
        <v>13</v>
      </c>
      <c r="AF410">
        <v>51</v>
      </c>
      <c r="AG410">
        <v>12</v>
      </c>
      <c r="AJ410" s="41">
        <v>0</v>
      </c>
      <c r="AL410">
        <f t="shared" si="30"/>
        <v>218.65528</v>
      </c>
      <c r="AM410">
        <f t="shared" si="31"/>
        <v>0</v>
      </c>
      <c r="AN410">
        <f t="shared" si="32"/>
        <v>157.2542667388916</v>
      </c>
    </row>
    <row r="411" spans="1:40" x14ac:dyDescent="0.2">
      <c r="A411" s="2">
        <v>52</v>
      </c>
      <c r="B411" t="s">
        <v>1040</v>
      </c>
      <c r="C411" s="2">
        <v>0</v>
      </c>
      <c r="D411" s="2">
        <v>0</v>
      </c>
      <c r="E411" s="2">
        <v>0</v>
      </c>
      <c r="G411" t="s">
        <v>1186</v>
      </c>
      <c r="H411" s="2" t="s">
        <v>1191</v>
      </c>
      <c r="I411" s="2">
        <v>13</v>
      </c>
      <c r="J411" s="2" t="s">
        <v>1155</v>
      </c>
      <c r="K411">
        <v>2019</v>
      </c>
      <c r="L411" s="2" t="s">
        <v>691</v>
      </c>
      <c r="M411" t="s">
        <v>897</v>
      </c>
      <c r="N411">
        <v>36.5</v>
      </c>
      <c r="O411">
        <f>73-66</f>
        <v>7</v>
      </c>
      <c r="P411" s="2" t="s">
        <v>30</v>
      </c>
      <c r="R411" s="2" t="s">
        <v>89</v>
      </c>
      <c r="S411" s="4">
        <v>37.379309999999997</v>
      </c>
      <c r="T411" s="4">
        <v>-121.73188</v>
      </c>
      <c r="U411">
        <v>1868</v>
      </c>
      <c r="V411" s="6">
        <f t="shared" si="29"/>
        <v>569.3664</v>
      </c>
      <c r="W411" t="s">
        <v>898</v>
      </c>
      <c r="X411" t="s">
        <v>2160</v>
      </c>
      <c r="Y411" s="2" t="s">
        <v>56</v>
      </c>
      <c r="AA411" t="s">
        <v>1281</v>
      </c>
      <c r="AB411" s="2">
        <v>33.6</v>
      </c>
      <c r="AC411" s="2">
        <v>13</v>
      </c>
      <c r="AF411">
        <v>51</v>
      </c>
      <c r="AG411">
        <v>12</v>
      </c>
      <c r="AJ411" s="41">
        <v>0</v>
      </c>
      <c r="AL411">
        <f t="shared" si="30"/>
        <v>0</v>
      </c>
      <c r="AM411">
        <f t="shared" si="31"/>
        <v>0</v>
      </c>
      <c r="AN411">
        <f t="shared" si="32"/>
        <v>0</v>
      </c>
    </row>
    <row r="412" spans="1:40" x14ac:dyDescent="0.2">
      <c r="A412" s="2">
        <v>52</v>
      </c>
      <c r="B412" t="s">
        <v>1041</v>
      </c>
      <c r="C412" s="2">
        <v>0</v>
      </c>
      <c r="D412" s="2">
        <v>0</v>
      </c>
      <c r="E412" s="2">
        <v>0</v>
      </c>
      <c r="G412" t="s">
        <v>1186</v>
      </c>
      <c r="H412" s="2" t="s">
        <v>1191</v>
      </c>
      <c r="I412" s="2">
        <v>13</v>
      </c>
      <c r="J412" s="2" t="s">
        <v>1155</v>
      </c>
      <c r="K412">
        <v>2019</v>
      </c>
      <c r="L412" s="2" t="s">
        <v>32</v>
      </c>
      <c r="M412" t="s">
        <v>897</v>
      </c>
      <c r="N412">
        <v>20.5</v>
      </c>
      <c r="O412">
        <f>26-23.5</f>
        <v>2.5</v>
      </c>
      <c r="P412" s="2" t="s">
        <v>37</v>
      </c>
      <c r="R412" s="45" t="s">
        <v>39</v>
      </c>
      <c r="S412" s="4">
        <v>37.379309999999997</v>
      </c>
      <c r="T412" s="4">
        <v>-121.73188</v>
      </c>
      <c r="U412">
        <v>1868</v>
      </c>
      <c r="V412" s="6">
        <f t="shared" si="29"/>
        <v>569.3664</v>
      </c>
      <c r="W412" t="s">
        <v>898</v>
      </c>
      <c r="X412" t="s">
        <v>2160</v>
      </c>
      <c r="Y412" s="2" t="s">
        <v>56</v>
      </c>
      <c r="AA412" t="s">
        <v>1282</v>
      </c>
      <c r="AB412" s="2">
        <v>33.6</v>
      </c>
      <c r="AC412" s="2">
        <v>13</v>
      </c>
      <c r="AF412">
        <v>51</v>
      </c>
      <c r="AG412">
        <v>12</v>
      </c>
      <c r="AJ412" s="41">
        <v>0</v>
      </c>
      <c r="AL412">
        <f t="shared" si="30"/>
        <v>0</v>
      </c>
      <c r="AM412">
        <f t="shared" si="31"/>
        <v>0</v>
      </c>
      <c r="AN412">
        <f t="shared" si="32"/>
        <v>0</v>
      </c>
    </row>
    <row r="413" spans="1:40" x14ac:dyDescent="0.2">
      <c r="A413" s="2">
        <v>52</v>
      </c>
      <c r="B413" t="s">
        <v>1042</v>
      </c>
      <c r="C413">
        <v>0.21214534342288971</v>
      </c>
      <c r="D413">
        <v>0.24474272131919861</v>
      </c>
      <c r="E413">
        <v>0.11626394838094711</v>
      </c>
      <c r="G413" t="s">
        <v>1186</v>
      </c>
      <c r="H413" s="2" t="s">
        <v>1191</v>
      </c>
      <c r="I413" s="2">
        <v>13</v>
      </c>
      <c r="J413" s="2" t="s">
        <v>1155</v>
      </c>
      <c r="K413">
        <v>2019</v>
      </c>
      <c r="L413" s="2" t="s">
        <v>691</v>
      </c>
      <c r="M413" t="s">
        <v>897</v>
      </c>
      <c r="N413">
        <v>41.5</v>
      </c>
      <c r="O413">
        <f>59.5-45</f>
        <v>14.5</v>
      </c>
      <c r="P413" s="2" t="s">
        <v>37</v>
      </c>
      <c r="R413" s="2" t="s">
        <v>89</v>
      </c>
      <c r="S413" s="4">
        <v>37.379309999999997</v>
      </c>
      <c r="T413" s="4">
        <v>-121.73188</v>
      </c>
      <c r="U413">
        <v>1868</v>
      </c>
      <c r="V413" s="6">
        <f t="shared" si="29"/>
        <v>569.3664</v>
      </c>
      <c r="W413" t="s">
        <v>898</v>
      </c>
      <c r="X413" t="s">
        <v>2160</v>
      </c>
      <c r="Y413" s="2" t="s">
        <v>561</v>
      </c>
      <c r="AA413" t="s">
        <v>1283</v>
      </c>
      <c r="AB413" s="2">
        <v>33.6</v>
      </c>
      <c r="AC413" s="2">
        <v>13</v>
      </c>
      <c r="AF413">
        <v>51</v>
      </c>
      <c r="AG413">
        <v>12</v>
      </c>
      <c r="AJ413" s="41">
        <v>0</v>
      </c>
      <c r="AL413">
        <f t="shared" si="30"/>
        <v>16.971627473831177</v>
      </c>
      <c r="AM413">
        <f t="shared" si="31"/>
        <v>19.579417705535889</v>
      </c>
      <c r="AN413">
        <f t="shared" si="32"/>
        <v>9.301115870475769</v>
      </c>
    </row>
    <row r="414" spans="1:40" x14ac:dyDescent="0.2">
      <c r="A414" s="2">
        <v>52</v>
      </c>
      <c r="B414" t="s">
        <v>1043</v>
      </c>
      <c r="C414">
        <v>0.26956358551979065</v>
      </c>
      <c r="D414">
        <v>0.49546658992767334</v>
      </c>
      <c r="E414">
        <v>0.36342477798461914</v>
      </c>
      <c r="G414" t="s">
        <v>1186</v>
      </c>
      <c r="H414" s="2" t="s">
        <v>1191</v>
      </c>
      <c r="I414" s="2">
        <v>13</v>
      </c>
      <c r="J414" s="2" t="s">
        <v>1155</v>
      </c>
      <c r="K414">
        <v>2019</v>
      </c>
      <c r="L414" s="2" t="s">
        <v>691</v>
      </c>
      <c r="M414" t="s">
        <v>897</v>
      </c>
      <c r="N414">
        <v>41.5</v>
      </c>
      <c r="O414">
        <f>43-34</f>
        <v>9</v>
      </c>
      <c r="P414" s="2" t="s">
        <v>30</v>
      </c>
      <c r="R414" s="2" t="s">
        <v>89</v>
      </c>
      <c r="S414" s="4">
        <v>37.379309999999997</v>
      </c>
      <c r="T414" s="4">
        <v>-121.73188</v>
      </c>
      <c r="U414">
        <v>1868</v>
      </c>
      <c r="V414" s="6">
        <f t="shared" si="29"/>
        <v>569.3664</v>
      </c>
      <c r="W414" t="s">
        <v>898</v>
      </c>
      <c r="X414" t="s">
        <v>2160</v>
      </c>
      <c r="Y414" s="2" t="s">
        <v>456</v>
      </c>
      <c r="Z414" t="s">
        <v>1285</v>
      </c>
      <c r="AA414" t="s">
        <v>1284</v>
      </c>
      <c r="AB414" s="2">
        <v>33.6</v>
      </c>
      <c r="AC414" s="2">
        <v>13</v>
      </c>
      <c r="AF414">
        <v>51</v>
      </c>
      <c r="AG414">
        <v>12</v>
      </c>
      <c r="AJ414" s="41">
        <v>0</v>
      </c>
      <c r="AL414">
        <f t="shared" si="30"/>
        <v>21.565086841583252</v>
      </c>
      <c r="AM414">
        <f t="shared" si="31"/>
        <v>39.637327194213867</v>
      </c>
      <c r="AN414">
        <f t="shared" si="32"/>
        <v>29.073982238769531</v>
      </c>
    </row>
    <row r="415" spans="1:40" x14ac:dyDescent="0.2">
      <c r="A415" s="2">
        <v>52</v>
      </c>
      <c r="B415" t="s">
        <v>1044</v>
      </c>
      <c r="C415">
        <v>0.12547235190868378</v>
      </c>
      <c r="D415">
        <v>0.24328514933586121</v>
      </c>
      <c r="E415">
        <v>0.13102975487709045</v>
      </c>
      <c r="G415" t="s">
        <v>1186</v>
      </c>
      <c r="H415" s="2" t="s">
        <v>1191</v>
      </c>
      <c r="I415" s="2">
        <v>13</v>
      </c>
      <c r="J415" s="2" t="s">
        <v>1155</v>
      </c>
      <c r="K415">
        <v>2019</v>
      </c>
      <c r="L415" s="2" t="s">
        <v>691</v>
      </c>
      <c r="M415" t="s">
        <v>897</v>
      </c>
      <c r="N415">
        <v>49.5</v>
      </c>
      <c r="O415">
        <f>44.5-32</f>
        <v>12.5</v>
      </c>
      <c r="P415" s="2" t="s">
        <v>30</v>
      </c>
      <c r="R415" s="2" t="s">
        <v>89</v>
      </c>
      <c r="S415" s="4">
        <v>37.379309999999997</v>
      </c>
      <c r="T415" s="4">
        <v>-121.73188</v>
      </c>
      <c r="U415">
        <v>1868</v>
      </c>
      <c r="V415" s="6">
        <f t="shared" si="29"/>
        <v>569.3664</v>
      </c>
      <c r="W415" t="s">
        <v>898</v>
      </c>
      <c r="X415" t="s">
        <v>2160</v>
      </c>
      <c r="Y415" s="2" t="s">
        <v>254</v>
      </c>
      <c r="AA415" t="s">
        <v>791</v>
      </c>
      <c r="AB415" s="2">
        <v>33.6</v>
      </c>
      <c r="AC415" s="2">
        <v>13</v>
      </c>
      <c r="AF415">
        <v>51</v>
      </c>
      <c r="AG415">
        <v>12</v>
      </c>
      <c r="AJ415" s="41">
        <v>0</v>
      </c>
      <c r="AL415">
        <f t="shared" si="30"/>
        <v>10.037788152694702</v>
      </c>
      <c r="AM415">
        <f t="shared" si="31"/>
        <v>19.462811946868896</v>
      </c>
      <c r="AN415">
        <f t="shared" si="32"/>
        <v>10.482380390167236</v>
      </c>
    </row>
    <row r="416" spans="1:40" x14ac:dyDescent="0.2">
      <c r="A416" s="2">
        <v>52</v>
      </c>
      <c r="B416" t="s">
        <v>1045</v>
      </c>
      <c r="C416">
        <v>0.24745175242424011</v>
      </c>
      <c r="D416">
        <v>0.27310168743133545</v>
      </c>
      <c r="E416">
        <v>0.29479402303695679</v>
      </c>
      <c r="G416" t="s">
        <v>1186</v>
      </c>
      <c r="H416" s="2" t="s">
        <v>1191</v>
      </c>
      <c r="I416" s="2">
        <v>13</v>
      </c>
      <c r="J416" s="2" t="s">
        <v>1155</v>
      </c>
      <c r="K416">
        <v>2019</v>
      </c>
      <c r="L416" s="2" t="s">
        <v>32</v>
      </c>
      <c r="M416" t="s">
        <v>897</v>
      </c>
      <c r="N416">
        <v>20.5</v>
      </c>
      <c r="O416">
        <v>0.5</v>
      </c>
      <c r="P416" s="2" t="s">
        <v>37</v>
      </c>
      <c r="R416" s="45" t="s">
        <v>39</v>
      </c>
      <c r="S416" s="4">
        <v>37.379309999999997</v>
      </c>
      <c r="T416" s="4">
        <v>-121.73188</v>
      </c>
      <c r="U416">
        <v>1868</v>
      </c>
      <c r="V416" s="6">
        <f t="shared" si="29"/>
        <v>569.3664</v>
      </c>
      <c r="W416" t="s">
        <v>898</v>
      </c>
      <c r="X416" t="s">
        <v>2160</v>
      </c>
      <c r="Y416" s="2" t="s">
        <v>1113</v>
      </c>
      <c r="AA416" t="s">
        <v>1286</v>
      </c>
      <c r="AB416" s="2">
        <v>33.6</v>
      </c>
      <c r="AC416" s="2">
        <v>13</v>
      </c>
      <c r="AF416">
        <v>51</v>
      </c>
      <c r="AG416">
        <v>12</v>
      </c>
      <c r="AJ416" s="41">
        <v>0</v>
      </c>
      <c r="AL416">
        <f t="shared" si="30"/>
        <v>19.796140193939209</v>
      </c>
      <c r="AM416">
        <f t="shared" si="31"/>
        <v>21.848134994506836</v>
      </c>
      <c r="AN416">
        <f t="shared" si="32"/>
        <v>23.583521842956543</v>
      </c>
    </row>
    <row r="417" spans="1:40" x14ac:dyDescent="0.2">
      <c r="A417" s="2">
        <v>52</v>
      </c>
      <c r="B417" t="s">
        <v>1046</v>
      </c>
      <c r="C417">
        <v>2.7998373508453369</v>
      </c>
      <c r="D417">
        <v>3.3854522705078125</v>
      </c>
      <c r="E417">
        <v>2.8312225341796875</v>
      </c>
      <c r="G417" t="s">
        <v>1186</v>
      </c>
      <c r="H417" s="2" t="s">
        <v>1191</v>
      </c>
      <c r="I417" s="2">
        <v>13</v>
      </c>
      <c r="J417" s="2" t="s">
        <v>1155</v>
      </c>
      <c r="K417">
        <v>2019</v>
      </c>
      <c r="L417" s="2" t="s">
        <v>691</v>
      </c>
      <c r="M417" t="s">
        <v>897</v>
      </c>
      <c r="N417">
        <v>88.5</v>
      </c>
      <c r="O417" t="s">
        <v>43</v>
      </c>
      <c r="P417" s="2" t="s">
        <v>30</v>
      </c>
      <c r="Q417" s="11"/>
      <c r="R417" s="53" t="s">
        <v>89</v>
      </c>
      <c r="S417" s="4">
        <v>37.379309999999997</v>
      </c>
      <c r="T417" s="4">
        <v>-121.73188</v>
      </c>
      <c r="U417">
        <v>1868</v>
      </c>
      <c r="V417" s="6">
        <f t="shared" si="29"/>
        <v>569.3664</v>
      </c>
      <c r="W417" t="s">
        <v>898</v>
      </c>
      <c r="X417" t="s">
        <v>2160</v>
      </c>
      <c r="Y417" s="2" t="s">
        <v>263</v>
      </c>
      <c r="Z417" t="s">
        <v>2499</v>
      </c>
      <c r="AA417" t="s">
        <v>1287</v>
      </c>
      <c r="AB417" s="2">
        <v>33.6</v>
      </c>
      <c r="AC417" s="2">
        <v>13</v>
      </c>
      <c r="AF417">
        <v>51</v>
      </c>
      <c r="AG417">
        <v>12</v>
      </c>
      <c r="AJ417" s="41">
        <v>0</v>
      </c>
      <c r="AL417">
        <f t="shared" si="30"/>
        <v>223.98698806762695</v>
      </c>
      <c r="AM417">
        <f t="shared" si="31"/>
        <v>270.836181640625</v>
      </c>
      <c r="AN417">
        <f t="shared" si="32"/>
        <v>226.497802734375</v>
      </c>
    </row>
    <row r="418" spans="1:40" x14ac:dyDescent="0.2">
      <c r="A418" s="2">
        <v>52</v>
      </c>
      <c r="B418" t="s">
        <v>1047</v>
      </c>
      <c r="C418">
        <v>7.9514071345329285E-2</v>
      </c>
      <c r="D418">
        <v>5.8975964784622192E-2</v>
      </c>
      <c r="E418">
        <v>5.4494455456733704E-2</v>
      </c>
      <c r="G418" s="9" t="s">
        <v>1186</v>
      </c>
      <c r="H418" s="2" t="s">
        <v>1191</v>
      </c>
      <c r="I418" s="2">
        <v>13</v>
      </c>
      <c r="J418" s="2" t="s">
        <v>1155</v>
      </c>
      <c r="K418">
        <v>2019</v>
      </c>
      <c r="L418" s="2" t="s">
        <v>691</v>
      </c>
      <c r="M418" t="s">
        <v>897</v>
      </c>
      <c r="N418">
        <v>44</v>
      </c>
      <c r="O418">
        <f>47.5-24</f>
        <v>23.5</v>
      </c>
      <c r="P418" s="2" t="s">
        <v>30</v>
      </c>
      <c r="Q418" s="2"/>
      <c r="R418" s="2" t="s">
        <v>89</v>
      </c>
      <c r="S418" s="4">
        <v>37.379309999999997</v>
      </c>
      <c r="T418" s="4">
        <v>-121.73188</v>
      </c>
      <c r="U418">
        <v>1868</v>
      </c>
      <c r="V418" s="6">
        <f t="shared" si="29"/>
        <v>569.3664</v>
      </c>
      <c r="W418" t="s">
        <v>898</v>
      </c>
      <c r="X418" t="s">
        <v>2160</v>
      </c>
      <c r="Y418" s="2" t="s">
        <v>263</v>
      </c>
      <c r="AA418" t="s">
        <v>1288</v>
      </c>
      <c r="AB418" s="2">
        <v>33.6</v>
      </c>
      <c r="AC418" s="2">
        <v>13</v>
      </c>
      <c r="AF418">
        <v>51</v>
      </c>
      <c r="AG418">
        <v>12</v>
      </c>
      <c r="AJ418" s="41">
        <v>0</v>
      </c>
      <c r="AL418">
        <f t="shared" si="30"/>
        <v>6.3611257076263428</v>
      </c>
      <c r="AM418">
        <f t="shared" si="31"/>
        <v>4.7180771827697754</v>
      </c>
      <c r="AN418">
        <f t="shared" si="32"/>
        <v>4.3595564365386963</v>
      </c>
    </row>
    <row r="419" spans="1:40" x14ac:dyDescent="0.2">
      <c r="A419" s="2">
        <v>52</v>
      </c>
      <c r="B419" t="s">
        <v>1048</v>
      </c>
      <c r="C419">
        <v>0</v>
      </c>
      <c r="D419">
        <v>0</v>
      </c>
      <c r="E419">
        <v>0</v>
      </c>
      <c r="G419" t="s">
        <v>1186</v>
      </c>
      <c r="H419" s="2" t="s">
        <v>1191</v>
      </c>
      <c r="I419" s="2">
        <v>13</v>
      </c>
      <c r="J419" s="2" t="s">
        <v>1155</v>
      </c>
      <c r="K419">
        <v>2019</v>
      </c>
      <c r="L419" s="2" t="s">
        <v>33</v>
      </c>
      <c r="M419" t="s">
        <v>897</v>
      </c>
      <c r="N419">
        <v>26.5</v>
      </c>
      <c r="O419">
        <f>53-49.5</f>
        <v>3.5</v>
      </c>
      <c r="P419" s="2" t="s">
        <v>30</v>
      </c>
      <c r="R419" s="2" t="s">
        <v>89</v>
      </c>
      <c r="S419" s="4">
        <v>37.379309999999997</v>
      </c>
      <c r="T419" s="4">
        <v>-121.73188</v>
      </c>
      <c r="U419">
        <v>1868</v>
      </c>
      <c r="V419" s="6">
        <f t="shared" si="29"/>
        <v>569.3664</v>
      </c>
      <c r="W419" t="s">
        <v>898</v>
      </c>
      <c r="X419" t="s">
        <v>2160</v>
      </c>
      <c r="Y419" s="2" t="s">
        <v>263</v>
      </c>
      <c r="Z419" t="s">
        <v>1290</v>
      </c>
      <c r="AA419" t="s">
        <v>1289</v>
      </c>
      <c r="AB419" s="2">
        <v>33.6</v>
      </c>
      <c r="AC419" s="2">
        <v>13</v>
      </c>
      <c r="AF419">
        <v>51</v>
      </c>
      <c r="AG419">
        <v>12</v>
      </c>
      <c r="AJ419" s="41">
        <v>0</v>
      </c>
      <c r="AL419">
        <f t="shared" si="30"/>
        <v>0</v>
      </c>
      <c r="AM419">
        <f t="shared" si="31"/>
        <v>0</v>
      </c>
      <c r="AN419">
        <f t="shared" si="32"/>
        <v>0</v>
      </c>
    </row>
    <row r="420" spans="1:40" x14ac:dyDescent="0.2">
      <c r="A420" s="2">
        <v>52</v>
      </c>
      <c r="B420" t="s">
        <v>1049</v>
      </c>
      <c r="C420">
        <v>7.4889391660690308E-2</v>
      </c>
      <c r="D420">
        <v>5.3717166185379028E-2</v>
      </c>
      <c r="E420">
        <v>2.8429381549358368E-2</v>
      </c>
      <c r="G420" t="s">
        <v>1186</v>
      </c>
      <c r="H420" s="2" t="s">
        <v>1191</v>
      </c>
      <c r="I420" s="2">
        <v>13</v>
      </c>
      <c r="J420" s="2" t="s">
        <v>1155</v>
      </c>
      <c r="K420">
        <v>2019</v>
      </c>
      <c r="L420" s="2" t="s">
        <v>691</v>
      </c>
      <c r="M420" t="s">
        <v>897</v>
      </c>
      <c r="N420">
        <v>40.5</v>
      </c>
      <c r="O420">
        <f>56.5-35.5</f>
        <v>21</v>
      </c>
      <c r="P420" s="2" t="s">
        <v>30</v>
      </c>
      <c r="R420" s="2" t="s">
        <v>89</v>
      </c>
      <c r="S420" s="4">
        <v>37.379309999999997</v>
      </c>
      <c r="T420" s="4">
        <v>-121.73188</v>
      </c>
      <c r="U420">
        <v>1868</v>
      </c>
      <c r="V420" s="6">
        <f t="shared" si="29"/>
        <v>569.3664</v>
      </c>
      <c r="W420" t="s">
        <v>898</v>
      </c>
      <c r="X420" t="s">
        <v>2160</v>
      </c>
      <c r="Y420" s="2" t="s">
        <v>357</v>
      </c>
      <c r="AA420" t="s">
        <v>1291</v>
      </c>
      <c r="AB420" s="2">
        <v>33.6</v>
      </c>
      <c r="AC420" s="2">
        <v>13</v>
      </c>
      <c r="AF420">
        <v>51</v>
      </c>
      <c r="AG420">
        <v>12</v>
      </c>
      <c r="AJ420" s="41">
        <v>0</v>
      </c>
      <c r="AL420">
        <f t="shared" si="30"/>
        <v>5.9911513328552246</v>
      </c>
      <c r="AM420">
        <f t="shared" si="31"/>
        <v>4.2973732948303223</v>
      </c>
      <c r="AN420">
        <f t="shared" si="32"/>
        <v>2.2743505239486694</v>
      </c>
    </row>
    <row r="421" spans="1:40" x14ac:dyDescent="0.2">
      <c r="A421" s="2">
        <v>52</v>
      </c>
      <c r="B421" t="s">
        <v>1050</v>
      </c>
      <c r="C421">
        <v>0</v>
      </c>
      <c r="D421">
        <v>2.960582822561264E-2</v>
      </c>
      <c r="E421">
        <v>0</v>
      </c>
      <c r="G421" t="s">
        <v>1186</v>
      </c>
      <c r="H421" s="2" t="s">
        <v>1191</v>
      </c>
      <c r="I421" s="2">
        <v>13</v>
      </c>
      <c r="J421" s="2" t="s">
        <v>1155</v>
      </c>
      <c r="K421">
        <v>2019</v>
      </c>
      <c r="L421" s="2" t="s">
        <v>691</v>
      </c>
      <c r="M421" t="s">
        <v>897</v>
      </c>
      <c r="N421">
        <v>41.5</v>
      </c>
      <c r="O421">
        <f>43.5-33</f>
        <v>10.5</v>
      </c>
      <c r="P421" s="2" t="s">
        <v>37</v>
      </c>
      <c r="R421" s="2" t="s">
        <v>89</v>
      </c>
      <c r="S421" s="4">
        <v>37.379309999999997</v>
      </c>
      <c r="T421" s="4">
        <v>-121.73188</v>
      </c>
      <c r="U421">
        <v>1868</v>
      </c>
      <c r="V421" s="6">
        <f t="shared" si="29"/>
        <v>569.3664</v>
      </c>
      <c r="W421" t="s">
        <v>898</v>
      </c>
      <c r="X421" t="s">
        <v>2160</v>
      </c>
      <c r="Y421" s="2" t="s">
        <v>1114</v>
      </c>
      <c r="Z421" t="s">
        <v>1293</v>
      </c>
      <c r="AA421" t="s">
        <v>1292</v>
      </c>
      <c r="AB421" s="2">
        <v>33.6</v>
      </c>
      <c r="AC421" s="2">
        <v>13</v>
      </c>
      <c r="AF421">
        <v>51</v>
      </c>
      <c r="AG421">
        <v>12</v>
      </c>
      <c r="AJ421" s="41">
        <v>0</v>
      </c>
      <c r="AL421">
        <f t="shared" si="30"/>
        <v>0</v>
      </c>
      <c r="AM421">
        <f t="shared" si="31"/>
        <v>2.3684662580490112</v>
      </c>
      <c r="AN421">
        <f t="shared" si="32"/>
        <v>0</v>
      </c>
    </row>
    <row r="422" spans="1:40" x14ac:dyDescent="0.2">
      <c r="A422" s="2">
        <v>52</v>
      </c>
      <c r="B422" t="s">
        <v>1051</v>
      </c>
      <c r="C422">
        <v>0.68736451864242554</v>
      </c>
      <c r="D422">
        <v>0.51032084226608276</v>
      </c>
      <c r="E422">
        <v>0.44071352481842041</v>
      </c>
      <c r="G422" t="s">
        <v>1186</v>
      </c>
      <c r="H422" s="2" t="s">
        <v>1191</v>
      </c>
      <c r="I422" s="2">
        <v>13</v>
      </c>
      <c r="J422" s="2" t="s">
        <v>1155</v>
      </c>
      <c r="K422">
        <v>2019</v>
      </c>
      <c r="L422" s="2" t="s">
        <v>691</v>
      </c>
      <c r="M422" t="s">
        <v>897</v>
      </c>
      <c r="N422">
        <v>44</v>
      </c>
      <c r="O422">
        <f>60.5-49.5</f>
        <v>11</v>
      </c>
      <c r="P422" s="2" t="s">
        <v>37</v>
      </c>
      <c r="R422" s="2" t="s">
        <v>89</v>
      </c>
      <c r="S422" s="4">
        <v>37.379309999999997</v>
      </c>
      <c r="T422" s="4">
        <v>-121.73188</v>
      </c>
      <c r="U422">
        <v>1868</v>
      </c>
      <c r="V422" s="6">
        <f t="shared" si="29"/>
        <v>569.3664</v>
      </c>
      <c r="W422" t="s">
        <v>898</v>
      </c>
      <c r="X422" t="s">
        <v>2160</v>
      </c>
      <c r="Y422" s="2" t="s">
        <v>750</v>
      </c>
      <c r="AA422" t="s">
        <v>1294</v>
      </c>
      <c r="AB422" s="2">
        <v>33.6</v>
      </c>
      <c r="AC422" s="2">
        <v>13</v>
      </c>
      <c r="AF422">
        <v>51</v>
      </c>
      <c r="AG422">
        <v>12</v>
      </c>
      <c r="AJ422" s="41">
        <v>0</v>
      </c>
      <c r="AL422">
        <f t="shared" si="30"/>
        <v>54.989161491394043</v>
      </c>
      <c r="AM422">
        <f t="shared" si="31"/>
        <v>40.825667381286621</v>
      </c>
      <c r="AN422">
        <f t="shared" si="32"/>
        <v>35.257081985473633</v>
      </c>
    </row>
    <row r="423" spans="1:40" x14ac:dyDescent="0.2">
      <c r="A423" s="2">
        <v>52</v>
      </c>
      <c r="B423" t="s">
        <v>1052</v>
      </c>
      <c r="C423">
        <v>9.4267971813678741E-2</v>
      </c>
      <c r="D423">
        <v>0</v>
      </c>
      <c r="E423">
        <v>0</v>
      </c>
      <c r="G423" t="s">
        <v>1186</v>
      </c>
      <c r="H423" s="2" t="s">
        <v>1191</v>
      </c>
      <c r="I423" s="2">
        <v>13</v>
      </c>
      <c r="J423" s="2" t="s">
        <v>1155</v>
      </c>
      <c r="K423">
        <v>2019</v>
      </c>
      <c r="L423" s="2" t="s">
        <v>691</v>
      </c>
      <c r="M423" t="s">
        <v>897</v>
      </c>
      <c r="N423">
        <v>45</v>
      </c>
      <c r="O423">
        <f>96-86</f>
        <v>10</v>
      </c>
      <c r="P423" s="2" t="s">
        <v>30</v>
      </c>
      <c r="R423" s="2" t="s">
        <v>89</v>
      </c>
      <c r="S423" s="4">
        <v>37.379309999999997</v>
      </c>
      <c r="T423" s="4">
        <v>-121.73188</v>
      </c>
      <c r="U423">
        <v>1868</v>
      </c>
      <c r="V423" s="6">
        <f t="shared" si="29"/>
        <v>569.3664</v>
      </c>
      <c r="W423" t="s">
        <v>898</v>
      </c>
      <c r="X423" t="s">
        <v>2160</v>
      </c>
      <c r="Y423" s="2" t="s">
        <v>1115</v>
      </c>
      <c r="AA423" t="s">
        <v>1295</v>
      </c>
      <c r="AB423" s="2">
        <v>33.6</v>
      </c>
      <c r="AC423" s="2">
        <v>13</v>
      </c>
      <c r="AF423">
        <v>51</v>
      </c>
      <c r="AG423">
        <v>12</v>
      </c>
      <c r="AJ423" s="41">
        <v>0</v>
      </c>
      <c r="AL423">
        <f t="shared" si="30"/>
        <v>7.5414377450942993</v>
      </c>
      <c r="AM423">
        <f t="shared" si="31"/>
        <v>0</v>
      </c>
      <c r="AN423">
        <f t="shared" si="32"/>
        <v>0</v>
      </c>
    </row>
    <row r="424" spans="1:40" x14ac:dyDescent="0.2">
      <c r="A424" s="2">
        <v>52</v>
      </c>
      <c r="B424" t="s">
        <v>1053</v>
      </c>
      <c r="C424">
        <v>0</v>
      </c>
      <c r="D424">
        <v>0</v>
      </c>
      <c r="E424">
        <v>0</v>
      </c>
      <c r="G424" t="s">
        <v>1186</v>
      </c>
      <c r="H424" s="2" t="s">
        <v>1191</v>
      </c>
      <c r="I424" s="2">
        <v>13</v>
      </c>
      <c r="J424" s="2" t="s">
        <v>1155</v>
      </c>
      <c r="K424">
        <v>2019</v>
      </c>
      <c r="L424" s="2" t="s">
        <v>691</v>
      </c>
      <c r="M424" t="s">
        <v>897</v>
      </c>
      <c r="N424">
        <v>41.5</v>
      </c>
      <c r="O424">
        <f>52-41</f>
        <v>11</v>
      </c>
      <c r="P424" s="2" t="s">
        <v>37</v>
      </c>
      <c r="R424" s="2" t="s">
        <v>89</v>
      </c>
      <c r="S424" s="4">
        <v>37.379309999999997</v>
      </c>
      <c r="T424" s="4">
        <v>-121.73188</v>
      </c>
      <c r="U424">
        <v>1868</v>
      </c>
      <c r="V424" s="6">
        <f t="shared" si="29"/>
        <v>569.3664</v>
      </c>
      <c r="W424" t="s">
        <v>898</v>
      </c>
      <c r="X424" t="s">
        <v>2160</v>
      </c>
      <c r="Y424" s="2" t="s">
        <v>752</v>
      </c>
      <c r="AA424" t="s">
        <v>797</v>
      </c>
      <c r="AB424" s="2">
        <v>33.6</v>
      </c>
      <c r="AC424" s="2">
        <v>13</v>
      </c>
      <c r="AF424">
        <v>51</v>
      </c>
      <c r="AG424">
        <v>12</v>
      </c>
      <c r="AJ424" s="41">
        <v>0</v>
      </c>
      <c r="AL424">
        <f t="shared" si="30"/>
        <v>0</v>
      </c>
      <c r="AM424">
        <f t="shared" si="31"/>
        <v>0</v>
      </c>
      <c r="AN424">
        <f t="shared" si="32"/>
        <v>0</v>
      </c>
    </row>
    <row r="425" spans="1:40" x14ac:dyDescent="0.2">
      <c r="A425" s="2">
        <v>52</v>
      </c>
      <c r="B425" t="s">
        <v>1054</v>
      </c>
      <c r="C425">
        <v>0.16536390781402588</v>
      </c>
      <c r="D425">
        <v>0.39998519420623779</v>
      </c>
      <c r="E425">
        <v>0.13298873603343964</v>
      </c>
      <c r="G425" t="s">
        <v>1186</v>
      </c>
      <c r="H425" s="2" t="s">
        <v>1191</v>
      </c>
      <c r="I425" s="2">
        <v>13</v>
      </c>
      <c r="J425" s="2" t="s">
        <v>1155</v>
      </c>
      <c r="K425">
        <v>2019</v>
      </c>
      <c r="L425" s="2" t="s">
        <v>691</v>
      </c>
      <c r="M425" t="s">
        <v>897</v>
      </c>
      <c r="N425">
        <v>46.5</v>
      </c>
      <c r="O425">
        <f>34-18.5</f>
        <v>15.5</v>
      </c>
      <c r="P425" s="2" t="s">
        <v>37</v>
      </c>
      <c r="R425" s="2" t="s">
        <v>89</v>
      </c>
      <c r="S425" s="4">
        <v>37.379309999999997</v>
      </c>
      <c r="T425" s="4">
        <v>-121.73188</v>
      </c>
      <c r="U425">
        <v>1868</v>
      </c>
      <c r="V425" s="6">
        <f t="shared" si="29"/>
        <v>569.3664</v>
      </c>
      <c r="W425" t="s">
        <v>898</v>
      </c>
      <c r="X425" t="s">
        <v>2160</v>
      </c>
      <c r="Y425" s="2" t="s">
        <v>1111</v>
      </c>
      <c r="AB425" s="2">
        <v>33.6</v>
      </c>
      <c r="AC425" s="2">
        <v>13</v>
      </c>
      <c r="AF425">
        <v>51</v>
      </c>
      <c r="AG425">
        <v>12</v>
      </c>
      <c r="AJ425" s="41">
        <v>0</v>
      </c>
      <c r="AL425">
        <f t="shared" si="30"/>
        <v>13.22911262512207</v>
      </c>
      <c r="AM425">
        <f t="shared" si="31"/>
        <v>31.998815536499023</v>
      </c>
      <c r="AN425">
        <f t="shared" si="32"/>
        <v>10.639098882675171</v>
      </c>
    </row>
    <row r="426" spans="1:40" x14ac:dyDescent="0.2">
      <c r="A426" s="2">
        <v>52</v>
      </c>
      <c r="B426" t="s">
        <v>1055</v>
      </c>
      <c r="C426">
        <v>0.22057536244392395</v>
      </c>
      <c r="D426">
        <v>0.22682110965251923</v>
      </c>
      <c r="E426">
        <v>0.1838032454252243</v>
      </c>
      <c r="G426" t="s">
        <v>1186</v>
      </c>
      <c r="H426" s="2" t="s">
        <v>1191</v>
      </c>
      <c r="I426" s="2">
        <v>13</v>
      </c>
      <c r="J426" s="2" t="s">
        <v>1155</v>
      </c>
      <c r="K426">
        <v>2019</v>
      </c>
      <c r="L426" s="2" t="s">
        <v>691</v>
      </c>
      <c r="M426" t="s">
        <v>897</v>
      </c>
      <c r="N426">
        <v>50</v>
      </c>
      <c r="O426">
        <f>81.5-63</f>
        <v>18.5</v>
      </c>
      <c r="P426" s="2" t="s">
        <v>30</v>
      </c>
      <c r="R426" s="2" t="s">
        <v>89</v>
      </c>
      <c r="S426" s="4">
        <v>37.379309999999997</v>
      </c>
      <c r="T426" s="4">
        <v>-121.73188</v>
      </c>
      <c r="U426">
        <v>1868</v>
      </c>
      <c r="V426" s="6">
        <f t="shared" si="29"/>
        <v>569.3664</v>
      </c>
      <c r="W426" t="s">
        <v>898</v>
      </c>
      <c r="X426" t="s">
        <v>2160</v>
      </c>
      <c r="Y426" s="2" t="s">
        <v>307</v>
      </c>
      <c r="AB426" s="2">
        <v>33.6</v>
      </c>
      <c r="AC426" s="2">
        <v>13</v>
      </c>
      <c r="AF426">
        <v>51</v>
      </c>
      <c r="AG426">
        <v>12</v>
      </c>
      <c r="AJ426" s="41">
        <v>0</v>
      </c>
      <c r="AL426">
        <f t="shared" si="30"/>
        <v>17.646028995513916</v>
      </c>
      <c r="AM426">
        <f t="shared" si="31"/>
        <v>18.145688772201538</v>
      </c>
      <c r="AN426">
        <f t="shared" si="32"/>
        <v>14.704259634017944</v>
      </c>
    </row>
    <row r="427" spans="1:40" x14ac:dyDescent="0.2">
      <c r="A427" s="2">
        <v>52</v>
      </c>
      <c r="B427" t="s">
        <v>1056</v>
      </c>
      <c r="C427">
        <v>1.068234920501709</v>
      </c>
      <c r="D427">
        <v>1.5917084217071533</v>
      </c>
      <c r="E427">
        <v>1.2535866498947144</v>
      </c>
      <c r="G427" s="9" t="s">
        <v>1186</v>
      </c>
      <c r="H427" s="2" t="s">
        <v>1191</v>
      </c>
      <c r="I427" s="2">
        <v>13</v>
      </c>
      <c r="J427" s="2" t="s">
        <v>1155</v>
      </c>
      <c r="K427">
        <v>2019</v>
      </c>
      <c r="L427" s="2" t="s">
        <v>691</v>
      </c>
      <c r="M427" t="s">
        <v>897</v>
      </c>
      <c r="N427">
        <v>52</v>
      </c>
      <c r="O427">
        <f>60-47.5</f>
        <v>12.5</v>
      </c>
      <c r="P427" s="2" t="s">
        <v>37</v>
      </c>
      <c r="R427" s="2" t="s">
        <v>89</v>
      </c>
      <c r="S427" s="4">
        <v>37.379309999999997</v>
      </c>
      <c r="T427" s="4">
        <v>-121.73188</v>
      </c>
      <c r="U427">
        <v>1868</v>
      </c>
      <c r="V427" s="6">
        <f t="shared" si="29"/>
        <v>569.3664</v>
      </c>
      <c r="W427" t="s">
        <v>898</v>
      </c>
      <c r="X427" t="s">
        <v>2160</v>
      </c>
      <c r="Y427" s="2" t="s">
        <v>754</v>
      </c>
      <c r="AA427" t="s">
        <v>1296</v>
      </c>
      <c r="AB427" s="2">
        <v>33.6</v>
      </c>
      <c r="AC427" s="2">
        <v>13</v>
      </c>
      <c r="AF427">
        <v>51</v>
      </c>
      <c r="AG427">
        <v>12</v>
      </c>
      <c r="AJ427" s="41">
        <v>0</v>
      </c>
      <c r="AL427">
        <f t="shared" si="30"/>
        <v>85.458793640136719</v>
      </c>
      <c r="AM427">
        <f t="shared" si="31"/>
        <v>127.33667373657227</v>
      </c>
      <c r="AN427">
        <f t="shared" si="32"/>
        <v>100.28693199157715</v>
      </c>
    </row>
    <row r="428" spans="1:40" x14ac:dyDescent="0.2">
      <c r="A428" s="2">
        <v>52</v>
      </c>
      <c r="B428" t="s">
        <v>1057</v>
      </c>
      <c r="C428" s="2">
        <v>0.99820810556411743</v>
      </c>
      <c r="D428" s="2">
        <v>1.051592230796814</v>
      </c>
      <c r="E428">
        <v>1.2353368997573853</v>
      </c>
      <c r="G428" s="9" t="s">
        <v>1186</v>
      </c>
      <c r="H428" s="2" t="s">
        <v>1191</v>
      </c>
      <c r="I428" s="2">
        <v>13</v>
      </c>
      <c r="J428" s="2" t="s">
        <v>1155</v>
      </c>
      <c r="K428">
        <v>2019</v>
      </c>
      <c r="L428" s="2" t="s">
        <v>691</v>
      </c>
      <c r="M428" t="s">
        <v>897</v>
      </c>
      <c r="N428">
        <v>44.5</v>
      </c>
      <c r="O428">
        <v>10</v>
      </c>
      <c r="P428" s="2" t="s">
        <v>37</v>
      </c>
      <c r="R428" s="2" t="s">
        <v>89</v>
      </c>
      <c r="S428" s="4">
        <v>37.379309999999997</v>
      </c>
      <c r="T428" s="4">
        <v>-121.73188</v>
      </c>
      <c r="U428">
        <v>1868</v>
      </c>
      <c r="V428" s="6">
        <f t="shared" ref="V428:V491" si="33">U428*0.3048</f>
        <v>569.3664</v>
      </c>
      <c r="W428" t="s">
        <v>898</v>
      </c>
      <c r="X428" t="s">
        <v>2160</v>
      </c>
      <c r="Y428" s="2" t="s">
        <v>754</v>
      </c>
      <c r="Z428" t="s">
        <v>1298</v>
      </c>
      <c r="AA428" t="s">
        <v>1297</v>
      </c>
      <c r="AB428" s="2">
        <v>33.6</v>
      </c>
      <c r="AC428" s="2">
        <v>13</v>
      </c>
      <c r="AF428">
        <v>51</v>
      </c>
      <c r="AG428">
        <v>12</v>
      </c>
      <c r="AJ428" s="41">
        <v>0</v>
      </c>
      <c r="AL428">
        <f t="shared" si="30"/>
        <v>79.856648445129395</v>
      </c>
      <c r="AM428">
        <f t="shared" si="31"/>
        <v>84.127378463745117</v>
      </c>
      <c r="AN428">
        <f t="shared" si="32"/>
        <v>98.82695198059082</v>
      </c>
    </row>
    <row r="429" spans="1:40" s="11" customFormat="1" x14ac:dyDescent="0.2">
      <c r="A429" s="11">
        <v>52</v>
      </c>
      <c r="B429" s="11" t="s">
        <v>1058</v>
      </c>
      <c r="G429" s="11" t="s">
        <v>1191</v>
      </c>
      <c r="H429" s="11" t="s">
        <v>1191</v>
      </c>
      <c r="I429" s="11">
        <v>13</v>
      </c>
      <c r="J429" s="11" t="s">
        <v>1155</v>
      </c>
      <c r="K429" s="11">
        <v>2019</v>
      </c>
      <c r="L429" s="11" t="s">
        <v>691</v>
      </c>
      <c r="M429" s="11" t="s">
        <v>897</v>
      </c>
      <c r="S429" s="4">
        <v>37.379309999999997</v>
      </c>
      <c r="T429" s="4">
        <v>-121.73188</v>
      </c>
      <c r="U429">
        <v>1868</v>
      </c>
      <c r="V429" s="6">
        <f t="shared" si="33"/>
        <v>569.3664</v>
      </c>
      <c r="W429" t="s">
        <v>898</v>
      </c>
      <c r="X429" t="s">
        <v>2160</v>
      </c>
      <c r="Y429" s="11" t="s">
        <v>1116</v>
      </c>
      <c r="Z429" s="11" t="s">
        <v>1299</v>
      </c>
      <c r="AB429" s="2">
        <v>33.6</v>
      </c>
      <c r="AC429" s="2">
        <v>13</v>
      </c>
      <c r="AF429">
        <v>51</v>
      </c>
      <c r="AG429">
        <v>12</v>
      </c>
      <c r="AJ429" s="41">
        <v>0</v>
      </c>
      <c r="AL429">
        <f t="shared" si="30"/>
        <v>0</v>
      </c>
      <c r="AM429">
        <f t="shared" si="31"/>
        <v>0</v>
      </c>
      <c r="AN429">
        <f t="shared" si="32"/>
        <v>0</v>
      </c>
    </row>
    <row r="430" spans="1:40" x14ac:dyDescent="0.2">
      <c r="A430" s="2">
        <v>52</v>
      </c>
      <c r="B430" t="s">
        <v>1059</v>
      </c>
      <c r="C430">
        <v>0</v>
      </c>
      <c r="D430">
        <v>0</v>
      </c>
      <c r="E430">
        <v>0</v>
      </c>
      <c r="G430" t="s">
        <v>1186</v>
      </c>
      <c r="H430" s="2" t="s">
        <v>1191</v>
      </c>
      <c r="I430" s="2">
        <v>13</v>
      </c>
      <c r="J430" s="2" t="s">
        <v>1155</v>
      </c>
      <c r="K430">
        <v>2019</v>
      </c>
      <c r="L430" s="2" t="s">
        <v>691</v>
      </c>
      <c r="M430" t="s">
        <v>897</v>
      </c>
      <c r="N430">
        <v>43</v>
      </c>
      <c r="O430">
        <f>88-73.5</f>
        <v>14.5</v>
      </c>
      <c r="P430" s="2" t="s">
        <v>30</v>
      </c>
      <c r="R430" s="2" t="s">
        <v>89</v>
      </c>
      <c r="S430" s="4">
        <v>37.379309999999997</v>
      </c>
      <c r="T430" s="4">
        <v>-121.73188</v>
      </c>
      <c r="U430">
        <v>1868</v>
      </c>
      <c r="V430" s="6">
        <f t="shared" si="33"/>
        <v>569.3664</v>
      </c>
      <c r="W430" t="s">
        <v>898</v>
      </c>
      <c r="X430" t="s">
        <v>2160</v>
      </c>
      <c r="Y430" s="2" t="s">
        <v>816</v>
      </c>
      <c r="Z430" t="s">
        <v>1300</v>
      </c>
      <c r="AA430" t="s">
        <v>1301</v>
      </c>
      <c r="AB430" s="2">
        <v>33.6</v>
      </c>
      <c r="AC430" s="2">
        <v>13</v>
      </c>
      <c r="AF430">
        <v>51</v>
      </c>
      <c r="AG430">
        <v>12</v>
      </c>
      <c r="AJ430" s="41">
        <v>0</v>
      </c>
      <c r="AL430">
        <f t="shared" si="30"/>
        <v>0</v>
      </c>
      <c r="AM430">
        <f t="shared" si="31"/>
        <v>0</v>
      </c>
      <c r="AN430">
        <f t="shared" si="32"/>
        <v>0</v>
      </c>
    </row>
    <row r="431" spans="1:40" x14ac:dyDescent="0.2">
      <c r="A431" s="2">
        <v>52</v>
      </c>
      <c r="B431" t="s">
        <v>1060</v>
      </c>
      <c r="C431">
        <v>0.41026818752288818</v>
      </c>
      <c r="D431">
        <v>0.63249737024307251</v>
      </c>
      <c r="E431">
        <v>0.67421972751617432</v>
      </c>
      <c r="G431" t="s">
        <v>1186</v>
      </c>
      <c r="H431" s="2" t="s">
        <v>1191</v>
      </c>
      <c r="I431" s="2">
        <v>13</v>
      </c>
      <c r="J431" s="2" t="s">
        <v>1155</v>
      </c>
      <c r="K431">
        <v>2019</v>
      </c>
      <c r="L431" s="2" t="s">
        <v>691</v>
      </c>
      <c r="M431" t="s">
        <v>897</v>
      </c>
      <c r="N431">
        <v>48.5</v>
      </c>
      <c r="O431">
        <f>43-30</f>
        <v>13</v>
      </c>
      <c r="P431" s="2" t="s">
        <v>30</v>
      </c>
      <c r="R431" s="2" t="s">
        <v>89</v>
      </c>
      <c r="S431" s="4">
        <v>37.379309999999997</v>
      </c>
      <c r="T431" s="4">
        <v>-121.73188</v>
      </c>
      <c r="U431">
        <v>1868</v>
      </c>
      <c r="V431" s="6">
        <f t="shared" si="33"/>
        <v>569.3664</v>
      </c>
      <c r="W431" t="s">
        <v>898</v>
      </c>
      <c r="X431" t="s">
        <v>2160</v>
      </c>
      <c r="Y431" s="2" t="s">
        <v>816</v>
      </c>
      <c r="AA431" t="s">
        <v>1302</v>
      </c>
      <c r="AB431" s="2">
        <v>33.6</v>
      </c>
      <c r="AC431" s="2">
        <v>13</v>
      </c>
      <c r="AF431">
        <v>51</v>
      </c>
      <c r="AG431">
        <v>12</v>
      </c>
      <c r="AJ431" s="41">
        <v>0</v>
      </c>
      <c r="AL431">
        <f t="shared" si="30"/>
        <v>32.821455001831055</v>
      </c>
      <c r="AM431">
        <f t="shared" si="31"/>
        <v>50.599789619445801</v>
      </c>
      <c r="AN431">
        <f t="shared" si="32"/>
        <v>53.937578201293945</v>
      </c>
    </row>
    <row r="432" spans="1:40" x14ac:dyDescent="0.2">
      <c r="A432" s="2">
        <v>52</v>
      </c>
      <c r="B432" t="s">
        <v>1061</v>
      </c>
      <c r="C432">
        <v>0</v>
      </c>
      <c r="D432">
        <v>2.5594158098101616E-2</v>
      </c>
      <c r="E432">
        <v>0</v>
      </c>
      <c r="G432" s="9" t="s">
        <v>1186</v>
      </c>
      <c r="H432" s="2" t="s">
        <v>1191</v>
      </c>
      <c r="I432" s="2">
        <v>13</v>
      </c>
      <c r="J432" s="2" t="s">
        <v>1155</v>
      </c>
      <c r="K432">
        <v>2019</v>
      </c>
      <c r="L432" s="2" t="s">
        <v>33</v>
      </c>
      <c r="M432" t="s">
        <v>897</v>
      </c>
      <c r="N432">
        <v>25</v>
      </c>
      <c r="O432">
        <f>26.5-25</f>
        <v>1.5</v>
      </c>
      <c r="P432" s="2" t="s">
        <v>37</v>
      </c>
      <c r="R432" s="2" t="s">
        <v>89</v>
      </c>
      <c r="S432" s="4">
        <v>37.379309999999997</v>
      </c>
      <c r="T432" s="4">
        <v>-121.73188</v>
      </c>
      <c r="U432">
        <v>1868</v>
      </c>
      <c r="V432" s="6">
        <f t="shared" si="33"/>
        <v>569.3664</v>
      </c>
      <c r="W432" t="s">
        <v>898</v>
      </c>
      <c r="X432" t="s">
        <v>2160</v>
      </c>
      <c r="Y432" s="2" t="s">
        <v>597</v>
      </c>
      <c r="Z432" t="s">
        <v>1304</v>
      </c>
      <c r="AA432" t="s">
        <v>1303</v>
      </c>
      <c r="AB432" s="2">
        <v>33.6</v>
      </c>
      <c r="AC432" s="2">
        <v>13</v>
      </c>
      <c r="AF432">
        <v>51</v>
      </c>
      <c r="AG432">
        <v>12</v>
      </c>
      <c r="AJ432" s="41">
        <v>0</v>
      </c>
      <c r="AL432">
        <f t="shared" si="30"/>
        <v>0</v>
      </c>
      <c r="AM432">
        <f t="shared" si="31"/>
        <v>2.0475326478481293</v>
      </c>
      <c r="AN432">
        <f t="shared" si="32"/>
        <v>0</v>
      </c>
    </row>
    <row r="433" spans="1:40" x14ac:dyDescent="0.2">
      <c r="A433" s="2">
        <v>52</v>
      </c>
      <c r="B433" t="s">
        <v>1062</v>
      </c>
      <c r="C433">
        <v>2.0286324024200439</v>
      </c>
      <c r="D433">
        <v>1.9450885057449341</v>
      </c>
      <c r="E433">
        <v>1.9093061685562134</v>
      </c>
      <c r="G433" t="s">
        <v>1186</v>
      </c>
      <c r="H433" s="2" t="s">
        <v>1191</v>
      </c>
      <c r="I433" s="2">
        <v>13</v>
      </c>
      <c r="J433" s="2" t="s">
        <v>1155</v>
      </c>
      <c r="K433">
        <v>2019</v>
      </c>
      <c r="L433" s="2" t="s">
        <v>691</v>
      </c>
      <c r="M433" t="s">
        <v>897</v>
      </c>
      <c r="N433">
        <v>43.5</v>
      </c>
      <c r="O433">
        <f>41.5-31.5</f>
        <v>10</v>
      </c>
      <c r="P433" s="2" t="s">
        <v>37</v>
      </c>
      <c r="R433" s="2" t="s">
        <v>89</v>
      </c>
      <c r="S433" s="4">
        <v>37.379309999999997</v>
      </c>
      <c r="T433" s="4">
        <v>-121.73188</v>
      </c>
      <c r="U433">
        <v>1868</v>
      </c>
      <c r="V433" s="6">
        <f t="shared" si="33"/>
        <v>569.3664</v>
      </c>
      <c r="W433" t="s">
        <v>898</v>
      </c>
      <c r="X433" t="s">
        <v>2160</v>
      </c>
      <c r="Y433" s="2" t="s">
        <v>805</v>
      </c>
      <c r="AB433" s="2">
        <v>33.6</v>
      </c>
      <c r="AC433" s="2">
        <v>13</v>
      </c>
      <c r="AF433">
        <v>51</v>
      </c>
      <c r="AG433">
        <v>12</v>
      </c>
      <c r="AJ433" s="41">
        <v>0</v>
      </c>
      <c r="AL433">
        <f t="shared" si="30"/>
        <v>162.29059219360352</v>
      </c>
      <c r="AM433">
        <f t="shared" si="31"/>
        <v>155.60708045959473</v>
      </c>
      <c r="AN433">
        <f t="shared" si="32"/>
        <v>152.74449348449707</v>
      </c>
    </row>
    <row r="434" spans="1:40" x14ac:dyDescent="0.2">
      <c r="A434" s="2">
        <v>52</v>
      </c>
      <c r="B434" t="s">
        <v>1063</v>
      </c>
      <c r="C434">
        <v>0.76777172088623047</v>
      </c>
      <c r="D434">
        <v>1.0121992826461792</v>
      </c>
      <c r="E434">
        <v>0.65976345539093018</v>
      </c>
      <c r="G434" t="s">
        <v>1186</v>
      </c>
      <c r="H434" s="2" t="s">
        <v>1191</v>
      </c>
      <c r="I434" s="2">
        <v>13</v>
      </c>
      <c r="J434" s="2" t="s">
        <v>1155</v>
      </c>
      <c r="K434">
        <v>2019</v>
      </c>
      <c r="L434" s="2" t="s">
        <v>691</v>
      </c>
      <c r="M434" t="s">
        <v>897</v>
      </c>
      <c r="N434">
        <v>41</v>
      </c>
      <c r="O434">
        <f>50-44</f>
        <v>6</v>
      </c>
      <c r="P434" s="2" t="s">
        <v>37</v>
      </c>
      <c r="R434" s="2" t="s">
        <v>89</v>
      </c>
      <c r="S434" s="4">
        <v>37.379309999999997</v>
      </c>
      <c r="T434" s="4">
        <v>-121.73188</v>
      </c>
      <c r="U434">
        <v>1868</v>
      </c>
      <c r="V434" s="6">
        <f t="shared" si="33"/>
        <v>569.3664</v>
      </c>
      <c r="W434" t="s">
        <v>898</v>
      </c>
      <c r="X434" t="s">
        <v>2160</v>
      </c>
      <c r="Y434" s="2" t="s">
        <v>73</v>
      </c>
      <c r="Z434" t="s">
        <v>1305</v>
      </c>
      <c r="AB434" s="2">
        <v>33.6</v>
      </c>
      <c r="AC434" s="2">
        <v>13</v>
      </c>
      <c r="AF434">
        <v>51</v>
      </c>
      <c r="AG434">
        <v>12</v>
      </c>
      <c r="AJ434" s="41">
        <v>0</v>
      </c>
      <c r="AL434">
        <f t="shared" si="30"/>
        <v>61.421737670898438</v>
      </c>
      <c r="AM434">
        <f t="shared" si="31"/>
        <v>80.975942611694336</v>
      </c>
      <c r="AN434">
        <f t="shared" si="32"/>
        <v>52.781076431274414</v>
      </c>
    </row>
    <row r="435" spans="1:40" x14ac:dyDescent="0.2">
      <c r="A435" s="2">
        <v>52</v>
      </c>
      <c r="B435" t="s">
        <v>1064</v>
      </c>
      <c r="C435">
        <v>0</v>
      </c>
      <c r="D435">
        <v>0</v>
      </c>
      <c r="E435">
        <v>0</v>
      </c>
      <c r="G435" t="s">
        <v>1186</v>
      </c>
      <c r="H435" s="2" t="s">
        <v>1191</v>
      </c>
      <c r="I435" s="2">
        <v>13</v>
      </c>
      <c r="J435" s="2" t="s">
        <v>1155</v>
      </c>
      <c r="K435">
        <v>2019</v>
      </c>
      <c r="L435" s="2" t="s">
        <v>691</v>
      </c>
      <c r="M435" t="s">
        <v>897</v>
      </c>
      <c r="N435">
        <v>51</v>
      </c>
      <c r="O435">
        <f>65.5-50</f>
        <v>15.5</v>
      </c>
      <c r="P435" s="2" t="s">
        <v>37</v>
      </c>
      <c r="R435" s="2" t="s">
        <v>89</v>
      </c>
      <c r="S435" s="4">
        <v>37.379309999999997</v>
      </c>
      <c r="T435" s="4">
        <v>-121.73188</v>
      </c>
      <c r="U435">
        <v>1868</v>
      </c>
      <c r="V435" s="6">
        <f t="shared" si="33"/>
        <v>569.3664</v>
      </c>
      <c r="W435" t="s">
        <v>898</v>
      </c>
      <c r="X435" t="s">
        <v>2160</v>
      </c>
      <c r="Y435" s="2" t="s">
        <v>101</v>
      </c>
      <c r="AB435" s="2">
        <v>33.6</v>
      </c>
      <c r="AC435" s="2">
        <v>13</v>
      </c>
      <c r="AF435">
        <v>51</v>
      </c>
      <c r="AG435">
        <v>12</v>
      </c>
      <c r="AJ435" s="41">
        <v>0</v>
      </c>
      <c r="AL435">
        <f t="shared" si="30"/>
        <v>0</v>
      </c>
      <c r="AM435">
        <f t="shared" si="31"/>
        <v>0</v>
      </c>
      <c r="AN435">
        <f t="shared" si="32"/>
        <v>0</v>
      </c>
    </row>
    <row r="436" spans="1:40" s="11" customFormat="1" x14ac:dyDescent="0.2">
      <c r="A436" s="11">
        <v>52</v>
      </c>
      <c r="B436" s="11" t="s">
        <v>1065</v>
      </c>
      <c r="G436" s="11" t="s">
        <v>1191</v>
      </c>
      <c r="H436" s="11" t="s">
        <v>1191</v>
      </c>
      <c r="I436" s="11">
        <v>13</v>
      </c>
      <c r="J436" s="11" t="s">
        <v>1155</v>
      </c>
      <c r="K436" s="11">
        <v>2019</v>
      </c>
      <c r="L436" s="11" t="s">
        <v>691</v>
      </c>
      <c r="M436" s="11" t="s">
        <v>897</v>
      </c>
      <c r="S436" s="4">
        <v>37.379309999999997</v>
      </c>
      <c r="T436" s="4">
        <v>-121.73188</v>
      </c>
      <c r="U436">
        <v>1868</v>
      </c>
      <c r="V436" s="6">
        <f t="shared" si="33"/>
        <v>569.3664</v>
      </c>
      <c r="W436" t="s">
        <v>898</v>
      </c>
      <c r="X436" t="s">
        <v>2160</v>
      </c>
      <c r="Y436" s="11" t="s">
        <v>101</v>
      </c>
      <c r="Z436" s="11" t="s">
        <v>1299</v>
      </c>
      <c r="AB436" s="2">
        <v>33.6</v>
      </c>
      <c r="AC436" s="2">
        <v>13</v>
      </c>
      <c r="AF436">
        <v>51</v>
      </c>
      <c r="AG436">
        <v>12</v>
      </c>
      <c r="AJ436" s="41">
        <v>0</v>
      </c>
      <c r="AL436">
        <f t="shared" si="30"/>
        <v>0</v>
      </c>
      <c r="AM436">
        <f t="shared" si="31"/>
        <v>0</v>
      </c>
      <c r="AN436">
        <f t="shared" si="32"/>
        <v>0</v>
      </c>
    </row>
    <row r="437" spans="1:40" x14ac:dyDescent="0.2">
      <c r="A437" s="2">
        <v>52</v>
      </c>
      <c r="B437" t="s">
        <v>1066</v>
      </c>
      <c r="C437">
        <v>0.11314448714256287</v>
      </c>
      <c r="D437" s="2">
        <v>0</v>
      </c>
      <c r="E437">
        <v>7.0976413786411285E-2</v>
      </c>
      <c r="G437" s="9" t="s">
        <v>1186</v>
      </c>
      <c r="H437" s="2" t="s">
        <v>1191</v>
      </c>
      <c r="I437" s="2">
        <v>13</v>
      </c>
      <c r="J437" s="2" t="s">
        <v>1155</v>
      </c>
      <c r="K437">
        <v>2019</v>
      </c>
      <c r="L437" s="2" t="s">
        <v>691</v>
      </c>
      <c r="M437" t="s">
        <v>897</v>
      </c>
      <c r="N437">
        <v>41.5</v>
      </c>
      <c r="O437">
        <f>72.5-63</f>
        <v>9.5</v>
      </c>
      <c r="P437" t="s">
        <v>30</v>
      </c>
      <c r="R437" s="2" t="s">
        <v>89</v>
      </c>
      <c r="S437" s="4">
        <v>37.379309999999997</v>
      </c>
      <c r="T437" s="4">
        <v>-121.73188</v>
      </c>
      <c r="U437">
        <v>1868</v>
      </c>
      <c r="V437" s="6">
        <f t="shared" si="33"/>
        <v>569.3664</v>
      </c>
      <c r="W437" t="s">
        <v>898</v>
      </c>
      <c r="X437" t="s">
        <v>2160</v>
      </c>
      <c r="Y437" s="2" t="s">
        <v>118</v>
      </c>
      <c r="Z437" t="s">
        <v>1306</v>
      </c>
      <c r="AA437" t="s">
        <v>1307</v>
      </c>
      <c r="AB437" s="2">
        <v>33.6</v>
      </c>
      <c r="AC437" s="2">
        <v>13</v>
      </c>
      <c r="AF437">
        <v>51</v>
      </c>
      <c r="AG437">
        <v>12</v>
      </c>
      <c r="AJ437" s="41">
        <v>0</v>
      </c>
      <c r="AL437">
        <f t="shared" si="30"/>
        <v>9.0515589714050293</v>
      </c>
      <c r="AM437">
        <f t="shared" si="31"/>
        <v>0</v>
      </c>
      <c r="AN437">
        <f t="shared" si="32"/>
        <v>5.6781131029129028</v>
      </c>
    </row>
    <row r="438" spans="1:40" x14ac:dyDescent="0.2">
      <c r="A438" s="2">
        <v>52</v>
      </c>
      <c r="B438" t="s">
        <v>1067</v>
      </c>
      <c r="C438"/>
      <c r="E438"/>
      <c r="G438" t="s">
        <v>1186</v>
      </c>
      <c r="H438" s="2" t="s">
        <v>1191</v>
      </c>
      <c r="I438" s="2">
        <v>13</v>
      </c>
      <c r="J438" s="2" t="s">
        <v>1155</v>
      </c>
      <c r="K438">
        <v>2019</v>
      </c>
      <c r="L438" s="2" t="s">
        <v>691</v>
      </c>
      <c r="M438" t="s">
        <v>897</v>
      </c>
      <c r="N438">
        <v>42</v>
      </c>
      <c r="O438">
        <f>75.5-65.5</f>
        <v>10</v>
      </c>
      <c r="P438" t="s">
        <v>37</v>
      </c>
      <c r="R438" s="2" t="s">
        <v>89</v>
      </c>
      <c r="S438" s="4">
        <v>37.379309999999997</v>
      </c>
      <c r="T438" s="4">
        <v>-121.73188</v>
      </c>
      <c r="U438">
        <v>1868</v>
      </c>
      <c r="V438" s="6">
        <f t="shared" si="33"/>
        <v>569.3664</v>
      </c>
      <c r="W438" t="s">
        <v>898</v>
      </c>
      <c r="X438" t="s">
        <v>2160</v>
      </c>
      <c r="Y438" s="2" t="s">
        <v>733</v>
      </c>
      <c r="Z438" t="s">
        <v>1305</v>
      </c>
      <c r="AB438" s="2">
        <v>33.6</v>
      </c>
      <c r="AC438" s="2">
        <v>13</v>
      </c>
      <c r="AF438">
        <v>51</v>
      </c>
      <c r="AG438">
        <v>12</v>
      </c>
      <c r="AJ438" s="41">
        <v>0</v>
      </c>
      <c r="AL438">
        <f t="shared" si="30"/>
        <v>0</v>
      </c>
      <c r="AM438">
        <f t="shared" si="31"/>
        <v>0</v>
      </c>
      <c r="AN438">
        <f t="shared" si="32"/>
        <v>0</v>
      </c>
    </row>
    <row r="439" spans="1:40" x14ac:dyDescent="0.2">
      <c r="A439" s="2">
        <v>52</v>
      </c>
      <c r="B439" t="s">
        <v>1068</v>
      </c>
      <c r="C439" s="2">
        <v>4.1285548359155655E-2</v>
      </c>
      <c r="D439" s="2">
        <v>0.12835505604743958</v>
      </c>
      <c r="E439">
        <v>0.19300773700000001</v>
      </c>
      <c r="G439" s="9" t="s">
        <v>1186</v>
      </c>
      <c r="H439" s="2" t="s">
        <v>1191</v>
      </c>
      <c r="I439" s="2">
        <v>13</v>
      </c>
      <c r="J439" s="2" t="s">
        <v>1155</v>
      </c>
      <c r="K439">
        <v>2019</v>
      </c>
      <c r="L439" s="2" t="s">
        <v>691</v>
      </c>
      <c r="M439" t="s">
        <v>897</v>
      </c>
      <c r="N439">
        <v>46</v>
      </c>
      <c r="O439">
        <f>81.5-68</f>
        <v>13.5</v>
      </c>
      <c r="P439" t="s">
        <v>37</v>
      </c>
      <c r="R439" s="2" t="s">
        <v>89</v>
      </c>
      <c r="S439" s="4">
        <v>37.379309999999997</v>
      </c>
      <c r="T439" s="4">
        <v>-121.73188</v>
      </c>
      <c r="U439">
        <v>1868</v>
      </c>
      <c r="V439" s="6">
        <f t="shared" si="33"/>
        <v>569.3664</v>
      </c>
      <c r="W439" t="s">
        <v>898</v>
      </c>
      <c r="X439" t="s">
        <v>2160</v>
      </c>
      <c r="Y439" s="2" t="s">
        <v>1117</v>
      </c>
      <c r="AB439" s="2">
        <v>33.6</v>
      </c>
      <c r="AC439" s="2">
        <v>13</v>
      </c>
      <c r="AF439">
        <v>51</v>
      </c>
      <c r="AG439">
        <v>12</v>
      </c>
      <c r="AJ439" s="41">
        <v>0</v>
      </c>
      <c r="AL439">
        <f t="shared" si="30"/>
        <v>3.3028438687324524</v>
      </c>
      <c r="AM439">
        <f t="shared" si="31"/>
        <v>10.268404483795166</v>
      </c>
      <c r="AN439">
        <f t="shared" si="32"/>
        <v>15.440618960000002</v>
      </c>
    </row>
    <row r="440" spans="1:40" x14ac:dyDescent="0.2">
      <c r="A440" s="2">
        <v>52</v>
      </c>
      <c r="B440" t="s">
        <v>1069</v>
      </c>
      <c r="C440">
        <v>0</v>
      </c>
      <c r="D440">
        <v>0</v>
      </c>
      <c r="E440">
        <v>0</v>
      </c>
      <c r="G440" t="s">
        <v>1186</v>
      </c>
      <c r="H440" s="2" t="s">
        <v>1191</v>
      </c>
      <c r="I440" s="2">
        <v>13</v>
      </c>
      <c r="J440" s="2" t="s">
        <v>1155</v>
      </c>
      <c r="K440">
        <v>2019</v>
      </c>
      <c r="L440" s="2" t="s">
        <v>691</v>
      </c>
      <c r="M440" t="s">
        <v>897</v>
      </c>
      <c r="N440">
        <v>40.5</v>
      </c>
      <c r="O440">
        <f>54.5-45.5</f>
        <v>9</v>
      </c>
      <c r="P440" t="s">
        <v>37</v>
      </c>
      <c r="R440" s="2" t="s">
        <v>89</v>
      </c>
      <c r="S440" s="4">
        <v>37.379309999999997</v>
      </c>
      <c r="T440" s="4">
        <v>-121.73188</v>
      </c>
      <c r="U440">
        <v>1868</v>
      </c>
      <c r="V440" s="6">
        <f t="shared" si="33"/>
        <v>569.3664</v>
      </c>
      <c r="W440" t="s">
        <v>898</v>
      </c>
      <c r="X440" t="s">
        <v>2160</v>
      </c>
      <c r="Y440" s="2" t="s">
        <v>79</v>
      </c>
      <c r="Z440" t="s">
        <v>1305</v>
      </c>
      <c r="AB440" s="2">
        <v>33.6</v>
      </c>
      <c r="AC440" s="2">
        <v>13</v>
      </c>
      <c r="AF440">
        <v>51</v>
      </c>
      <c r="AG440">
        <v>12</v>
      </c>
      <c r="AJ440" s="41">
        <v>0</v>
      </c>
      <c r="AL440">
        <f t="shared" si="30"/>
        <v>0</v>
      </c>
      <c r="AM440">
        <f t="shared" si="31"/>
        <v>0</v>
      </c>
      <c r="AN440">
        <f t="shared" si="32"/>
        <v>0</v>
      </c>
    </row>
    <row r="441" spans="1:40" x14ac:dyDescent="0.2">
      <c r="A441" s="2">
        <v>52</v>
      </c>
      <c r="B441" t="s">
        <v>1070</v>
      </c>
      <c r="C441">
        <v>0</v>
      </c>
      <c r="D441">
        <v>0</v>
      </c>
      <c r="E441">
        <v>0</v>
      </c>
      <c r="G441" s="2" t="s">
        <v>1186</v>
      </c>
      <c r="H441" s="2" t="s">
        <v>1191</v>
      </c>
      <c r="I441" s="2">
        <v>13</v>
      </c>
      <c r="J441" s="2" t="s">
        <v>1155</v>
      </c>
      <c r="K441">
        <v>2019</v>
      </c>
      <c r="L441" s="2" t="s">
        <v>691</v>
      </c>
      <c r="M441" t="s">
        <v>897</v>
      </c>
      <c r="N441">
        <v>43</v>
      </c>
      <c r="O441">
        <f>43-34</f>
        <v>9</v>
      </c>
      <c r="P441" t="s">
        <v>37</v>
      </c>
      <c r="R441" s="2" t="s">
        <v>89</v>
      </c>
      <c r="S441" s="4">
        <v>37.379309999999997</v>
      </c>
      <c r="T441" s="4">
        <v>-121.73188</v>
      </c>
      <c r="U441">
        <v>1868</v>
      </c>
      <c r="V441" s="6">
        <f t="shared" si="33"/>
        <v>569.3664</v>
      </c>
      <c r="W441" t="s">
        <v>898</v>
      </c>
      <c r="X441" t="s">
        <v>2160</v>
      </c>
      <c r="Y441" s="2" t="s">
        <v>104</v>
      </c>
      <c r="AB441" s="2">
        <v>33.6</v>
      </c>
      <c r="AC441" s="2">
        <v>13</v>
      </c>
      <c r="AF441">
        <v>51</v>
      </c>
      <c r="AG441">
        <v>12</v>
      </c>
      <c r="AJ441" s="41">
        <v>0</v>
      </c>
      <c r="AL441">
        <f t="shared" si="30"/>
        <v>0</v>
      </c>
      <c r="AM441">
        <f t="shared" si="31"/>
        <v>0</v>
      </c>
      <c r="AN441">
        <f t="shared" si="32"/>
        <v>0</v>
      </c>
    </row>
    <row r="442" spans="1:40" x14ac:dyDescent="0.2">
      <c r="A442" s="2">
        <v>52</v>
      </c>
      <c r="B442" t="s">
        <v>1071</v>
      </c>
      <c r="C442">
        <v>0</v>
      </c>
      <c r="D442">
        <v>0</v>
      </c>
      <c r="E442">
        <v>6.8254829384386539E-3</v>
      </c>
      <c r="G442" s="2" t="s">
        <v>1186</v>
      </c>
      <c r="H442" s="2" t="s">
        <v>1191</v>
      </c>
      <c r="I442" s="2">
        <v>13</v>
      </c>
      <c r="J442" s="2" t="s">
        <v>1155</v>
      </c>
      <c r="K442">
        <v>2019</v>
      </c>
      <c r="L442" s="2" t="s">
        <v>691</v>
      </c>
      <c r="M442" t="s">
        <v>897</v>
      </c>
      <c r="N442">
        <v>58</v>
      </c>
      <c r="O442">
        <f>97-72.5</f>
        <v>24.5</v>
      </c>
      <c r="P442" t="s">
        <v>30</v>
      </c>
      <c r="Q442" s="2"/>
      <c r="R442" s="53" t="s">
        <v>89</v>
      </c>
      <c r="S442" s="4">
        <v>37.379309999999997</v>
      </c>
      <c r="T442" s="4">
        <v>-121.73188</v>
      </c>
      <c r="U442">
        <v>1868</v>
      </c>
      <c r="V442" s="6">
        <f t="shared" si="33"/>
        <v>569.3664</v>
      </c>
      <c r="W442" t="s">
        <v>898</v>
      </c>
      <c r="X442" t="s">
        <v>2160</v>
      </c>
      <c r="Y442" s="2" t="s">
        <v>556</v>
      </c>
      <c r="AB442" s="2">
        <v>33.6</v>
      </c>
      <c r="AC442" s="2">
        <v>13</v>
      </c>
      <c r="AF442">
        <v>51</v>
      </c>
      <c r="AG442">
        <v>12</v>
      </c>
      <c r="AJ442" s="41">
        <v>0</v>
      </c>
      <c r="AL442">
        <f t="shared" si="30"/>
        <v>0</v>
      </c>
      <c r="AM442">
        <f t="shared" si="31"/>
        <v>0</v>
      </c>
      <c r="AN442">
        <f t="shared" si="32"/>
        <v>0.54603863507509232</v>
      </c>
    </row>
    <row r="443" spans="1:40" x14ac:dyDescent="0.2">
      <c r="A443" s="2">
        <v>52</v>
      </c>
      <c r="B443" t="s">
        <v>1072</v>
      </c>
      <c r="C443">
        <v>0</v>
      </c>
      <c r="D443">
        <v>0</v>
      </c>
      <c r="E443">
        <v>0</v>
      </c>
      <c r="G443" s="2" t="s">
        <v>1186</v>
      </c>
      <c r="H443" s="2" t="s">
        <v>1191</v>
      </c>
      <c r="I443" s="2">
        <v>13</v>
      </c>
      <c r="J443" s="2" t="s">
        <v>1155</v>
      </c>
      <c r="K443">
        <v>2019</v>
      </c>
      <c r="L443" s="2" t="s">
        <v>691</v>
      </c>
      <c r="M443" t="s">
        <v>897</v>
      </c>
      <c r="N443">
        <v>39</v>
      </c>
      <c r="O443" t="s">
        <v>1277</v>
      </c>
      <c r="P443" t="s">
        <v>37</v>
      </c>
      <c r="Q443" s="2"/>
      <c r="R443" s="2" t="s">
        <v>89</v>
      </c>
      <c r="S443" s="4">
        <v>37.379309999999997</v>
      </c>
      <c r="T443" s="4">
        <v>-121.73188</v>
      </c>
      <c r="U443">
        <v>1868</v>
      </c>
      <c r="V443" s="6">
        <f t="shared" si="33"/>
        <v>569.3664</v>
      </c>
      <c r="W443" t="s">
        <v>898</v>
      </c>
      <c r="X443" t="s">
        <v>2160</v>
      </c>
      <c r="Y443" s="2" t="s">
        <v>696</v>
      </c>
      <c r="Z443" t="s">
        <v>1305</v>
      </c>
      <c r="AB443" s="2">
        <v>33.6</v>
      </c>
      <c r="AC443" s="2">
        <v>13</v>
      </c>
      <c r="AF443">
        <v>51</v>
      </c>
      <c r="AG443">
        <v>12</v>
      </c>
      <c r="AJ443" s="41">
        <v>0</v>
      </c>
      <c r="AL443">
        <f t="shared" si="30"/>
        <v>0</v>
      </c>
      <c r="AM443">
        <f t="shared" si="31"/>
        <v>0</v>
      </c>
      <c r="AN443">
        <f t="shared" si="32"/>
        <v>0</v>
      </c>
    </row>
    <row r="444" spans="1:40" x14ac:dyDescent="0.2">
      <c r="A444" s="2">
        <v>52</v>
      </c>
      <c r="B444" t="s">
        <v>1073</v>
      </c>
      <c r="C444" s="28">
        <v>5.5132716999999998E-2</v>
      </c>
      <c r="D444">
        <v>6.5253004431724548E-2</v>
      </c>
      <c r="E444">
        <v>4.6307474374771118E-2</v>
      </c>
      <c r="G444" s="2" t="s">
        <v>1186</v>
      </c>
      <c r="H444" s="2" t="s">
        <v>1191</v>
      </c>
      <c r="I444" s="2">
        <v>13</v>
      </c>
      <c r="J444" s="2" t="s">
        <v>1155</v>
      </c>
      <c r="K444">
        <v>2019</v>
      </c>
      <c r="L444" s="2" t="s">
        <v>691</v>
      </c>
      <c r="M444" t="s">
        <v>897</v>
      </c>
      <c r="N444">
        <v>52</v>
      </c>
      <c r="O444">
        <f>63.5-41.5</f>
        <v>22</v>
      </c>
      <c r="P444" t="s">
        <v>37</v>
      </c>
      <c r="Q444" s="2"/>
      <c r="R444" s="53" t="s">
        <v>89</v>
      </c>
      <c r="S444" s="4">
        <v>37.379309999999997</v>
      </c>
      <c r="T444" s="4">
        <v>-121.73188</v>
      </c>
      <c r="U444">
        <v>1868</v>
      </c>
      <c r="V444" s="6">
        <f t="shared" si="33"/>
        <v>569.3664</v>
      </c>
      <c r="W444" t="s">
        <v>898</v>
      </c>
      <c r="X444" t="s">
        <v>2160</v>
      </c>
      <c r="Y444" s="2" t="s">
        <v>1118</v>
      </c>
      <c r="AB444" s="2">
        <v>33.6</v>
      </c>
      <c r="AC444" s="2">
        <v>13</v>
      </c>
      <c r="AF444">
        <v>51</v>
      </c>
      <c r="AG444">
        <v>12</v>
      </c>
      <c r="AJ444" s="41">
        <v>0</v>
      </c>
      <c r="AL444">
        <f t="shared" si="30"/>
        <v>4.4106173599999998</v>
      </c>
      <c r="AM444">
        <f t="shared" si="31"/>
        <v>5.2202403545379639</v>
      </c>
      <c r="AN444">
        <f t="shared" si="32"/>
        <v>3.7045979499816895</v>
      </c>
    </row>
    <row r="445" spans="1:40" s="11" customFormat="1" x14ac:dyDescent="0.2">
      <c r="A445" s="11">
        <v>52</v>
      </c>
      <c r="B445" s="11" t="s">
        <v>1074</v>
      </c>
      <c r="G445" s="11" t="s">
        <v>1191</v>
      </c>
      <c r="H445" s="11" t="s">
        <v>1191</v>
      </c>
      <c r="I445" s="11">
        <v>13</v>
      </c>
      <c r="J445" s="11" t="s">
        <v>1155</v>
      </c>
      <c r="K445" s="11">
        <v>2019</v>
      </c>
      <c r="L445" s="11" t="s">
        <v>691</v>
      </c>
      <c r="M445" s="11" t="s">
        <v>897</v>
      </c>
      <c r="S445" s="4">
        <v>37.379309999999997</v>
      </c>
      <c r="T445" s="4">
        <v>-121.73188</v>
      </c>
      <c r="U445">
        <v>1868</v>
      </c>
      <c r="V445" s="6">
        <f t="shared" si="33"/>
        <v>569.3664</v>
      </c>
      <c r="W445" t="s">
        <v>898</v>
      </c>
      <c r="X445" t="s">
        <v>2160</v>
      </c>
      <c r="Y445" s="11" t="s">
        <v>1119</v>
      </c>
      <c r="Z445" s="11" t="s">
        <v>1299</v>
      </c>
      <c r="AB445" s="2">
        <v>33.6</v>
      </c>
      <c r="AC445" s="2">
        <v>13</v>
      </c>
      <c r="AF445">
        <v>51</v>
      </c>
      <c r="AG445">
        <v>12</v>
      </c>
      <c r="AJ445" s="41">
        <v>0</v>
      </c>
      <c r="AL445">
        <f t="shared" si="30"/>
        <v>0</v>
      </c>
      <c r="AM445">
        <f t="shared" si="31"/>
        <v>0</v>
      </c>
      <c r="AN445">
        <f t="shared" si="32"/>
        <v>0</v>
      </c>
    </row>
    <row r="446" spans="1:40" s="11" customFormat="1" x14ac:dyDescent="0.2">
      <c r="A446" s="11">
        <v>52</v>
      </c>
      <c r="B446" s="11" t="s">
        <v>1075</v>
      </c>
      <c r="G446" s="11" t="s">
        <v>1191</v>
      </c>
      <c r="H446" s="11" t="s">
        <v>1191</v>
      </c>
      <c r="I446" s="11">
        <v>13</v>
      </c>
      <c r="J446" s="11" t="s">
        <v>1155</v>
      </c>
      <c r="K446" s="11">
        <v>2019</v>
      </c>
      <c r="L446" s="11" t="s">
        <v>691</v>
      </c>
      <c r="M446" s="11" t="s">
        <v>897</v>
      </c>
      <c r="S446" s="4">
        <v>37.379309999999997</v>
      </c>
      <c r="T446" s="4">
        <v>-121.73188</v>
      </c>
      <c r="U446">
        <v>1868</v>
      </c>
      <c r="V446" s="6">
        <f t="shared" si="33"/>
        <v>569.3664</v>
      </c>
      <c r="W446" t="s">
        <v>898</v>
      </c>
      <c r="X446" t="s">
        <v>2160</v>
      </c>
      <c r="Y446" s="11" t="s">
        <v>1109</v>
      </c>
      <c r="Z446" s="11" t="s">
        <v>1299</v>
      </c>
      <c r="AB446" s="2">
        <v>33.6</v>
      </c>
      <c r="AC446" s="2">
        <v>13</v>
      </c>
      <c r="AF446">
        <v>51</v>
      </c>
      <c r="AG446">
        <v>12</v>
      </c>
      <c r="AJ446" s="41">
        <v>0</v>
      </c>
      <c r="AL446">
        <f t="shared" si="30"/>
        <v>0</v>
      </c>
      <c r="AM446">
        <f t="shared" si="31"/>
        <v>0</v>
      </c>
      <c r="AN446">
        <f t="shared" si="32"/>
        <v>0</v>
      </c>
    </row>
    <row r="447" spans="1:40" x14ac:dyDescent="0.2">
      <c r="A447" s="2">
        <v>52</v>
      </c>
      <c r="B447" t="s">
        <v>1076</v>
      </c>
      <c r="C447">
        <v>2.7970418930053711</v>
      </c>
      <c r="D447">
        <v>2.9702978134155273</v>
      </c>
      <c r="E447">
        <v>2.4107253551483154</v>
      </c>
      <c r="G447" s="2" t="s">
        <v>1186</v>
      </c>
      <c r="H447" s="2" t="s">
        <v>1191</v>
      </c>
      <c r="I447" s="2">
        <v>13</v>
      </c>
      <c r="J447" s="2" t="s">
        <v>1155</v>
      </c>
      <c r="K447">
        <v>2019</v>
      </c>
      <c r="L447" s="2" t="s">
        <v>691</v>
      </c>
      <c r="M447" t="s">
        <v>897</v>
      </c>
      <c r="N447">
        <v>44</v>
      </c>
      <c r="O447">
        <v>10</v>
      </c>
      <c r="P447" t="s">
        <v>37</v>
      </c>
      <c r="R447" t="s">
        <v>89</v>
      </c>
      <c r="S447" s="4">
        <v>37.379309999999997</v>
      </c>
      <c r="T447" s="4">
        <v>-121.73188</v>
      </c>
      <c r="U447">
        <v>1868</v>
      </c>
      <c r="V447" s="6">
        <f t="shared" si="33"/>
        <v>569.3664</v>
      </c>
      <c r="W447" t="s">
        <v>898</v>
      </c>
      <c r="X447" t="s">
        <v>2160</v>
      </c>
      <c r="Y447" s="2" t="s">
        <v>1086</v>
      </c>
      <c r="AB447" s="2">
        <v>33.6</v>
      </c>
      <c r="AC447" s="2">
        <v>13</v>
      </c>
      <c r="AF447">
        <v>51</v>
      </c>
      <c r="AG447">
        <v>12</v>
      </c>
      <c r="AJ447" s="41">
        <v>0</v>
      </c>
      <c r="AL447">
        <f t="shared" si="30"/>
        <v>223.76335144042969</v>
      </c>
      <c r="AM447">
        <f t="shared" si="31"/>
        <v>237.62382507324219</v>
      </c>
      <c r="AN447">
        <f t="shared" si="32"/>
        <v>192.85802841186523</v>
      </c>
    </row>
    <row r="448" spans="1:40" x14ac:dyDescent="0.2">
      <c r="A448" s="2">
        <v>52</v>
      </c>
      <c r="B448" t="s">
        <v>1077</v>
      </c>
      <c r="C448">
        <v>0</v>
      </c>
      <c r="D448">
        <v>0</v>
      </c>
      <c r="E448">
        <v>0</v>
      </c>
      <c r="G448" s="2" t="s">
        <v>1186</v>
      </c>
      <c r="H448" s="2" t="s">
        <v>1191</v>
      </c>
      <c r="I448" s="2">
        <v>13</v>
      </c>
      <c r="J448" s="2" t="s">
        <v>1155</v>
      </c>
      <c r="K448">
        <v>2019</v>
      </c>
      <c r="L448" s="2" t="s">
        <v>32</v>
      </c>
      <c r="M448" t="s">
        <v>897</v>
      </c>
      <c r="N448">
        <v>20</v>
      </c>
      <c r="O448">
        <v>2</v>
      </c>
      <c r="P448" t="s">
        <v>37</v>
      </c>
      <c r="R448" s="45" t="s">
        <v>39</v>
      </c>
      <c r="S448" s="4">
        <v>37.379309999999997</v>
      </c>
      <c r="T448" s="4">
        <v>-121.73188</v>
      </c>
      <c r="U448">
        <v>1868</v>
      </c>
      <c r="V448" s="6">
        <f t="shared" si="33"/>
        <v>569.3664</v>
      </c>
      <c r="W448" t="s">
        <v>898</v>
      </c>
      <c r="X448" t="s">
        <v>2160</v>
      </c>
      <c r="Y448" s="2" t="s">
        <v>821</v>
      </c>
      <c r="AB448" s="2">
        <v>33.6</v>
      </c>
      <c r="AC448" s="2">
        <v>13</v>
      </c>
      <c r="AF448">
        <v>51</v>
      </c>
      <c r="AG448">
        <v>12</v>
      </c>
      <c r="AJ448" s="41">
        <v>0</v>
      </c>
      <c r="AL448">
        <f t="shared" si="30"/>
        <v>0</v>
      </c>
      <c r="AM448">
        <f t="shared" si="31"/>
        <v>0</v>
      </c>
      <c r="AN448">
        <f t="shared" si="32"/>
        <v>0</v>
      </c>
    </row>
    <row r="449" spans="1:40" x14ac:dyDescent="0.2">
      <c r="A449" s="2">
        <v>52</v>
      </c>
      <c r="B449" t="s">
        <v>1078</v>
      </c>
      <c r="C449">
        <v>0</v>
      </c>
      <c r="D449">
        <v>0</v>
      </c>
      <c r="E449">
        <v>0</v>
      </c>
      <c r="G449" s="2" t="s">
        <v>1186</v>
      </c>
      <c r="H449" s="2" t="s">
        <v>1191</v>
      </c>
      <c r="I449" s="2">
        <v>13</v>
      </c>
      <c r="J449" s="2" t="s">
        <v>1155</v>
      </c>
      <c r="K449">
        <v>2019</v>
      </c>
      <c r="L449" s="2" t="s">
        <v>32</v>
      </c>
      <c r="M449" t="s">
        <v>897</v>
      </c>
      <c r="N449">
        <v>18</v>
      </c>
      <c r="O449">
        <v>1</v>
      </c>
      <c r="P449" t="s">
        <v>37</v>
      </c>
      <c r="R449" t="s">
        <v>89</v>
      </c>
      <c r="S449" s="4">
        <v>37.379309999999997</v>
      </c>
      <c r="T449" s="4">
        <v>-121.73188</v>
      </c>
      <c r="U449">
        <v>1868</v>
      </c>
      <c r="V449" s="6">
        <f t="shared" si="33"/>
        <v>569.3664</v>
      </c>
      <c r="W449" t="s">
        <v>898</v>
      </c>
      <c r="X449" t="s">
        <v>2160</v>
      </c>
      <c r="Y449" s="2" t="s">
        <v>895</v>
      </c>
      <c r="AB449" s="2">
        <v>33.6</v>
      </c>
      <c r="AC449" s="2">
        <v>13</v>
      </c>
      <c r="AF449">
        <v>51</v>
      </c>
      <c r="AG449">
        <v>12</v>
      </c>
      <c r="AJ449" s="41">
        <v>0</v>
      </c>
      <c r="AL449">
        <f t="shared" si="30"/>
        <v>0</v>
      </c>
      <c r="AM449">
        <f t="shared" si="31"/>
        <v>0</v>
      </c>
      <c r="AN449">
        <f t="shared" si="32"/>
        <v>0</v>
      </c>
    </row>
    <row r="450" spans="1:40" x14ac:dyDescent="0.2">
      <c r="A450" s="2">
        <v>52</v>
      </c>
      <c r="B450" t="s">
        <v>1079</v>
      </c>
      <c r="C450">
        <v>0</v>
      </c>
      <c r="D450">
        <v>0</v>
      </c>
      <c r="E450">
        <v>0</v>
      </c>
      <c r="G450" s="2" t="s">
        <v>1186</v>
      </c>
      <c r="H450" s="2" t="s">
        <v>1191</v>
      </c>
      <c r="I450" s="2">
        <v>13</v>
      </c>
      <c r="J450" s="2" t="s">
        <v>1155</v>
      </c>
      <c r="K450">
        <v>2019</v>
      </c>
      <c r="L450" s="2" t="s">
        <v>32</v>
      </c>
      <c r="M450" t="s">
        <v>897</v>
      </c>
      <c r="N450">
        <v>18.5</v>
      </c>
      <c r="O450">
        <v>0.5</v>
      </c>
      <c r="P450" t="s">
        <v>37</v>
      </c>
      <c r="R450" t="s">
        <v>89</v>
      </c>
      <c r="S450" s="4">
        <v>37.379309999999997</v>
      </c>
      <c r="T450" s="4">
        <v>-121.73188</v>
      </c>
      <c r="U450">
        <v>1868</v>
      </c>
      <c r="V450" s="6">
        <f t="shared" si="33"/>
        <v>569.3664</v>
      </c>
      <c r="W450" t="s">
        <v>898</v>
      </c>
      <c r="X450" t="s">
        <v>2160</v>
      </c>
      <c r="Y450" s="2" t="s">
        <v>588</v>
      </c>
      <c r="AB450" s="2">
        <v>33.6</v>
      </c>
      <c r="AC450" s="2">
        <v>13</v>
      </c>
      <c r="AF450">
        <v>51</v>
      </c>
      <c r="AG450">
        <v>12</v>
      </c>
      <c r="AJ450" s="41">
        <v>0</v>
      </c>
      <c r="AL450">
        <f t="shared" si="30"/>
        <v>0</v>
      </c>
      <c r="AM450">
        <f t="shared" si="31"/>
        <v>0</v>
      </c>
      <c r="AN450">
        <f t="shared" si="32"/>
        <v>0</v>
      </c>
    </row>
    <row r="451" spans="1:40" x14ac:dyDescent="0.2">
      <c r="A451" s="2">
        <v>53</v>
      </c>
      <c r="B451" t="s">
        <v>1213</v>
      </c>
      <c r="C451">
        <v>0</v>
      </c>
      <c r="D451">
        <v>0</v>
      </c>
      <c r="E451">
        <v>0</v>
      </c>
      <c r="G451" s="2" t="s">
        <v>1186</v>
      </c>
      <c r="H451" s="2" t="s">
        <v>1191</v>
      </c>
      <c r="I451" s="2">
        <v>15</v>
      </c>
      <c r="J451" s="2" t="s">
        <v>1155</v>
      </c>
      <c r="K451">
        <v>2019</v>
      </c>
      <c r="L451" s="2" t="s">
        <v>32</v>
      </c>
      <c r="M451" t="s">
        <v>897</v>
      </c>
      <c r="N451">
        <v>18</v>
      </c>
      <c r="O451">
        <f>65-63</f>
        <v>2</v>
      </c>
      <c r="P451" t="s">
        <v>37</v>
      </c>
      <c r="R451" t="s">
        <v>89</v>
      </c>
      <c r="S451" s="4">
        <v>37.38964</v>
      </c>
      <c r="T451" s="4">
        <v>-121.73273</v>
      </c>
      <c r="U451">
        <v>2353</v>
      </c>
      <c r="V451" s="6">
        <f t="shared" si="33"/>
        <v>717.19440000000009</v>
      </c>
      <c r="W451" t="s">
        <v>898</v>
      </c>
      <c r="X451" t="s">
        <v>2209</v>
      </c>
      <c r="Y451" s="2" t="s">
        <v>1097</v>
      </c>
      <c r="AA451" t="s">
        <v>1308</v>
      </c>
      <c r="AB451" s="2">
        <v>38</v>
      </c>
      <c r="AC451" s="2">
        <v>17.5</v>
      </c>
      <c r="AF451">
        <v>51</v>
      </c>
      <c r="AG451">
        <v>14</v>
      </c>
      <c r="AJ451" s="41">
        <v>0</v>
      </c>
      <c r="AL451">
        <f t="shared" si="30"/>
        <v>0</v>
      </c>
      <c r="AM451">
        <f t="shared" si="31"/>
        <v>0</v>
      </c>
      <c r="AN451">
        <f t="shared" si="32"/>
        <v>0</v>
      </c>
    </row>
    <row r="452" spans="1:40" x14ac:dyDescent="0.2">
      <c r="A452" s="2">
        <v>53</v>
      </c>
      <c r="B452" t="s">
        <v>1214</v>
      </c>
      <c r="C452">
        <v>0</v>
      </c>
      <c r="D452">
        <v>0</v>
      </c>
      <c r="E452">
        <v>0</v>
      </c>
      <c r="G452" s="2" t="s">
        <v>1186</v>
      </c>
      <c r="H452" s="2" t="s">
        <v>1191</v>
      </c>
      <c r="I452" s="2">
        <v>15</v>
      </c>
      <c r="J452" s="2" t="s">
        <v>1155</v>
      </c>
      <c r="K452">
        <v>2019</v>
      </c>
      <c r="L452" s="2" t="s">
        <v>32</v>
      </c>
      <c r="M452" t="s">
        <v>897</v>
      </c>
      <c r="N452">
        <v>22.5</v>
      </c>
      <c r="O452">
        <v>2</v>
      </c>
      <c r="P452" t="s">
        <v>37</v>
      </c>
      <c r="R452" s="45" t="s">
        <v>39</v>
      </c>
      <c r="S452" s="4">
        <v>37.38964</v>
      </c>
      <c r="T452" s="4">
        <v>-121.73273</v>
      </c>
      <c r="U452">
        <v>2353</v>
      </c>
      <c r="V452" s="6">
        <f t="shared" si="33"/>
        <v>717.19440000000009</v>
      </c>
      <c r="W452" t="s">
        <v>898</v>
      </c>
      <c r="X452" t="s">
        <v>2209</v>
      </c>
      <c r="Y452" s="2" t="s">
        <v>1108</v>
      </c>
      <c r="AA452" t="s">
        <v>1309</v>
      </c>
      <c r="AB452" s="2">
        <v>38</v>
      </c>
      <c r="AC452" s="2">
        <v>17.5</v>
      </c>
      <c r="AF452">
        <v>51</v>
      </c>
      <c r="AG452">
        <v>14</v>
      </c>
      <c r="AJ452" s="41">
        <v>0</v>
      </c>
      <c r="AL452">
        <f t="shared" si="30"/>
        <v>0</v>
      </c>
      <c r="AM452">
        <f t="shared" si="31"/>
        <v>0</v>
      </c>
      <c r="AN452">
        <f t="shared" si="32"/>
        <v>0</v>
      </c>
    </row>
    <row r="453" spans="1:40" x14ac:dyDescent="0.2">
      <c r="A453" s="2">
        <v>53</v>
      </c>
      <c r="B453" t="s">
        <v>1215</v>
      </c>
      <c r="C453">
        <v>0</v>
      </c>
      <c r="D453">
        <v>0</v>
      </c>
      <c r="E453">
        <v>0</v>
      </c>
      <c r="G453" s="2" t="s">
        <v>1186</v>
      </c>
      <c r="H453" s="2" t="s">
        <v>1191</v>
      </c>
      <c r="I453" s="2">
        <v>15</v>
      </c>
      <c r="J453" s="2" t="s">
        <v>1155</v>
      </c>
      <c r="K453">
        <v>2019</v>
      </c>
      <c r="L453" s="2" t="s">
        <v>32</v>
      </c>
      <c r="M453" t="s">
        <v>897</v>
      </c>
      <c r="N453">
        <v>20.5</v>
      </c>
      <c r="O453">
        <v>2</v>
      </c>
      <c r="P453" t="s">
        <v>37</v>
      </c>
      <c r="R453" s="45" t="s">
        <v>39</v>
      </c>
      <c r="S453" s="4">
        <v>37.38964</v>
      </c>
      <c r="T453" s="4">
        <v>-121.73273</v>
      </c>
      <c r="U453">
        <v>2353</v>
      </c>
      <c r="V453" s="6">
        <f t="shared" si="33"/>
        <v>717.19440000000009</v>
      </c>
      <c r="W453" t="s">
        <v>898</v>
      </c>
      <c r="X453" t="s">
        <v>2209</v>
      </c>
      <c r="Y453" s="2" t="s">
        <v>1108</v>
      </c>
      <c r="Z453" t="s">
        <v>1311</v>
      </c>
      <c r="AA453" t="s">
        <v>1310</v>
      </c>
      <c r="AB453" s="2">
        <v>38</v>
      </c>
      <c r="AC453" s="2">
        <v>17.5</v>
      </c>
      <c r="AF453">
        <v>51</v>
      </c>
      <c r="AG453">
        <v>14</v>
      </c>
      <c r="AJ453" s="41">
        <v>0</v>
      </c>
      <c r="AL453">
        <f t="shared" si="30"/>
        <v>0</v>
      </c>
      <c r="AM453">
        <f t="shared" si="31"/>
        <v>0</v>
      </c>
      <c r="AN453">
        <f t="shared" si="32"/>
        <v>0</v>
      </c>
    </row>
    <row r="454" spans="1:40" x14ac:dyDescent="0.2">
      <c r="A454" s="2">
        <v>53</v>
      </c>
      <c r="B454" t="s">
        <v>1216</v>
      </c>
      <c r="C454">
        <v>0</v>
      </c>
      <c r="D454">
        <v>0</v>
      </c>
      <c r="E454">
        <v>0</v>
      </c>
      <c r="G454" s="2" t="s">
        <v>1186</v>
      </c>
      <c r="H454" s="2" t="s">
        <v>1191</v>
      </c>
      <c r="I454" s="2">
        <v>15</v>
      </c>
      <c r="J454" s="2" t="s">
        <v>1155</v>
      </c>
      <c r="K454">
        <v>2019</v>
      </c>
      <c r="L454" s="2" t="s">
        <v>32</v>
      </c>
      <c r="M454" t="s">
        <v>897</v>
      </c>
      <c r="N454">
        <v>21</v>
      </c>
      <c r="O454">
        <v>1</v>
      </c>
      <c r="P454" t="s">
        <v>37</v>
      </c>
      <c r="R454" s="45" t="s">
        <v>39</v>
      </c>
      <c r="S454" s="4">
        <v>37.38964</v>
      </c>
      <c r="T454" s="4">
        <v>-121.73273</v>
      </c>
      <c r="U454">
        <v>2353</v>
      </c>
      <c r="V454" s="6">
        <f t="shared" si="33"/>
        <v>717.19440000000009</v>
      </c>
      <c r="W454" t="s">
        <v>898</v>
      </c>
      <c r="X454" t="s">
        <v>2209</v>
      </c>
      <c r="Y454" s="2" t="s">
        <v>56</v>
      </c>
      <c r="AA454" t="s">
        <v>1312</v>
      </c>
      <c r="AB454" s="2">
        <v>38</v>
      </c>
      <c r="AC454" s="2">
        <v>17.5</v>
      </c>
      <c r="AF454">
        <v>51</v>
      </c>
      <c r="AG454">
        <v>14</v>
      </c>
      <c r="AJ454" s="41">
        <v>0</v>
      </c>
      <c r="AL454">
        <f t="shared" si="30"/>
        <v>0</v>
      </c>
      <c r="AM454">
        <f t="shared" si="31"/>
        <v>0</v>
      </c>
      <c r="AN454">
        <f t="shared" si="32"/>
        <v>0</v>
      </c>
    </row>
    <row r="455" spans="1:40" x14ac:dyDescent="0.2">
      <c r="A455" s="2">
        <v>53</v>
      </c>
      <c r="B455" t="s">
        <v>1217</v>
      </c>
      <c r="C455">
        <v>0</v>
      </c>
      <c r="D455">
        <v>0</v>
      </c>
      <c r="E455">
        <v>0</v>
      </c>
      <c r="G455" s="2" t="s">
        <v>1186</v>
      </c>
      <c r="H455" s="2" t="s">
        <v>1191</v>
      </c>
      <c r="I455" s="2">
        <v>15</v>
      </c>
      <c r="J455" s="2" t="s">
        <v>1155</v>
      </c>
      <c r="K455">
        <v>2019</v>
      </c>
      <c r="L455" s="2" t="s">
        <v>32</v>
      </c>
      <c r="M455" t="s">
        <v>897</v>
      </c>
      <c r="N455">
        <v>20.5</v>
      </c>
      <c r="O455">
        <v>0.5</v>
      </c>
      <c r="P455" t="s">
        <v>37</v>
      </c>
      <c r="R455" s="45" t="s">
        <v>39</v>
      </c>
      <c r="S455" s="4">
        <v>37.38964</v>
      </c>
      <c r="T455" s="4">
        <v>-121.73273</v>
      </c>
      <c r="U455">
        <v>2353</v>
      </c>
      <c r="V455" s="6">
        <f t="shared" si="33"/>
        <v>717.19440000000009</v>
      </c>
      <c r="W455" t="s">
        <v>898</v>
      </c>
      <c r="X455" t="s">
        <v>2209</v>
      </c>
      <c r="Y455" s="2" t="s">
        <v>56</v>
      </c>
      <c r="AA455" t="s">
        <v>1313</v>
      </c>
      <c r="AB455" s="2">
        <v>38</v>
      </c>
      <c r="AC455" s="2">
        <v>17.5</v>
      </c>
      <c r="AF455">
        <v>51</v>
      </c>
      <c r="AG455">
        <v>14</v>
      </c>
      <c r="AJ455" s="41">
        <v>0</v>
      </c>
      <c r="AL455">
        <f t="shared" si="30"/>
        <v>0</v>
      </c>
      <c r="AM455">
        <f t="shared" si="31"/>
        <v>0</v>
      </c>
      <c r="AN455">
        <f t="shared" si="32"/>
        <v>0</v>
      </c>
    </row>
    <row r="456" spans="1:40" x14ac:dyDescent="0.2">
      <c r="A456" s="2">
        <v>53</v>
      </c>
      <c r="B456" t="s">
        <v>1218</v>
      </c>
      <c r="C456">
        <v>0</v>
      </c>
      <c r="D456">
        <v>0</v>
      </c>
      <c r="E456">
        <v>0</v>
      </c>
      <c r="G456" s="2" t="s">
        <v>1186</v>
      </c>
      <c r="H456" s="2" t="s">
        <v>1191</v>
      </c>
      <c r="I456" s="2">
        <v>15</v>
      </c>
      <c r="J456" s="2" t="s">
        <v>1155</v>
      </c>
      <c r="K456">
        <v>2019</v>
      </c>
      <c r="L456" s="2" t="s">
        <v>32</v>
      </c>
      <c r="M456" t="s">
        <v>897</v>
      </c>
      <c r="N456">
        <v>21.5</v>
      </c>
      <c r="O456">
        <v>2</v>
      </c>
      <c r="P456" t="s">
        <v>37</v>
      </c>
      <c r="R456" s="45" t="s">
        <v>39</v>
      </c>
      <c r="S456" s="4">
        <v>37.38964</v>
      </c>
      <c r="T456" s="4">
        <v>-121.73273</v>
      </c>
      <c r="U456">
        <v>2353</v>
      </c>
      <c r="V456" s="6">
        <f t="shared" si="33"/>
        <v>717.19440000000009</v>
      </c>
      <c r="W456" t="s">
        <v>898</v>
      </c>
      <c r="X456" t="s">
        <v>2209</v>
      </c>
      <c r="Y456" s="2" t="s">
        <v>454</v>
      </c>
      <c r="AA456" t="s">
        <v>1627</v>
      </c>
      <c r="AB456" s="2">
        <v>38</v>
      </c>
      <c r="AC456" s="2">
        <v>17.5</v>
      </c>
      <c r="AF456">
        <v>51</v>
      </c>
      <c r="AG456">
        <v>14</v>
      </c>
      <c r="AJ456" s="41">
        <v>0</v>
      </c>
      <c r="AL456">
        <f t="shared" si="30"/>
        <v>0</v>
      </c>
      <c r="AM456">
        <f t="shared" si="31"/>
        <v>0</v>
      </c>
      <c r="AN456">
        <f t="shared" si="32"/>
        <v>0</v>
      </c>
    </row>
    <row r="457" spans="1:40" x14ac:dyDescent="0.2">
      <c r="A457" s="2">
        <v>53</v>
      </c>
      <c r="B457" t="s">
        <v>1219</v>
      </c>
      <c r="C457">
        <v>0</v>
      </c>
      <c r="D457">
        <v>0</v>
      </c>
      <c r="E457">
        <v>0</v>
      </c>
      <c r="G457" s="2" t="s">
        <v>1186</v>
      </c>
      <c r="H457" s="2" t="s">
        <v>1191</v>
      </c>
      <c r="I457" s="2">
        <v>15</v>
      </c>
      <c r="J457" s="2" t="s">
        <v>1155</v>
      </c>
      <c r="K457">
        <v>2019</v>
      </c>
      <c r="L457" s="2" t="s">
        <v>32</v>
      </c>
      <c r="M457" t="s">
        <v>897</v>
      </c>
      <c r="N457">
        <v>22</v>
      </c>
      <c r="O457">
        <f>25-23.5</f>
        <v>1.5</v>
      </c>
      <c r="P457" t="s">
        <v>37</v>
      </c>
      <c r="R457" s="45" t="s">
        <v>39</v>
      </c>
      <c r="S457" s="4">
        <v>37.38964</v>
      </c>
      <c r="T457" s="4">
        <v>-121.73273</v>
      </c>
      <c r="U457">
        <v>2353</v>
      </c>
      <c r="V457" s="6">
        <f t="shared" si="33"/>
        <v>717.19440000000009</v>
      </c>
      <c r="W457" t="s">
        <v>898</v>
      </c>
      <c r="X457" t="s">
        <v>2209</v>
      </c>
      <c r="Y457" s="2" t="s">
        <v>456</v>
      </c>
      <c r="AA457" t="s">
        <v>1628</v>
      </c>
      <c r="AB457" s="2">
        <v>38</v>
      </c>
      <c r="AC457" s="2">
        <v>17.5</v>
      </c>
      <c r="AF457">
        <v>51</v>
      </c>
      <c r="AG457">
        <v>14</v>
      </c>
      <c r="AJ457" s="41">
        <v>0</v>
      </c>
      <c r="AL457">
        <f t="shared" si="30"/>
        <v>0</v>
      </c>
      <c r="AM457">
        <f t="shared" si="31"/>
        <v>0</v>
      </c>
      <c r="AN457">
        <f t="shared" si="32"/>
        <v>0</v>
      </c>
    </row>
    <row r="458" spans="1:40" x14ac:dyDescent="0.2">
      <c r="A458" s="2">
        <v>53</v>
      </c>
      <c r="B458" t="s">
        <v>1220</v>
      </c>
      <c r="C458">
        <v>0</v>
      </c>
      <c r="D458">
        <v>0</v>
      </c>
      <c r="E458">
        <v>0</v>
      </c>
      <c r="G458" s="2" t="s">
        <v>1186</v>
      </c>
      <c r="H458" s="2" t="s">
        <v>1191</v>
      </c>
      <c r="I458" s="2">
        <v>15</v>
      </c>
      <c r="J458" s="2" t="s">
        <v>1155</v>
      </c>
      <c r="K458">
        <v>2019</v>
      </c>
      <c r="L458" s="2" t="s">
        <v>32</v>
      </c>
      <c r="M458" t="s">
        <v>897</v>
      </c>
      <c r="N458">
        <v>19.5</v>
      </c>
      <c r="O458">
        <v>0.5</v>
      </c>
      <c r="P458" t="s">
        <v>37</v>
      </c>
      <c r="R458" s="45" t="s">
        <v>39</v>
      </c>
      <c r="S458" s="4">
        <v>37.38964</v>
      </c>
      <c r="T458" s="4">
        <v>-121.73273</v>
      </c>
      <c r="U458">
        <v>2353</v>
      </c>
      <c r="V458" s="6">
        <f t="shared" si="33"/>
        <v>717.19440000000009</v>
      </c>
      <c r="W458" t="s">
        <v>898</v>
      </c>
      <c r="X458" t="s">
        <v>2209</v>
      </c>
      <c r="Y458" s="2" t="s">
        <v>456</v>
      </c>
      <c r="AA458" t="s">
        <v>794</v>
      </c>
      <c r="AB458" s="2">
        <v>38</v>
      </c>
      <c r="AC458" s="2">
        <v>17.5</v>
      </c>
      <c r="AF458">
        <v>51</v>
      </c>
      <c r="AG458">
        <v>14</v>
      </c>
      <c r="AJ458" s="41">
        <v>0</v>
      </c>
      <c r="AL458">
        <f t="shared" si="30"/>
        <v>0</v>
      </c>
      <c r="AM458">
        <f t="shared" si="31"/>
        <v>0</v>
      </c>
      <c r="AN458">
        <f t="shared" si="32"/>
        <v>0</v>
      </c>
    </row>
    <row r="459" spans="1:40" x14ac:dyDescent="0.2">
      <c r="A459" s="2">
        <v>53</v>
      </c>
      <c r="B459" t="s">
        <v>1221</v>
      </c>
      <c r="C459">
        <v>0</v>
      </c>
      <c r="D459">
        <v>0</v>
      </c>
      <c r="E459">
        <v>0</v>
      </c>
      <c r="G459" s="2" t="s">
        <v>1186</v>
      </c>
      <c r="H459" s="2" t="s">
        <v>1191</v>
      </c>
      <c r="I459" s="2">
        <v>15</v>
      </c>
      <c r="J459" s="2" t="s">
        <v>1155</v>
      </c>
      <c r="K459">
        <v>2019</v>
      </c>
      <c r="L459" s="2" t="s">
        <v>32</v>
      </c>
      <c r="M459" t="s">
        <v>897</v>
      </c>
      <c r="N459">
        <v>22</v>
      </c>
      <c r="O459">
        <v>0.5</v>
      </c>
      <c r="P459" t="s">
        <v>37</v>
      </c>
      <c r="R459" s="45" t="s">
        <v>39</v>
      </c>
      <c r="S459" s="4">
        <v>37.38964</v>
      </c>
      <c r="T459" s="4">
        <v>-121.73273</v>
      </c>
      <c r="U459">
        <v>2353</v>
      </c>
      <c r="V459" s="6">
        <f t="shared" si="33"/>
        <v>717.19440000000009</v>
      </c>
      <c r="W459" t="s">
        <v>898</v>
      </c>
      <c r="X459" t="s">
        <v>2209</v>
      </c>
      <c r="Y459" s="2" t="s">
        <v>257</v>
      </c>
      <c r="AA459" t="s">
        <v>1629</v>
      </c>
      <c r="AB459" s="2">
        <v>38</v>
      </c>
      <c r="AC459" s="2">
        <v>17.5</v>
      </c>
      <c r="AF459">
        <v>51</v>
      </c>
      <c r="AG459">
        <v>14</v>
      </c>
      <c r="AJ459" s="41">
        <v>0</v>
      </c>
      <c r="AL459">
        <f t="shared" si="30"/>
        <v>0</v>
      </c>
      <c r="AM459">
        <f t="shared" si="31"/>
        <v>0</v>
      </c>
      <c r="AN459">
        <f t="shared" si="32"/>
        <v>0</v>
      </c>
    </row>
    <row r="460" spans="1:40" x14ac:dyDescent="0.2">
      <c r="A460" s="2">
        <v>53</v>
      </c>
      <c r="B460" t="s">
        <v>1222</v>
      </c>
      <c r="C460">
        <v>0</v>
      </c>
      <c r="D460">
        <v>0</v>
      </c>
      <c r="E460">
        <v>0</v>
      </c>
      <c r="G460" s="2" t="s">
        <v>1186</v>
      </c>
      <c r="H460" s="2" t="s">
        <v>1191</v>
      </c>
      <c r="I460" s="2">
        <v>15</v>
      </c>
      <c r="J460" s="2" t="s">
        <v>1155</v>
      </c>
      <c r="K460">
        <v>2019</v>
      </c>
      <c r="L460" s="2" t="s">
        <v>32</v>
      </c>
      <c r="M460" t="s">
        <v>897</v>
      </c>
      <c r="N460">
        <v>20</v>
      </c>
      <c r="O460">
        <v>1</v>
      </c>
      <c r="P460" t="s">
        <v>37</v>
      </c>
      <c r="R460" s="45" t="s">
        <v>39</v>
      </c>
      <c r="S460" s="4">
        <v>37.38964</v>
      </c>
      <c r="T460" s="4">
        <v>-121.73273</v>
      </c>
      <c r="U460">
        <v>2353</v>
      </c>
      <c r="V460" s="6">
        <f t="shared" si="33"/>
        <v>717.19440000000009</v>
      </c>
      <c r="W460" t="s">
        <v>898</v>
      </c>
      <c r="X460" t="s">
        <v>2209</v>
      </c>
      <c r="Y460" s="2" t="s">
        <v>1113</v>
      </c>
      <c r="AA460" t="s">
        <v>1630</v>
      </c>
      <c r="AB460" s="2">
        <v>38</v>
      </c>
      <c r="AC460" s="2">
        <v>17.5</v>
      </c>
      <c r="AF460">
        <v>51</v>
      </c>
      <c r="AG460">
        <v>14</v>
      </c>
      <c r="AJ460" s="41">
        <v>0</v>
      </c>
      <c r="AL460">
        <f t="shared" si="30"/>
        <v>0</v>
      </c>
      <c r="AM460">
        <f t="shared" si="31"/>
        <v>0</v>
      </c>
      <c r="AN460">
        <f t="shared" si="32"/>
        <v>0</v>
      </c>
    </row>
    <row r="461" spans="1:40" x14ac:dyDescent="0.2">
      <c r="A461" s="2">
        <v>53</v>
      </c>
      <c r="B461" t="s">
        <v>1223</v>
      </c>
      <c r="C461">
        <v>0</v>
      </c>
      <c r="D461">
        <v>0</v>
      </c>
      <c r="E461">
        <v>0</v>
      </c>
      <c r="G461" s="2" t="s">
        <v>1186</v>
      </c>
      <c r="H461" s="2" t="s">
        <v>1191</v>
      </c>
      <c r="I461" s="2">
        <v>15</v>
      </c>
      <c r="J461" s="2" t="s">
        <v>1155</v>
      </c>
      <c r="K461">
        <v>2019</v>
      </c>
      <c r="L461" s="2" t="s">
        <v>32</v>
      </c>
      <c r="M461" t="s">
        <v>897</v>
      </c>
      <c r="N461">
        <v>21</v>
      </c>
      <c r="O461">
        <v>1</v>
      </c>
      <c r="P461" t="s">
        <v>37</v>
      </c>
      <c r="R461" s="45" t="s">
        <v>39</v>
      </c>
      <c r="S461" s="4">
        <v>37.38964</v>
      </c>
      <c r="T461" s="4">
        <v>-121.73273</v>
      </c>
      <c r="U461">
        <v>2353</v>
      </c>
      <c r="V461" s="6">
        <f t="shared" si="33"/>
        <v>717.19440000000009</v>
      </c>
      <c r="W461" t="s">
        <v>898</v>
      </c>
      <c r="X461" t="s">
        <v>2209</v>
      </c>
      <c r="Y461" s="2" t="s">
        <v>353</v>
      </c>
      <c r="Z461" t="s">
        <v>1632</v>
      </c>
      <c r="AA461" t="s">
        <v>1631</v>
      </c>
      <c r="AB461" s="2">
        <v>38</v>
      </c>
      <c r="AC461" s="2">
        <v>17.5</v>
      </c>
      <c r="AF461">
        <v>51</v>
      </c>
      <c r="AG461">
        <v>14</v>
      </c>
      <c r="AJ461" s="41">
        <v>0</v>
      </c>
      <c r="AL461">
        <f t="shared" ref="AL461:AL524" si="34">C461*80</f>
        <v>0</v>
      </c>
      <c r="AM461">
        <f t="shared" ref="AM461:AM524" si="35">D461*80</f>
        <v>0</v>
      </c>
      <c r="AN461">
        <f t="shared" ref="AN461:AN524" si="36">E461*80</f>
        <v>0</v>
      </c>
    </row>
    <row r="462" spans="1:40" x14ac:dyDescent="0.2">
      <c r="A462" s="2">
        <v>53</v>
      </c>
      <c r="B462" t="s">
        <v>1224</v>
      </c>
      <c r="C462">
        <v>0</v>
      </c>
      <c r="D462">
        <v>0</v>
      </c>
      <c r="E462">
        <v>0</v>
      </c>
      <c r="G462" s="2" t="s">
        <v>1186</v>
      </c>
      <c r="H462" s="2" t="s">
        <v>1191</v>
      </c>
      <c r="I462" s="2">
        <v>15</v>
      </c>
      <c r="J462" s="2" t="s">
        <v>1155</v>
      </c>
      <c r="K462">
        <v>2019</v>
      </c>
      <c r="L462" s="2" t="s">
        <v>32</v>
      </c>
      <c r="M462" t="s">
        <v>897</v>
      </c>
      <c r="N462">
        <v>22.5</v>
      </c>
      <c r="O462">
        <v>2</v>
      </c>
      <c r="P462" t="s">
        <v>37</v>
      </c>
      <c r="R462" s="45" t="s">
        <v>39</v>
      </c>
      <c r="S462" s="4">
        <v>37.38964</v>
      </c>
      <c r="T462" s="4">
        <v>-121.73273</v>
      </c>
      <c r="U462">
        <v>2353</v>
      </c>
      <c r="V462" s="6">
        <f t="shared" si="33"/>
        <v>717.19440000000009</v>
      </c>
      <c r="W462" t="s">
        <v>898</v>
      </c>
      <c r="X462" t="s">
        <v>2209</v>
      </c>
      <c r="Y462" s="2" t="s">
        <v>267</v>
      </c>
      <c r="Z462" t="s">
        <v>1633</v>
      </c>
      <c r="AA462" t="s">
        <v>1634</v>
      </c>
      <c r="AB462" s="2">
        <v>38</v>
      </c>
      <c r="AC462" s="2">
        <v>17.5</v>
      </c>
      <c r="AF462">
        <v>51</v>
      </c>
      <c r="AG462">
        <v>14</v>
      </c>
      <c r="AJ462" s="41">
        <v>0</v>
      </c>
      <c r="AL462">
        <f t="shared" si="34"/>
        <v>0</v>
      </c>
      <c r="AM462">
        <f t="shared" si="35"/>
        <v>0</v>
      </c>
      <c r="AN462">
        <f t="shared" si="36"/>
        <v>0</v>
      </c>
    </row>
    <row r="463" spans="1:40" x14ac:dyDescent="0.2">
      <c r="A463" s="2">
        <v>53</v>
      </c>
      <c r="B463" t="s">
        <v>1225</v>
      </c>
      <c r="C463">
        <v>0</v>
      </c>
      <c r="D463">
        <v>0</v>
      </c>
      <c r="E463">
        <v>0</v>
      </c>
      <c r="G463" s="2" t="s">
        <v>1186</v>
      </c>
      <c r="H463" s="2" t="s">
        <v>1191</v>
      </c>
      <c r="I463" s="2">
        <v>15</v>
      </c>
      <c r="J463" s="2" t="s">
        <v>1155</v>
      </c>
      <c r="K463">
        <v>2019</v>
      </c>
      <c r="L463" s="2" t="s">
        <v>33</v>
      </c>
      <c r="M463" t="s">
        <v>897</v>
      </c>
      <c r="N463">
        <v>86.5</v>
      </c>
      <c r="O463" t="s">
        <v>43</v>
      </c>
      <c r="P463" t="s">
        <v>30</v>
      </c>
      <c r="Q463" t="s">
        <v>38</v>
      </c>
      <c r="R463" t="s">
        <v>39</v>
      </c>
      <c r="S463" s="4">
        <v>37.38964</v>
      </c>
      <c r="T463" s="4">
        <v>-121.73273</v>
      </c>
      <c r="U463">
        <v>2353</v>
      </c>
      <c r="V463" s="6">
        <f t="shared" si="33"/>
        <v>717.19440000000009</v>
      </c>
      <c r="W463" t="s">
        <v>898</v>
      </c>
      <c r="X463" t="s">
        <v>2209</v>
      </c>
      <c r="Y463" s="2" t="s">
        <v>267</v>
      </c>
      <c r="AA463" t="s">
        <v>1635</v>
      </c>
      <c r="AB463" s="2">
        <v>38</v>
      </c>
      <c r="AC463" s="2">
        <v>17.5</v>
      </c>
      <c r="AF463">
        <v>51</v>
      </c>
      <c r="AG463">
        <v>14</v>
      </c>
      <c r="AJ463" s="41">
        <v>0</v>
      </c>
      <c r="AL463">
        <f t="shared" si="34"/>
        <v>0</v>
      </c>
      <c r="AM463">
        <f t="shared" si="35"/>
        <v>0</v>
      </c>
      <c r="AN463">
        <f t="shared" si="36"/>
        <v>0</v>
      </c>
    </row>
    <row r="464" spans="1:40" x14ac:dyDescent="0.2">
      <c r="A464" s="2">
        <v>53</v>
      </c>
      <c r="B464" t="s">
        <v>1226</v>
      </c>
      <c r="C464">
        <v>0.42706400156021118</v>
      </c>
      <c r="D464">
        <v>0.54015010595321655</v>
      </c>
      <c r="E464">
        <v>0.23377038538455963</v>
      </c>
      <c r="G464" s="2" t="s">
        <v>1186</v>
      </c>
      <c r="H464" s="2" t="s">
        <v>1191</v>
      </c>
      <c r="I464" s="2">
        <v>15</v>
      </c>
      <c r="J464" s="2" t="s">
        <v>1155</v>
      </c>
      <c r="K464">
        <v>2019</v>
      </c>
      <c r="L464" s="2" t="s">
        <v>32</v>
      </c>
      <c r="M464" t="s">
        <v>897</v>
      </c>
      <c r="N464">
        <v>20</v>
      </c>
      <c r="O464">
        <v>1</v>
      </c>
      <c r="P464" t="s">
        <v>37</v>
      </c>
      <c r="R464" s="45" t="s">
        <v>39</v>
      </c>
      <c r="S464" s="4">
        <v>37.38964</v>
      </c>
      <c r="T464" s="4">
        <v>-121.73273</v>
      </c>
      <c r="U464">
        <v>2353</v>
      </c>
      <c r="V464" s="6">
        <f t="shared" si="33"/>
        <v>717.19440000000009</v>
      </c>
      <c r="W464" t="s">
        <v>898</v>
      </c>
      <c r="X464" t="s">
        <v>2209</v>
      </c>
      <c r="Y464" s="2" t="s">
        <v>891</v>
      </c>
      <c r="AA464" t="s">
        <v>1636</v>
      </c>
      <c r="AB464" s="2">
        <v>38</v>
      </c>
      <c r="AC464" s="2">
        <v>17.5</v>
      </c>
      <c r="AF464">
        <v>51</v>
      </c>
      <c r="AG464">
        <v>14</v>
      </c>
      <c r="AJ464" s="41">
        <v>0</v>
      </c>
      <c r="AL464">
        <f t="shared" si="34"/>
        <v>34.165120124816895</v>
      </c>
      <c r="AM464">
        <f t="shared" si="35"/>
        <v>43.212008476257324</v>
      </c>
      <c r="AN464">
        <f t="shared" si="36"/>
        <v>18.701630830764771</v>
      </c>
    </row>
    <row r="465" spans="1:40" s="11" customFormat="1" x14ac:dyDescent="0.2">
      <c r="A465" s="11">
        <v>53</v>
      </c>
      <c r="B465" s="11" t="s">
        <v>1337</v>
      </c>
      <c r="G465" s="11" t="s">
        <v>1186</v>
      </c>
      <c r="H465" s="11" t="s">
        <v>1191</v>
      </c>
      <c r="I465" s="11">
        <v>15</v>
      </c>
      <c r="J465" s="11" t="s">
        <v>1155</v>
      </c>
      <c r="K465" s="11">
        <v>2019</v>
      </c>
      <c r="L465" s="11" t="s">
        <v>32</v>
      </c>
      <c r="M465" s="11" t="s">
        <v>897</v>
      </c>
      <c r="N465" s="11">
        <v>18</v>
      </c>
      <c r="O465" s="11">
        <v>1</v>
      </c>
      <c r="P465" s="11" t="s">
        <v>37</v>
      </c>
      <c r="R465" s="11" t="s">
        <v>89</v>
      </c>
      <c r="S465" s="4">
        <v>37.38964</v>
      </c>
      <c r="T465" s="4">
        <v>-121.73273</v>
      </c>
      <c r="U465">
        <v>2353</v>
      </c>
      <c r="V465" s="6">
        <f t="shared" si="33"/>
        <v>717.19440000000009</v>
      </c>
      <c r="W465" t="s">
        <v>898</v>
      </c>
      <c r="X465" t="s">
        <v>2209</v>
      </c>
      <c r="Y465" s="11" t="s">
        <v>783</v>
      </c>
      <c r="AA465" s="11" t="s">
        <v>1637</v>
      </c>
      <c r="AB465" s="2">
        <v>38</v>
      </c>
      <c r="AC465" s="2">
        <v>17.5</v>
      </c>
      <c r="AF465">
        <v>51</v>
      </c>
      <c r="AG465">
        <v>14</v>
      </c>
      <c r="AJ465" s="41">
        <v>0</v>
      </c>
      <c r="AL465">
        <f t="shared" si="34"/>
        <v>0</v>
      </c>
      <c r="AM465">
        <f t="shared" si="35"/>
        <v>0</v>
      </c>
      <c r="AN465">
        <f t="shared" si="36"/>
        <v>0</v>
      </c>
    </row>
    <row r="466" spans="1:40" x14ac:dyDescent="0.2">
      <c r="A466" s="2">
        <v>53</v>
      </c>
      <c r="B466" t="s">
        <v>1338</v>
      </c>
      <c r="C466">
        <v>0</v>
      </c>
      <c r="D466">
        <v>0</v>
      </c>
      <c r="E466">
        <v>0</v>
      </c>
      <c r="G466" s="2" t="s">
        <v>1186</v>
      </c>
      <c r="H466" s="2" t="s">
        <v>1191</v>
      </c>
      <c r="I466" s="2">
        <v>15</v>
      </c>
      <c r="J466" s="2" t="s">
        <v>1155</v>
      </c>
      <c r="K466">
        <v>2019</v>
      </c>
      <c r="L466" s="2" t="s">
        <v>32</v>
      </c>
      <c r="M466" t="s">
        <v>897</v>
      </c>
      <c r="N466">
        <v>19</v>
      </c>
      <c r="O466">
        <v>0.5</v>
      </c>
      <c r="P466" t="s">
        <v>37</v>
      </c>
      <c r="R466" s="45" t="s">
        <v>39</v>
      </c>
      <c r="S466" s="4">
        <v>37.38964</v>
      </c>
      <c r="T466" s="4">
        <v>-121.73273</v>
      </c>
      <c r="U466">
        <v>2353</v>
      </c>
      <c r="V466" s="6">
        <f t="shared" si="33"/>
        <v>717.19440000000009</v>
      </c>
      <c r="W466" t="s">
        <v>898</v>
      </c>
      <c r="X466" t="s">
        <v>2209</v>
      </c>
      <c r="Y466" s="2" t="s">
        <v>1114</v>
      </c>
      <c r="AA466" t="s">
        <v>1638</v>
      </c>
      <c r="AB466" s="2">
        <v>38</v>
      </c>
      <c r="AC466" s="2">
        <v>17.5</v>
      </c>
      <c r="AF466">
        <v>51</v>
      </c>
      <c r="AG466">
        <v>14</v>
      </c>
      <c r="AJ466" s="41">
        <v>0</v>
      </c>
      <c r="AL466">
        <f t="shared" si="34"/>
        <v>0</v>
      </c>
      <c r="AM466">
        <f t="shared" si="35"/>
        <v>0</v>
      </c>
      <c r="AN466">
        <f t="shared" si="36"/>
        <v>0</v>
      </c>
    </row>
    <row r="467" spans="1:40" x14ac:dyDescent="0.2">
      <c r="A467" s="2">
        <v>53</v>
      </c>
      <c r="B467" t="s">
        <v>1339</v>
      </c>
      <c r="C467">
        <v>0</v>
      </c>
      <c r="D467">
        <v>0</v>
      </c>
      <c r="E467">
        <v>0</v>
      </c>
      <c r="G467" s="2" t="s">
        <v>1186</v>
      </c>
      <c r="H467" s="2" t="s">
        <v>1191</v>
      </c>
      <c r="I467" s="2">
        <v>15</v>
      </c>
      <c r="J467" s="2" t="s">
        <v>1155</v>
      </c>
      <c r="K467">
        <v>2019</v>
      </c>
      <c r="L467" s="2" t="s">
        <v>32</v>
      </c>
      <c r="M467" t="s">
        <v>897</v>
      </c>
      <c r="N467">
        <v>24.5</v>
      </c>
      <c r="O467">
        <v>1</v>
      </c>
      <c r="P467" t="s">
        <v>30</v>
      </c>
      <c r="R467" s="45" t="s">
        <v>39</v>
      </c>
      <c r="S467" s="4">
        <v>37.38964</v>
      </c>
      <c r="T467" s="4">
        <v>-121.73273</v>
      </c>
      <c r="U467">
        <v>2353</v>
      </c>
      <c r="V467" s="6">
        <f t="shared" si="33"/>
        <v>717.19440000000009</v>
      </c>
      <c r="W467" t="s">
        <v>898</v>
      </c>
      <c r="X467" t="s">
        <v>2209</v>
      </c>
      <c r="Y467" s="2" t="s">
        <v>1114</v>
      </c>
      <c r="AA467" t="s">
        <v>1639</v>
      </c>
      <c r="AB467" s="2">
        <v>38</v>
      </c>
      <c r="AC467" s="2">
        <v>17.5</v>
      </c>
      <c r="AF467">
        <v>51</v>
      </c>
      <c r="AG467">
        <v>14</v>
      </c>
      <c r="AJ467" s="41">
        <v>0</v>
      </c>
      <c r="AL467">
        <f t="shared" si="34"/>
        <v>0</v>
      </c>
      <c r="AM467">
        <f t="shared" si="35"/>
        <v>0</v>
      </c>
      <c r="AN467">
        <f t="shared" si="36"/>
        <v>0</v>
      </c>
    </row>
    <row r="468" spans="1:40" x14ac:dyDescent="0.2">
      <c r="A468" s="2">
        <v>53</v>
      </c>
      <c r="B468" t="s">
        <v>1340</v>
      </c>
      <c r="C468">
        <v>8.7338343262672424E-2</v>
      </c>
      <c r="D468">
        <v>3.2023914158344269E-2</v>
      </c>
      <c r="E468">
        <v>0</v>
      </c>
      <c r="G468" s="2" t="s">
        <v>1186</v>
      </c>
      <c r="H468" s="2" t="s">
        <v>1191</v>
      </c>
      <c r="I468" s="2">
        <v>15</v>
      </c>
      <c r="J468" s="2" t="s">
        <v>1155</v>
      </c>
      <c r="K468">
        <v>2019</v>
      </c>
      <c r="L468" s="2" t="s">
        <v>33</v>
      </c>
      <c r="M468" t="s">
        <v>897</v>
      </c>
      <c r="N468">
        <v>27</v>
      </c>
      <c r="O468">
        <f>31.5-28.5</f>
        <v>3</v>
      </c>
      <c r="P468" t="s">
        <v>30</v>
      </c>
      <c r="R468" t="s">
        <v>89</v>
      </c>
      <c r="S468" s="4">
        <v>37.38964</v>
      </c>
      <c r="T468" s="4">
        <v>-121.73273</v>
      </c>
      <c r="U468">
        <v>2353</v>
      </c>
      <c r="V468" s="6">
        <f t="shared" si="33"/>
        <v>717.19440000000009</v>
      </c>
      <c r="W468" t="s">
        <v>898</v>
      </c>
      <c r="X468" t="s">
        <v>2209</v>
      </c>
      <c r="Y468" s="2" t="s">
        <v>1099</v>
      </c>
      <c r="AA468" t="s">
        <v>336</v>
      </c>
      <c r="AB468" s="2">
        <v>38</v>
      </c>
      <c r="AC468" s="2">
        <v>17.5</v>
      </c>
      <c r="AF468">
        <v>51</v>
      </c>
      <c r="AG468">
        <v>14</v>
      </c>
      <c r="AJ468" s="41">
        <v>0</v>
      </c>
      <c r="AL468">
        <f t="shared" si="34"/>
        <v>6.9870674610137939</v>
      </c>
      <c r="AM468">
        <f t="shared" si="35"/>
        <v>2.5619131326675415</v>
      </c>
      <c r="AN468">
        <f t="shared" si="36"/>
        <v>0</v>
      </c>
    </row>
    <row r="469" spans="1:40" x14ac:dyDescent="0.2">
      <c r="A469" s="2">
        <v>53</v>
      </c>
      <c r="B469" t="s">
        <v>1341</v>
      </c>
      <c r="C469">
        <v>0</v>
      </c>
      <c r="D469">
        <v>0</v>
      </c>
      <c r="E469">
        <v>0</v>
      </c>
      <c r="G469" s="2" t="s">
        <v>1186</v>
      </c>
      <c r="H469" s="2" t="s">
        <v>1191</v>
      </c>
      <c r="I469" s="2">
        <v>15</v>
      </c>
      <c r="J469" s="2" t="s">
        <v>1155</v>
      </c>
      <c r="K469">
        <v>2019</v>
      </c>
      <c r="L469" s="2" t="s">
        <v>32</v>
      </c>
      <c r="M469" t="s">
        <v>897</v>
      </c>
      <c r="N469">
        <v>23</v>
      </c>
      <c r="O469">
        <f>31-29</f>
        <v>2</v>
      </c>
      <c r="P469" t="s">
        <v>37</v>
      </c>
      <c r="Q469" s="3"/>
      <c r="R469" s="45" t="s">
        <v>39</v>
      </c>
      <c r="S469" s="4">
        <v>37.38964</v>
      </c>
      <c r="T469" s="4">
        <v>-121.73273</v>
      </c>
      <c r="U469">
        <v>2353</v>
      </c>
      <c r="V469" s="6">
        <f t="shared" si="33"/>
        <v>717.19440000000009</v>
      </c>
      <c r="W469" t="s">
        <v>898</v>
      </c>
      <c r="X469" t="s">
        <v>2209</v>
      </c>
      <c r="Y469" s="2" t="s">
        <v>363</v>
      </c>
      <c r="AA469" t="s">
        <v>1640</v>
      </c>
      <c r="AB469" s="2">
        <v>38</v>
      </c>
      <c r="AC469" s="2">
        <v>17.5</v>
      </c>
      <c r="AF469">
        <v>51</v>
      </c>
      <c r="AG469">
        <v>14</v>
      </c>
      <c r="AJ469" s="41">
        <v>0</v>
      </c>
      <c r="AL469">
        <f t="shared" si="34"/>
        <v>0</v>
      </c>
      <c r="AM469">
        <f t="shared" si="35"/>
        <v>0</v>
      </c>
      <c r="AN469">
        <f t="shared" si="36"/>
        <v>0</v>
      </c>
    </row>
    <row r="470" spans="1:40" x14ac:dyDescent="0.2">
      <c r="A470" s="2">
        <v>53</v>
      </c>
      <c r="B470" t="s">
        <v>1342</v>
      </c>
      <c r="C470">
        <v>0</v>
      </c>
      <c r="D470">
        <v>1.0314274579286575E-2</v>
      </c>
      <c r="E470">
        <v>0</v>
      </c>
      <c r="G470" s="2" t="s">
        <v>1186</v>
      </c>
      <c r="H470" s="2" t="s">
        <v>1191</v>
      </c>
      <c r="I470" s="2">
        <v>15</v>
      </c>
      <c r="J470" s="2" t="s">
        <v>1155</v>
      </c>
      <c r="K470">
        <v>2019</v>
      </c>
      <c r="L470" s="2" t="s">
        <v>33</v>
      </c>
      <c r="M470" t="s">
        <v>897</v>
      </c>
      <c r="N470">
        <v>30</v>
      </c>
      <c r="O470">
        <v>2</v>
      </c>
      <c r="P470" t="s">
        <v>30</v>
      </c>
      <c r="R470" t="s">
        <v>89</v>
      </c>
      <c r="S470" s="4">
        <v>37.38964</v>
      </c>
      <c r="T470" s="4">
        <v>-121.73273</v>
      </c>
      <c r="U470">
        <v>2353</v>
      </c>
      <c r="V470" s="6">
        <f t="shared" si="33"/>
        <v>717.19440000000009</v>
      </c>
      <c r="W470" t="s">
        <v>898</v>
      </c>
      <c r="X470" t="s">
        <v>2209</v>
      </c>
      <c r="Y470" s="2" t="s">
        <v>363</v>
      </c>
      <c r="AA470" t="s">
        <v>322</v>
      </c>
      <c r="AB470" s="2">
        <v>38</v>
      </c>
      <c r="AC470" s="2">
        <v>17.5</v>
      </c>
      <c r="AF470">
        <v>51</v>
      </c>
      <c r="AG470">
        <v>14</v>
      </c>
      <c r="AJ470" s="41">
        <v>0</v>
      </c>
      <c r="AL470">
        <f t="shared" si="34"/>
        <v>0</v>
      </c>
      <c r="AM470">
        <f t="shared" si="35"/>
        <v>0.82514196634292603</v>
      </c>
      <c r="AN470">
        <f t="shared" si="36"/>
        <v>0</v>
      </c>
    </row>
    <row r="471" spans="1:40" x14ac:dyDescent="0.2">
      <c r="A471" s="2">
        <v>53</v>
      </c>
      <c r="B471" t="s">
        <v>1343</v>
      </c>
      <c r="C471">
        <v>0</v>
      </c>
      <c r="D471">
        <v>0</v>
      </c>
      <c r="E471">
        <v>0</v>
      </c>
      <c r="G471" s="2" t="s">
        <v>1186</v>
      </c>
      <c r="H471" s="2" t="s">
        <v>1191</v>
      </c>
      <c r="I471" s="2">
        <v>15</v>
      </c>
      <c r="J471" s="2" t="s">
        <v>1155</v>
      </c>
      <c r="K471">
        <v>2019</v>
      </c>
      <c r="L471" s="2" t="s">
        <v>32</v>
      </c>
      <c r="M471" t="s">
        <v>897</v>
      </c>
      <c r="N471">
        <v>21</v>
      </c>
      <c r="O471">
        <v>0.5</v>
      </c>
      <c r="P471" t="s">
        <v>30</v>
      </c>
      <c r="R471" s="45" t="s">
        <v>39</v>
      </c>
      <c r="S471" s="4">
        <v>37.38964</v>
      </c>
      <c r="T471" s="4">
        <v>-121.73273</v>
      </c>
      <c r="U471">
        <v>2353</v>
      </c>
      <c r="V471" s="6">
        <f t="shared" si="33"/>
        <v>717.19440000000009</v>
      </c>
      <c r="W471" t="s">
        <v>898</v>
      </c>
      <c r="X471" t="s">
        <v>2209</v>
      </c>
      <c r="Y471" s="2" t="s">
        <v>752</v>
      </c>
      <c r="AA471" t="s">
        <v>1641</v>
      </c>
      <c r="AB471" s="2">
        <v>38</v>
      </c>
      <c r="AC471" s="2">
        <v>17.5</v>
      </c>
      <c r="AF471">
        <v>51</v>
      </c>
      <c r="AG471">
        <v>14</v>
      </c>
      <c r="AJ471" s="41">
        <v>0</v>
      </c>
      <c r="AL471">
        <f t="shared" si="34"/>
        <v>0</v>
      </c>
      <c r="AM471">
        <f t="shared" si="35"/>
        <v>0</v>
      </c>
      <c r="AN471">
        <f t="shared" si="36"/>
        <v>0</v>
      </c>
    </row>
    <row r="472" spans="1:40" x14ac:dyDescent="0.2">
      <c r="A472" s="2">
        <v>53</v>
      </c>
      <c r="B472" t="s">
        <v>1344</v>
      </c>
      <c r="C472">
        <v>0</v>
      </c>
      <c r="D472">
        <v>0</v>
      </c>
      <c r="E472">
        <v>0</v>
      </c>
      <c r="G472" s="2" t="s">
        <v>1186</v>
      </c>
      <c r="H472" s="2" t="s">
        <v>1191</v>
      </c>
      <c r="I472" s="2">
        <v>15</v>
      </c>
      <c r="J472" s="2" t="s">
        <v>1155</v>
      </c>
      <c r="K472">
        <v>2019</v>
      </c>
      <c r="L472" s="2" t="s">
        <v>32</v>
      </c>
      <c r="M472" t="s">
        <v>897</v>
      </c>
      <c r="N472">
        <v>20</v>
      </c>
      <c r="O472">
        <f>32-30.5</f>
        <v>1.5</v>
      </c>
      <c r="P472" t="s">
        <v>37</v>
      </c>
      <c r="R472" s="45" t="s">
        <v>39</v>
      </c>
      <c r="S472" s="4">
        <v>37.38964</v>
      </c>
      <c r="T472" s="4">
        <v>-121.73273</v>
      </c>
      <c r="U472">
        <v>2353</v>
      </c>
      <c r="V472" s="6">
        <f t="shared" si="33"/>
        <v>717.19440000000009</v>
      </c>
      <c r="W472" t="s">
        <v>898</v>
      </c>
      <c r="X472" t="s">
        <v>2209</v>
      </c>
      <c r="Y472" s="2" t="s">
        <v>304</v>
      </c>
      <c r="AA472" t="s">
        <v>1642</v>
      </c>
      <c r="AB472" s="2">
        <v>38</v>
      </c>
      <c r="AC472" s="2">
        <v>17.5</v>
      </c>
      <c r="AF472">
        <v>51</v>
      </c>
      <c r="AG472">
        <v>14</v>
      </c>
      <c r="AJ472" s="41">
        <v>0</v>
      </c>
      <c r="AL472">
        <f t="shared" si="34"/>
        <v>0</v>
      </c>
      <c r="AM472">
        <f t="shared" si="35"/>
        <v>0</v>
      </c>
      <c r="AN472">
        <f t="shared" si="36"/>
        <v>0</v>
      </c>
    </row>
    <row r="473" spans="1:40" x14ac:dyDescent="0.2">
      <c r="A473" s="2">
        <v>53</v>
      </c>
      <c r="B473" t="s">
        <v>1345</v>
      </c>
      <c r="C473">
        <v>0</v>
      </c>
      <c r="D473">
        <v>0</v>
      </c>
      <c r="E473">
        <v>0</v>
      </c>
      <c r="G473" s="2" t="s">
        <v>1186</v>
      </c>
      <c r="H473" s="2" t="s">
        <v>1191</v>
      </c>
      <c r="I473" s="2">
        <v>15</v>
      </c>
      <c r="J473" s="2" t="s">
        <v>1155</v>
      </c>
      <c r="K473">
        <v>2019</v>
      </c>
      <c r="L473" s="2" t="s">
        <v>32</v>
      </c>
      <c r="M473" t="s">
        <v>897</v>
      </c>
      <c r="N473">
        <v>23</v>
      </c>
      <c r="O473">
        <f>32.5-31</f>
        <v>1.5</v>
      </c>
      <c r="P473" t="s">
        <v>37</v>
      </c>
      <c r="R473" s="45" t="s">
        <v>39</v>
      </c>
      <c r="S473" s="4">
        <v>37.38964</v>
      </c>
      <c r="T473" s="4">
        <v>-121.73273</v>
      </c>
      <c r="U473">
        <v>2353</v>
      </c>
      <c r="V473" s="6">
        <f t="shared" si="33"/>
        <v>717.19440000000009</v>
      </c>
      <c r="W473" t="s">
        <v>898</v>
      </c>
      <c r="X473" t="s">
        <v>2209</v>
      </c>
      <c r="Y473" s="2" t="s">
        <v>1111</v>
      </c>
      <c r="AA473" t="s">
        <v>1643</v>
      </c>
      <c r="AB473" s="2">
        <v>38</v>
      </c>
      <c r="AC473" s="2">
        <v>17.5</v>
      </c>
      <c r="AF473">
        <v>51</v>
      </c>
      <c r="AG473">
        <v>14</v>
      </c>
      <c r="AJ473" s="41">
        <v>0</v>
      </c>
      <c r="AL473">
        <f t="shared" si="34"/>
        <v>0</v>
      </c>
      <c r="AM473">
        <f t="shared" si="35"/>
        <v>0</v>
      </c>
      <c r="AN473">
        <f t="shared" si="36"/>
        <v>0</v>
      </c>
    </row>
    <row r="474" spans="1:40" x14ac:dyDescent="0.2">
      <c r="A474" s="2">
        <v>53</v>
      </c>
      <c r="B474" t="s">
        <v>1346</v>
      </c>
      <c r="C474">
        <v>2.5356100872159004E-2</v>
      </c>
      <c r="D474">
        <v>5.5933576077222824E-2</v>
      </c>
      <c r="E474">
        <v>4.7734048217535019E-2</v>
      </c>
      <c r="G474" s="2" t="s">
        <v>1186</v>
      </c>
      <c r="H474" s="2" t="s">
        <v>1191</v>
      </c>
      <c r="I474" s="2">
        <v>15</v>
      </c>
      <c r="J474" s="2" t="s">
        <v>1155</v>
      </c>
      <c r="K474">
        <v>2019</v>
      </c>
      <c r="L474" s="2" t="s">
        <v>32</v>
      </c>
      <c r="M474" t="s">
        <v>897</v>
      </c>
      <c r="N474">
        <v>20</v>
      </c>
      <c r="O474">
        <f>31.5-30</f>
        <v>1.5</v>
      </c>
      <c r="P474" t="s">
        <v>37</v>
      </c>
      <c r="R474" s="45" t="s">
        <v>39</v>
      </c>
      <c r="S474" s="4">
        <v>37.38964</v>
      </c>
      <c r="T474" s="4">
        <v>-121.73273</v>
      </c>
      <c r="U474">
        <v>2353</v>
      </c>
      <c r="V474" s="6">
        <f t="shared" si="33"/>
        <v>717.19440000000009</v>
      </c>
      <c r="W474" t="s">
        <v>898</v>
      </c>
      <c r="X474" t="s">
        <v>2209</v>
      </c>
      <c r="Y474" s="2" t="s">
        <v>753</v>
      </c>
      <c r="AA474" t="s">
        <v>1644</v>
      </c>
      <c r="AB474" s="2">
        <v>38</v>
      </c>
      <c r="AC474" s="2">
        <v>17.5</v>
      </c>
      <c r="AF474">
        <v>51</v>
      </c>
      <c r="AG474">
        <v>14</v>
      </c>
      <c r="AJ474" s="41">
        <v>0</v>
      </c>
      <c r="AL474">
        <f t="shared" si="34"/>
        <v>2.0284880697727203</v>
      </c>
      <c r="AM474">
        <f t="shared" si="35"/>
        <v>4.4746860861778259</v>
      </c>
      <c r="AN474">
        <f t="shared" si="36"/>
        <v>3.8187238574028015</v>
      </c>
    </row>
    <row r="475" spans="1:40" x14ac:dyDescent="0.2">
      <c r="A475" s="2">
        <v>53</v>
      </c>
      <c r="B475" t="s">
        <v>1347</v>
      </c>
      <c r="C475">
        <v>0</v>
      </c>
      <c r="D475">
        <v>0</v>
      </c>
      <c r="E475">
        <v>0</v>
      </c>
      <c r="G475" s="2" t="s">
        <v>1186</v>
      </c>
      <c r="H475" s="2" t="s">
        <v>1191</v>
      </c>
      <c r="I475" s="2">
        <v>15</v>
      </c>
      <c r="J475" s="2" t="s">
        <v>1155</v>
      </c>
      <c r="K475">
        <v>2019</v>
      </c>
      <c r="L475" s="2" t="s">
        <v>32</v>
      </c>
      <c r="M475" t="s">
        <v>897</v>
      </c>
      <c r="N475">
        <v>21.5</v>
      </c>
      <c r="O475">
        <v>1</v>
      </c>
      <c r="P475" t="s">
        <v>37</v>
      </c>
      <c r="R475" s="45" t="s">
        <v>39</v>
      </c>
      <c r="S475" s="4">
        <v>37.38964</v>
      </c>
      <c r="T475" s="4">
        <v>-121.73273</v>
      </c>
      <c r="U475">
        <v>2353</v>
      </c>
      <c r="V475" s="6">
        <f t="shared" si="33"/>
        <v>717.19440000000009</v>
      </c>
      <c r="W475" t="s">
        <v>898</v>
      </c>
      <c r="X475" t="s">
        <v>2209</v>
      </c>
      <c r="Y475" s="2" t="s">
        <v>307</v>
      </c>
      <c r="AA475" t="s">
        <v>1645</v>
      </c>
      <c r="AB475" s="2">
        <v>38</v>
      </c>
      <c r="AC475" s="2">
        <v>17.5</v>
      </c>
      <c r="AF475">
        <v>51</v>
      </c>
      <c r="AG475">
        <v>14</v>
      </c>
      <c r="AJ475" s="41">
        <v>0</v>
      </c>
      <c r="AL475">
        <f t="shared" si="34"/>
        <v>0</v>
      </c>
      <c r="AM475">
        <f t="shared" si="35"/>
        <v>0</v>
      </c>
      <c r="AN475">
        <f t="shared" si="36"/>
        <v>0</v>
      </c>
    </row>
    <row r="476" spans="1:40" x14ac:dyDescent="0.2">
      <c r="A476" s="2">
        <v>53</v>
      </c>
      <c r="B476" t="s">
        <v>1348</v>
      </c>
      <c r="C476">
        <v>0</v>
      </c>
      <c r="D476">
        <v>0</v>
      </c>
      <c r="E476">
        <v>0</v>
      </c>
      <c r="G476" s="2" t="s">
        <v>1186</v>
      </c>
      <c r="H476" s="2" t="s">
        <v>1191</v>
      </c>
      <c r="I476" s="2">
        <v>15</v>
      </c>
      <c r="J476" s="2" t="s">
        <v>1155</v>
      </c>
      <c r="K476">
        <v>2019</v>
      </c>
      <c r="L476" s="2" t="s">
        <v>32</v>
      </c>
      <c r="M476" t="s">
        <v>897</v>
      </c>
      <c r="N476">
        <v>21</v>
      </c>
      <c r="O476">
        <v>1</v>
      </c>
      <c r="P476" t="s">
        <v>37</v>
      </c>
      <c r="R476" s="45" t="s">
        <v>39</v>
      </c>
      <c r="S476" s="4">
        <v>37.38964</v>
      </c>
      <c r="T476" s="4">
        <v>-121.73273</v>
      </c>
      <c r="U476">
        <v>2353</v>
      </c>
      <c r="V476" s="6">
        <f t="shared" si="33"/>
        <v>717.19440000000009</v>
      </c>
      <c r="W476" t="s">
        <v>898</v>
      </c>
      <c r="X476" t="s">
        <v>2209</v>
      </c>
      <c r="Y476" s="2" t="s">
        <v>61</v>
      </c>
      <c r="AA476" t="s">
        <v>1646</v>
      </c>
      <c r="AB476" s="2">
        <v>38</v>
      </c>
      <c r="AC476" s="2">
        <v>17.5</v>
      </c>
      <c r="AF476">
        <v>51</v>
      </c>
      <c r="AG476">
        <v>14</v>
      </c>
      <c r="AJ476" s="41">
        <v>0</v>
      </c>
      <c r="AL476">
        <f t="shared" si="34"/>
        <v>0</v>
      </c>
      <c r="AM476">
        <f t="shared" si="35"/>
        <v>0</v>
      </c>
      <c r="AN476">
        <f t="shared" si="36"/>
        <v>0</v>
      </c>
    </row>
    <row r="477" spans="1:40" x14ac:dyDescent="0.2">
      <c r="A477" s="2">
        <v>53</v>
      </c>
      <c r="B477" t="s">
        <v>1349</v>
      </c>
      <c r="C477">
        <v>0</v>
      </c>
      <c r="D477">
        <v>0</v>
      </c>
      <c r="E477">
        <v>0</v>
      </c>
      <c r="G477" s="2" t="s">
        <v>1186</v>
      </c>
      <c r="H477" s="2" t="s">
        <v>1191</v>
      </c>
      <c r="I477" s="2">
        <v>15</v>
      </c>
      <c r="J477" s="2" t="s">
        <v>1155</v>
      </c>
      <c r="K477">
        <v>2019</v>
      </c>
      <c r="L477" s="2" t="s">
        <v>32</v>
      </c>
      <c r="M477" t="s">
        <v>897</v>
      </c>
      <c r="N477">
        <v>21</v>
      </c>
      <c r="O477">
        <v>1</v>
      </c>
      <c r="P477" t="s">
        <v>37</v>
      </c>
      <c r="R477" s="45" t="s">
        <v>39</v>
      </c>
      <c r="S477" s="4">
        <v>37.38964</v>
      </c>
      <c r="T477" s="4">
        <v>-121.73273</v>
      </c>
      <c r="U477">
        <v>2353</v>
      </c>
      <c r="V477" s="6">
        <f t="shared" si="33"/>
        <v>717.19440000000009</v>
      </c>
      <c r="W477" t="s">
        <v>898</v>
      </c>
      <c r="X477" t="s">
        <v>2209</v>
      </c>
      <c r="Y477" s="2" t="s">
        <v>754</v>
      </c>
      <c r="AA477" t="s">
        <v>1647</v>
      </c>
      <c r="AB477" s="2">
        <v>38</v>
      </c>
      <c r="AC477" s="2">
        <v>17.5</v>
      </c>
      <c r="AF477">
        <v>51</v>
      </c>
      <c r="AG477">
        <v>14</v>
      </c>
      <c r="AJ477" s="41">
        <v>0</v>
      </c>
      <c r="AL477">
        <f t="shared" si="34"/>
        <v>0</v>
      </c>
      <c r="AM477">
        <f t="shared" si="35"/>
        <v>0</v>
      </c>
      <c r="AN477">
        <f t="shared" si="36"/>
        <v>0</v>
      </c>
    </row>
    <row r="478" spans="1:40" x14ac:dyDescent="0.2">
      <c r="A478" s="2">
        <v>53</v>
      </c>
      <c r="B478" t="s">
        <v>1350</v>
      </c>
      <c r="C478">
        <v>0</v>
      </c>
      <c r="D478">
        <v>0</v>
      </c>
      <c r="E478">
        <v>0</v>
      </c>
      <c r="G478" s="2" t="s">
        <v>1186</v>
      </c>
      <c r="H478" s="2" t="s">
        <v>1191</v>
      </c>
      <c r="I478" s="2">
        <v>15</v>
      </c>
      <c r="J478" s="2" t="s">
        <v>1155</v>
      </c>
      <c r="K478">
        <v>2019</v>
      </c>
      <c r="L478" s="2" t="s">
        <v>32</v>
      </c>
      <c r="M478" t="s">
        <v>897</v>
      </c>
      <c r="N478">
        <v>21.5</v>
      </c>
      <c r="O478">
        <v>2</v>
      </c>
      <c r="P478" t="s">
        <v>37</v>
      </c>
      <c r="R478" s="45" t="s">
        <v>39</v>
      </c>
      <c r="S478" s="4">
        <v>37.38964</v>
      </c>
      <c r="T478" s="4">
        <v>-121.73273</v>
      </c>
      <c r="U478">
        <v>2353</v>
      </c>
      <c r="V478" s="6">
        <f t="shared" si="33"/>
        <v>717.19440000000009</v>
      </c>
      <c r="W478" t="s">
        <v>898</v>
      </c>
      <c r="X478" t="s">
        <v>2209</v>
      </c>
      <c r="Y478" s="2" t="s">
        <v>754</v>
      </c>
      <c r="AA478" t="s">
        <v>1648</v>
      </c>
      <c r="AB478" s="2">
        <v>38</v>
      </c>
      <c r="AC478" s="2">
        <v>17.5</v>
      </c>
      <c r="AF478">
        <v>51</v>
      </c>
      <c r="AG478">
        <v>14</v>
      </c>
      <c r="AJ478" s="41">
        <v>0</v>
      </c>
      <c r="AL478">
        <f t="shared" si="34"/>
        <v>0</v>
      </c>
      <c r="AM478">
        <f t="shared" si="35"/>
        <v>0</v>
      </c>
      <c r="AN478">
        <f t="shared" si="36"/>
        <v>0</v>
      </c>
    </row>
    <row r="479" spans="1:40" x14ac:dyDescent="0.2">
      <c r="A479" s="2">
        <v>53</v>
      </c>
      <c r="B479" t="s">
        <v>1351</v>
      </c>
      <c r="C479">
        <v>0</v>
      </c>
      <c r="D479">
        <v>0</v>
      </c>
      <c r="E479">
        <v>0</v>
      </c>
      <c r="G479" s="2" t="s">
        <v>1186</v>
      </c>
      <c r="H479" s="2" t="s">
        <v>1191</v>
      </c>
      <c r="I479" s="2">
        <v>15</v>
      </c>
      <c r="J479" s="2" t="s">
        <v>1155</v>
      </c>
      <c r="K479">
        <v>2019</v>
      </c>
      <c r="L479" s="2" t="s">
        <v>32</v>
      </c>
      <c r="M479" t="s">
        <v>897</v>
      </c>
      <c r="N479">
        <v>21.5</v>
      </c>
      <c r="O479">
        <f>30.5-28</f>
        <v>2.5</v>
      </c>
      <c r="P479" t="s">
        <v>37</v>
      </c>
      <c r="R479" s="45" t="s">
        <v>39</v>
      </c>
      <c r="S479" s="4">
        <v>37.38964</v>
      </c>
      <c r="T479" s="4">
        <v>-121.73273</v>
      </c>
      <c r="U479">
        <v>2353</v>
      </c>
      <c r="V479" s="6">
        <f t="shared" si="33"/>
        <v>717.19440000000009</v>
      </c>
      <c r="W479" t="s">
        <v>898</v>
      </c>
      <c r="X479" t="s">
        <v>2209</v>
      </c>
      <c r="Y479" s="2" t="s">
        <v>65</v>
      </c>
      <c r="AB479" s="2">
        <v>38</v>
      </c>
      <c r="AC479" s="2">
        <v>17.5</v>
      </c>
      <c r="AF479">
        <v>51</v>
      </c>
      <c r="AG479">
        <v>14</v>
      </c>
      <c r="AJ479" s="41">
        <v>0</v>
      </c>
      <c r="AL479">
        <f t="shared" si="34"/>
        <v>0</v>
      </c>
      <c r="AM479">
        <f t="shared" si="35"/>
        <v>0</v>
      </c>
      <c r="AN479">
        <f t="shared" si="36"/>
        <v>0</v>
      </c>
    </row>
    <row r="480" spans="1:40" x14ac:dyDescent="0.2">
      <c r="A480" s="2">
        <v>53</v>
      </c>
      <c r="B480" t="s">
        <v>1352</v>
      </c>
      <c r="C480">
        <v>2.5227317586541176E-2</v>
      </c>
      <c r="D480">
        <v>2.6753775775432587E-2</v>
      </c>
      <c r="E480">
        <v>0.1152547299861908</v>
      </c>
      <c r="G480" s="2" t="s">
        <v>1186</v>
      </c>
      <c r="H480" s="2" t="s">
        <v>1191</v>
      </c>
      <c r="I480" s="2">
        <v>15</v>
      </c>
      <c r="J480" s="2" t="s">
        <v>1155</v>
      </c>
      <c r="K480">
        <v>2019</v>
      </c>
      <c r="L480" s="2" t="s">
        <v>32</v>
      </c>
      <c r="M480" t="s">
        <v>897</v>
      </c>
      <c r="N480">
        <v>17.5</v>
      </c>
      <c r="O480">
        <v>0.5</v>
      </c>
      <c r="P480" t="s">
        <v>37</v>
      </c>
      <c r="R480" t="s">
        <v>89</v>
      </c>
      <c r="S480" s="4">
        <v>37.38964</v>
      </c>
      <c r="T480" s="4">
        <v>-121.73273</v>
      </c>
      <c r="U480">
        <v>2353</v>
      </c>
      <c r="V480" s="6">
        <f t="shared" si="33"/>
        <v>717.19440000000009</v>
      </c>
      <c r="W480" t="s">
        <v>898</v>
      </c>
      <c r="X480" t="s">
        <v>2209</v>
      </c>
      <c r="Y480" s="2" t="s">
        <v>65</v>
      </c>
      <c r="AA480" t="s">
        <v>1649</v>
      </c>
      <c r="AB480" s="2">
        <v>38</v>
      </c>
      <c r="AC480" s="2">
        <v>17.5</v>
      </c>
      <c r="AF480">
        <v>51</v>
      </c>
      <c r="AG480">
        <v>14</v>
      </c>
      <c r="AJ480" s="41">
        <v>0</v>
      </c>
      <c r="AL480">
        <f t="shared" si="34"/>
        <v>2.0181854069232941</v>
      </c>
      <c r="AM480">
        <f t="shared" si="35"/>
        <v>2.1403020620346069</v>
      </c>
      <c r="AN480">
        <f t="shared" si="36"/>
        <v>9.2203783988952637</v>
      </c>
    </row>
    <row r="481" spans="1:40" x14ac:dyDescent="0.2">
      <c r="A481" s="2">
        <v>53</v>
      </c>
      <c r="B481" t="s">
        <v>1353</v>
      </c>
      <c r="C481">
        <v>0</v>
      </c>
      <c r="D481">
        <v>0</v>
      </c>
      <c r="E481">
        <v>0</v>
      </c>
      <c r="G481" s="2" t="s">
        <v>1186</v>
      </c>
      <c r="H481" s="2" t="s">
        <v>1191</v>
      </c>
      <c r="I481" s="2">
        <v>15</v>
      </c>
      <c r="J481" s="2" t="s">
        <v>1155</v>
      </c>
      <c r="K481">
        <v>2019</v>
      </c>
      <c r="L481" s="2" t="s">
        <v>32</v>
      </c>
      <c r="M481" t="s">
        <v>897</v>
      </c>
      <c r="N481">
        <v>20</v>
      </c>
      <c r="O481">
        <v>1</v>
      </c>
      <c r="P481" t="s">
        <v>37</v>
      </c>
      <c r="R481" s="45" t="s">
        <v>39</v>
      </c>
      <c r="S481" s="4">
        <v>37.38964</v>
      </c>
      <c r="T481" s="4">
        <v>-121.73273</v>
      </c>
      <c r="U481">
        <v>2353</v>
      </c>
      <c r="V481" s="6">
        <f t="shared" si="33"/>
        <v>717.19440000000009</v>
      </c>
      <c r="W481" t="s">
        <v>898</v>
      </c>
      <c r="X481" t="s">
        <v>2209</v>
      </c>
      <c r="Y481" s="2" t="s">
        <v>1116</v>
      </c>
      <c r="AA481" t="s">
        <v>1650</v>
      </c>
      <c r="AB481" s="2">
        <v>38</v>
      </c>
      <c r="AC481" s="2">
        <v>17.5</v>
      </c>
      <c r="AF481">
        <v>51</v>
      </c>
      <c r="AG481">
        <v>14</v>
      </c>
      <c r="AJ481" s="41">
        <v>0</v>
      </c>
      <c r="AL481">
        <f t="shared" si="34"/>
        <v>0</v>
      </c>
      <c r="AM481">
        <f t="shared" si="35"/>
        <v>0</v>
      </c>
      <c r="AN481">
        <f t="shared" si="36"/>
        <v>0</v>
      </c>
    </row>
    <row r="482" spans="1:40" x14ac:dyDescent="0.2">
      <c r="A482" s="2">
        <v>53</v>
      </c>
      <c r="B482" t="s">
        <v>1354</v>
      </c>
      <c r="C482">
        <v>0</v>
      </c>
      <c r="D482">
        <v>0</v>
      </c>
      <c r="E482">
        <v>0</v>
      </c>
      <c r="G482" s="2" t="s">
        <v>1186</v>
      </c>
      <c r="H482" s="2" t="s">
        <v>1191</v>
      </c>
      <c r="I482" s="2">
        <v>15</v>
      </c>
      <c r="J482" s="2" t="s">
        <v>1155</v>
      </c>
      <c r="K482">
        <v>2019</v>
      </c>
      <c r="L482" s="2" t="s">
        <v>32</v>
      </c>
      <c r="M482" t="s">
        <v>897</v>
      </c>
      <c r="N482">
        <v>20.5</v>
      </c>
      <c r="O482">
        <v>1</v>
      </c>
      <c r="P482" t="s">
        <v>37</v>
      </c>
      <c r="R482" s="45" t="s">
        <v>39</v>
      </c>
      <c r="S482" s="4">
        <v>37.38964</v>
      </c>
      <c r="T482" s="4">
        <v>-121.73273</v>
      </c>
      <c r="U482">
        <v>2353</v>
      </c>
      <c r="V482" s="6">
        <f t="shared" si="33"/>
        <v>717.19440000000009</v>
      </c>
      <c r="W482" t="s">
        <v>898</v>
      </c>
      <c r="X482" t="s">
        <v>2209</v>
      </c>
      <c r="Y482" s="2" t="s">
        <v>576</v>
      </c>
      <c r="AA482" t="s">
        <v>1651</v>
      </c>
      <c r="AB482" s="2">
        <v>38</v>
      </c>
      <c r="AC482" s="2">
        <v>17.5</v>
      </c>
      <c r="AF482">
        <v>51</v>
      </c>
      <c r="AG482">
        <v>14</v>
      </c>
      <c r="AJ482" s="41">
        <v>0</v>
      </c>
      <c r="AL482">
        <f t="shared" si="34"/>
        <v>0</v>
      </c>
      <c r="AM482">
        <f t="shared" si="35"/>
        <v>0</v>
      </c>
      <c r="AN482">
        <f t="shared" si="36"/>
        <v>0</v>
      </c>
    </row>
    <row r="483" spans="1:40" x14ac:dyDescent="0.2">
      <c r="A483" s="2">
        <v>53</v>
      </c>
      <c r="B483" t="s">
        <v>1355</v>
      </c>
      <c r="C483">
        <v>0</v>
      </c>
      <c r="D483">
        <v>0</v>
      </c>
      <c r="E483">
        <v>0</v>
      </c>
      <c r="G483" s="2" t="s">
        <v>1186</v>
      </c>
      <c r="H483" s="2" t="s">
        <v>1191</v>
      </c>
      <c r="I483" s="2">
        <v>15</v>
      </c>
      <c r="J483" s="2" t="s">
        <v>1155</v>
      </c>
      <c r="K483">
        <v>2019</v>
      </c>
      <c r="L483" s="2" t="s">
        <v>32</v>
      </c>
      <c r="M483" t="s">
        <v>897</v>
      </c>
      <c r="N483">
        <v>20.5</v>
      </c>
      <c r="O483">
        <v>0.5</v>
      </c>
      <c r="P483" t="s">
        <v>37</v>
      </c>
      <c r="R483" s="45" t="s">
        <v>39</v>
      </c>
      <c r="S483" s="4">
        <v>37.38964</v>
      </c>
      <c r="T483" s="4">
        <v>-121.73273</v>
      </c>
      <c r="U483">
        <v>2353</v>
      </c>
      <c r="V483" s="6">
        <f t="shared" si="33"/>
        <v>717.19440000000009</v>
      </c>
      <c r="W483" t="s">
        <v>898</v>
      </c>
      <c r="X483" t="s">
        <v>2209</v>
      </c>
      <c r="Y483" s="2" t="s">
        <v>1088</v>
      </c>
      <c r="AA483" t="s">
        <v>1652</v>
      </c>
      <c r="AB483" s="2">
        <v>38</v>
      </c>
      <c r="AC483" s="2">
        <v>17.5</v>
      </c>
      <c r="AF483">
        <v>51</v>
      </c>
      <c r="AG483">
        <v>14</v>
      </c>
      <c r="AJ483" s="41">
        <v>0</v>
      </c>
      <c r="AL483">
        <f t="shared" si="34"/>
        <v>0</v>
      </c>
      <c r="AM483">
        <f t="shared" si="35"/>
        <v>0</v>
      </c>
      <c r="AN483">
        <f t="shared" si="36"/>
        <v>0</v>
      </c>
    </row>
    <row r="484" spans="1:40" x14ac:dyDescent="0.2">
      <c r="A484" s="2">
        <v>53</v>
      </c>
      <c r="B484" t="s">
        <v>1356</v>
      </c>
      <c r="C484">
        <v>0</v>
      </c>
      <c r="D484">
        <v>0</v>
      </c>
      <c r="E484">
        <v>0</v>
      </c>
      <c r="G484" s="2" t="s">
        <v>1186</v>
      </c>
      <c r="H484" s="2" t="s">
        <v>1191</v>
      </c>
      <c r="I484" s="2">
        <v>15</v>
      </c>
      <c r="J484" s="2" t="s">
        <v>1155</v>
      </c>
      <c r="K484">
        <v>2019</v>
      </c>
      <c r="L484" s="2" t="s">
        <v>32</v>
      </c>
      <c r="M484" t="s">
        <v>897</v>
      </c>
      <c r="N484">
        <v>21</v>
      </c>
      <c r="O484">
        <v>0.5</v>
      </c>
      <c r="P484" t="s">
        <v>37</v>
      </c>
      <c r="R484" s="45" t="s">
        <v>39</v>
      </c>
      <c r="S484" s="4">
        <v>37.38964</v>
      </c>
      <c r="T484" s="4">
        <v>-121.73273</v>
      </c>
      <c r="U484">
        <v>2353</v>
      </c>
      <c r="V484" s="6">
        <f t="shared" si="33"/>
        <v>717.19440000000009</v>
      </c>
      <c r="W484" t="s">
        <v>898</v>
      </c>
      <c r="X484" t="s">
        <v>2209</v>
      </c>
      <c r="Y484" s="2" t="s">
        <v>816</v>
      </c>
      <c r="AA484" t="s">
        <v>1653</v>
      </c>
      <c r="AB484" s="2">
        <v>38</v>
      </c>
      <c r="AC484" s="2">
        <v>17.5</v>
      </c>
      <c r="AF484">
        <v>51</v>
      </c>
      <c r="AG484">
        <v>14</v>
      </c>
      <c r="AJ484" s="41">
        <v>0</v>
      </c>
      <c r="AL484">
        <f t="shared" si="34"/>
        <v>0</v>
      </c>
      <c r="AM484">
        <f t="shared" si="35"/>
        <v>0</v>
      </c>
      <c r="AN484">
        <f t="shared" si="36"/>
        <v>0</v>
      </c>
    </row>
    <row r="485" spans="1:40" x14ac:dyDescent="0.2">
      <c r="A485" s="2">
        <v>53</v>
      </c>
      <c r="B485" t="s">
        <v>1357</v>
      </c>
      <c r="C485">
        <v>0</v>
      </c>
      <c r="D485">
        <v>0</v>
      </c>
      <c r="E485">
        <v>0</v>
      </c>
      <c r="G485" s="2" t="s">
        <v>1186</v>
      </c>
      <c r="H485" s="2" t="s">
        <v>1191</v>
      </c>
      <c r="I485" s="2">
        <v>15</v>
      </c>
      <c r="J485" s="2" t="s">
        <v>1155</v>
      </c>
      <c r="K485">
        <v>2019</v>
      </c>
      <c r="L485" s="2" t="s">
        <v>32</v>
      </c>
      <c r="M485" t="s">
        <v>897</v>
      </c>
      <c r="N485">
        <v>21</v>
      </c>
      <c r="O485">
        <v>1</v>
      </c>
      <c r="P485" t="s">
        <v>37</v>
      </c>
      <c r="R485" s="45" t="s">
        <v>39</v>
      </c>
      <c r="S485" s="4">
        <v>37.38964</v>
      </c>
      <c r="T485" s="4">
        <v>-121.73273</v>
      </c>
      <c r="U485">
        <v>2353</v>
      </c>
      <c r="V485" s="6">
        <f t="shared" si="33"/>
        <v>717.19440000000009</v>
      </c>
      <c r="W485" t="s">
        <v>898</v>
      </c>
      <c r="X485" t="s">
        <v>2209</v>
      </c>
      <c r="Y485" s="2" t="s">
        <v>816</v>
      </c>
      <c r="AB485" s="2">
        <v>38</v>
      </c>
      <c r="AC485" s="2">
        <v>17.5</v>
      </c>
      <c r="AF485">
        <v>51</v>
      </c>
      <c r="AG485">
        <v>14</v>
      </c>
      <c r="AJ485" s="41">
        <v>0</v>
      </c>
      <c r="AL485">
        <f t="shared" si="34"/>
        <v>0</v>
      </c>
      <c r="AM485">
        <f t="shared" si="35"/>
        <v>0</v>
      </c>
      <c r="AN485">
        <f t="shared" si="36"/>
        <v>0</v>
      </c>
    </row>
    <row r="486" spans="1:40" s="2" customFormat="1" x14ac:dyDescent="0.2">
      <c r="A486" s="2">
        <v>53</v>
      </c>
      <c r="B486" s="2" t="s">
        <v>1358</v>
      </c>
      <c r="C486" s="2">
        <v>0</v>
      </c>
      <c r="D486" s="2">
        <v>0</v>
      </c>
      <c r="E486" s="2">
        <v>0</v>
      </c>
      <c r="G486" s="2" t="s">
        <v>1186</v>
      </c>
      <c r="H486" s="2" t="s">
        <v>1191</v>
      </c>
      <c r="I486" s="2">
        <v>15</v>
      </c>
      <c r="J486" s="2" t="s">
        <v>1155</v>
      </c>
      <c r="K486" s="2">
        <v>2019</v>
      </c>
      <c r="L486" s="2" t="s">
        <v>32</v>
      </c>
      <c r="M486" s="2" t="s">
        <v>897</v>
      </c>
      <c r="N486" s="2">
        <v>20.5</v>
      </c>
      <c r="O486" s="2">
        <v>1</v>
      </c>
      <c r="P486" s="2" t="s">
        <v>37</v>
      </c>
      <c r="R486" s="45" t="s">
        <v>39</v>
      </c>
      <c r="S486" s="5">
        <v>37.38964</v>
      </c>
      <c r="T486" s="5">
        <v>-121.73273</v>
      </c>
      <c r="U486">
        <v>2353</v>
      </c>
      <c r="V486" s="6">
        <f t="shared" si="33"/>
        <v>717.19440000000009</v>
      </c>
      <c r="W486" t="s">
        <v>898</v>
      </c>
      <c r="X486" t="s">
        <v>2209</v>
      </c>
      <c r="Y486" s="2" t="s">
        <v>67</v>
      </c>
      <c r="AA486" s="2" t="s">
        <v>1654</v>
      </c>
      <c r="AB486" s="2">
        <v>38</v>
      </c>
      <c r="AC486" s="2">
        <v>17.5</v>
      </c>
      <c r="AF486" s="2">
        <v>51</v>
      </c>
      <c r="AG486" s="2">
        <v>14</v>
      </c>
      <c r="AJ486" s="41">
        <v>0</v>
      </c>
      <c r="AL486">
        <f t="shared" si="34"/>
        <v>0</v>
      </c>
      <c r="AM486">
        <f t="shared" si="35"/>
        <v>0</v>
      </c>
      <c r="AN486">
        <f t="shared" si="36"/>
        <v>0</v>
      </c>
    </row>
    <row r="487" spans="1:40" s="2" customFormat="1" x14ac:dyDescent="0.2">
      <c r="A487" s="2">
        <v>53</v>
      </c>
      <c r="B487" s="2" t="s">
        <v>1359</v>
      </c>
      <c r="C487" s="2">
        <v>0</v>
      </c>
      <c r="D487" s="2">
        <v>0</v>
      </c>
      <c r="E487" s="2">
        <v>0</v>
      </c>
      <c r="G487" s="2" t="s">
        <v>1186</v>
      </c>
      <c r="H487" s="2" t="s">
        <v>1191</v>
      </c>
      <c r="I487" s="2">
        <v>15</v>
      </c>
      <c r="J487" s="2" t="s">
        <v>1155</v>
      </c>
      <c r="K487" s="2">
        <v>2019</v>
      </c>
      <c r="L487" s="2" t="s">
        <v>32</v>
      </c>
      <c r="M487" s="2" t="s">
        <v>897</v>
      </c>
      <c r="N487" s="2">
        <v>20.5</v>
      </c>
      <c r="O487" s="2">
        <v>1</v>
      </c>
      <c r="P487" s="2" t="s">
        <v>37</v>
      </c>
      <c r="R487" s="45" t="s">
        <v>39</v>
      </c>
      <c r="S487" s="5">
        <v>37.38964</v>
      </c>
      <c r="T487" s="5">
        <v>-121.73273</v>
      </c>
      <c r="U487">
        <v>2353</v>
      </c>
      <c r="V487" s="6">
        <f t="shared" si="33"/>
        <v>717.19440000000009</v>
      </c>
      <c r="W487" t="s">
        <v>898</v>
      </c>
      <c r="X487" t="s">
        <v>2209</v>
      </c>
      <c r="Y487" s="2" t="s">
        <v>597</v>
      </c>
      <c r="Z487" s="2" t="s">
        <v>1656</v>
      </c>
      <c r="AA487" s="2" t="s">
        <v>1655</v>
      </c>
      <c r="AB487" s="2">
        <v>38</v>
      </c>
      <c r="AC487" s="2">
        <v>17.5</v>
      </c>
      <c r="AF487" s="2">
        <v>51</v>
      </c>
      <c r="AG487" s="2">
        <v>14</v>
      </c>
      <c r="AJ487" s="41">
        <v>0</v>
      </c>
      <c r="AL487">
        <f t="shared" si="34"/>
        <v>0</v>
      </c>
      <c r="AM487">
        <f t="shared" si="35"/>
        <v>0</v>
      </c>
      <c r="AN487">
        <f t="shared" si="36"/>
        <v>0</v>
      </c>
    </row>
    <row r="488" spans="1:40" s="2" customFormat="1" x14ac:dyDescent="0.2">
      <c r="A488" s="2">
        <v>53</v>
      </c>
      <c r="B488" s="2" t="s">
        <v>1360</v>
      </c>
      <c r="C488" s="2">
        <v>0</v>
      </c>
      <c r="D488" s="2">
        <v>0</v>
      </c>
      <c r="E488" s="2">
        <v>0</v>
      </c>
      <c r="G488" s="2" t="s">
        <v>1186</v>
      </c>
      <c r="H488" s="2" t="s">
        <v>1191</v>
      </c>
      <c r="I488" s="2">
        <v>15</v>
      </c>
      <c r="J488" s="2" t="s">
        <v>1155</v>
      </c>
      <c r="K488" s="2">
        <v>2019</v>
      </c>
      <c r="L488" s="2" t="s">
        <v>32</v>
      </c>
      <c r="M488" s="2" t="s">
        <v>897</v>
      </c>
      <c r="N488" s="2">
        <v>20.5</v>
      </c>
      <c r="O488" s="2">
        <v>1</v>
      </c>
      <c r="P488" s="2" t="s">
        <v>37</v>
      </c>
      <c r="R488" s="45" t="s">
        <v>39</v>
      </c>
      <c r="S488" s="5">
        <v>37.38964</v>
      </c>
      <c r="T488" s="5">
        <v>-121.73273</v>
      </c>
      <c r="U488">
        <v>2353</v>
      </c>
      <c r="V488" s="6">
        <f t="shared" si="33"/>
        <v>717.19440000000009</v>
      </c>
      <c r="W488" t="s">
        <v>898</v>
      </c>
      <c r="X488" t="s">
        <v>2209</v>
      </c>
      <c r="Y488" s="2" t="s">
        <v>597</v>
      </c>
      <c r="AA488" s="2" t="s">
        <v>1657</v>
      </c>
      <c r="AB488" s="2">
        <v>38</v>
      </c>
      <c r="AC488" s="2">
        <v>17.5</v>
      </c>
      <c r="AF488" s="2">
        <v>51</v>
      </c>
      <c r="AG488" s="2">
        <v>14</v>
      </c>
      <c r="AJ488" s="41">
        <v>0</v>
      </c>
      <c r="AL488">
        <f t="shared" si="34"/>
        <v>0</v>
      </c>
      <c r="AM488">
        <f t="shared" si="35"/>
        <v>0</v>
      </c>
      <c r="AN488">
        <f t="shared" si="36"/>
        <v>0</v>
      </c>
    </row>
    <row r="489" spans="1:40" s="2" customFormat="1" x14ac:dyDescent="0.2">
      <c r="A489" s="2">
        <v>53</v>
      </c>
      <c r="B489" s="2" t="s">
        <v>1361</v>
      </c>
      <c r="C489" s="2">
        <v>0.20732508599758148</v>
      </c>
      <c r="D489" s="2">
        <v>0.1054203063249588</v>
      </c>
      <c r="E489" s="2">
        <v>0.11691831797361374</v>
      </c>
      <c r="G489" s="2" t="s">
        <v>1186</v>
      </c>
      <c r="H489" s="2" t="s">
        <v>1191</v>
      </c>
      <c r="I489" s="2">
        <v>15</v>
      </c>
      <c r="J489" s="2" t="s">
        <v>1155</v>
      </c>
      <c r="K489" s="2">
        <v>2019</v>
      </c>
      <c r="L489" s="2" t="s">
        <v>32</v>
      </c>
      <c r="M489" s="2" t="s">
        <v>897</v>
      </c>
      <c r="N489" s="2">
        <v>20.5</v>
      </c>
      <c r="O489" s="2">
        <v>1</v>
      </c>
      <c r="P489" s="2" t="s">
        <v>37</v>
      </c>
      <c r="R489" s="45" t="s">
        <v>39</v>
      </c>
      <c r="S489" s="5">
        <v>37.38964</v>
      </c>
      <c r="T489" s="5">
        <v>-121.73273</v>
      </c>
      <c r="U489">
        <v>2353</v>
      </c>
      <c r="V489" s="6">
        <f t="shared" si="33"/>
        <v>717.19440000000009</v>
      </c>
      <c r="W489" t="s">
        <v>898</v>
      </c>
      <c r="X489" t="s">
        <v>2209</v>
      </c>
      <c r="Y489" s="2" t="s">
        <v>76</v>
      </c>
      <c r="AA489" s="2" t="s">
        <v>1658</v>
      </c>
      <c r="AB489" s="2">
        <v>38</v>
      </c>
      <c r="AC489" s="2">
        <v>17.5</v>
      </c>
      <c r="AF489" s="2">
        <v>51</v>
      </c>
      <c r="AG489" s="2">
        <v>14</v>
      </c>
      <c r="AJ489" s="41">
        <v>0</v>
      </c>
      <c r="AL489">
        <f t="shared" si="34"/>
        <v>16.586006879806519</v>
      </c>
      <c r="AM489">
        <f t="shared" si="35"/>
        <v>8.4336245059967041</v>
      </c>
      <c r="AN489">
        <f t="shared" si="36"/>
        <v>9.3534654378890991</v>
      </c>
    </row>
    <row r="490" spans="1:40" s="2" customFormat="1" x14ac:dyDescent="0.2">
      <c r="A490" s="2">
        <v>54</v>
      </c>
      <c r="B490" s="2" t="s">
        <v>1362</v>
      </c>
      <c r="C490" s="2">
        <v>0</v>
      </c>
      <c r="D490" s="2">
        <v>0</v>
      </c>
      <c r="E490" s="2">
        <v>0</v>
      </c>
      <c r="G490" s="2" t="s">
        <v>1186</v>
      </c>
      <c r="H490" s="2" t="s">
        <v>1191</v>
      </c>
      <c r="I490" s="2">
        <v>18</v>
      </c>
      <c r="J490" s="2" t="s">
        <v>1155</v>
      </c>
      <c r="K490" s="2">
        <v>2019</v>
      </c>
      <c r="L490" s="2" t="s">
        <v>137</v>
      </c>
      <c r="M490" s="2" t="s">
        <v>1173</v>
      </c>
      <c r="N490" s="2">
        <v>23</v>
      </c>
      <c r="O490" s="2">
        <v>2</v>
      </c>
      <c r="P490" s="2" t="s">
        <v>37</v>
      </c>
      <c r="Q490" s="2" t="s">
        <v>42</v>
      </c>
      <c r="R490" s="2" t="s">
        <v>39</v>
      </c>
      <c r="S490" s="5">
        <v>38.870489999999997</v>
      </c>
      <c r="T490" s="5">
        <v>-122.42837</v>
      </c>
      <c r="U490" s="2">
        <v>2186</v>
      </c>
      <c r="V490" s="6">
        <f t="shared" si="33"/>
        <v>666.29280000000006</v>
      </c>
      <c r="W490" s="2" t="s">
        <v>898</v>
      </c>
      <c r="X490" s="2" t="s">
        <v>2376</v>
      </c>
      <c r="Y490" s="2" t="s">
        <v>1115</v>
      </c>
      <c r="AA490" s="2" t="s">
        <v>1659</v>
      </c>
      <c r="AJ490" s="41">
        <v>0</v>
      </c>
      <c r="AL490">
        <f t="shared" si="34"/>
        <v>0</v>
      </c>
      <c r="AM490">
        <f t="shared" si="35"/>
        <v>0</v>
      </c>
      <c r="AN490">
        <f t="shared" si="36"/>
        <v>0</v>
      </c>
    </row>
    <row r="491" spans="1:40" s="2" customFormat="1" x14ac:dyDescent="0.2">
      <c r="A491" s="2">
        <v>54</v>
      </c>
      <c r="B491" s="2" t="s">
        <v>1363</v>
      </c>
      <c r="C491" s="2">
        <v>6.9200000000000002E-5</v>
      </c>
      <c r="D491" s="2">
        <v>2.4152784317266196E-4</v>
      </c>
      <c r="E491" s="2">
        <v>0</v>
      </c>
      <c r="G491" s="2" t="s">
        <v>1186</v>
      </c>
      <c r="H491" s="2" t="s">
        <v>1191</v>
      </c>
      <c r="I491" s="2">
        <v>18</v>
      </c>
      <c r="J491" s="2" t="s">
        <v>1155</v>
      </c>
      <c r="K491" s="2">
        <v>2019</v>
      </c>
      <c r="L491" s="2" t="s">
        <v>137</v>
      </c>
      <c r="M491" s="2" t="s">
        <v>1173</v>
      </c>
      <c r="N491" s="2">
        <v>28</v>
      </c>
      <c r="O491" s="2">
        <v>2</v>
      </c>
      <c r="P491" s="2" t="s">
        <v>30</v>
      </c>
      <c r="Q491" s="2" t="s">
        <v>42</v>
      </c>
      <c r="R491" s="2" t="s">
        <v>39</v>
      </c>
      <c r="S491" s="5">
        <v>38.870489999999997</v>
      </c>
      <c r="T491" s="5">
        <v>-122.42837</v>
      </c>
      <c r="U491" s="2">
        <v>2186</v>
      </c>
      <c r="V491" s="6">
        <f t="shared" si="33"/>
        <v>666.29280000000006</v>
      </c>
      <c r="W491" s="2" t="s">
        <v>898</v>
      </c>
      <c r="X491" s="2" t="s">
        <v>2376</v>
      </c>
      <c r="Y491" s="2" t="s">
        <v>816</v>
      </c>
      <c r="AA491" s="2" t="s">
        <v>1660</v>
      </c>
      <c r="AJ491" s="41">
        <v>0</v>
      </c>
      <c r="AL491">
        <f t="shared" si="34"/>
        <v>5.5360000000000001E-3</v>
      </c>
      <c r="AM491">
        <f t="shared" si="35"/>
        <v>1.9322227453812957E-2</v>
      </c>
      <c r="AN491">
        <f t="shared" si="36"/>
        <v>0</v>
      </c>
    </row>
    <row r="492" spans="1:40" s="2" customFormat="1" x14ac:dyDescent="0.2">
      <c r="A492" s="2">
        <v>54</v>
      </c>
      <c r="B492" s="2" t="s">
        <v>1364</v>
      </c>
      <c r="C492" s="2">
        <v>0</v>
      </c>
      <c r="D492" s="2">
        <v>0</v>
      </c>
      <c r="E492" s="2">
        <v>0</v>
      </c>
      <c r="G492" s="2" t="s">
        <v>1186</v>
      </c>
      <c r="H492" s="2" t="s">
        <v>1191</v>
      </c>
      <c r="I492" s="2">
        <v>18</v>
      </c>
      <c r="J492" s="2" t="s">
        <v>1155</v>
      </c>
      <c r="K492" s="2">
        <v>2019</v>
      </c>
      <c r="L492" s="2" t="s">
        <v>137</v>
      </c>
      <c r="M492" s="2" t="s">
        <v>1173</v>
      </c>
      <c r="N492" s="2">
        <v>21</v>
      </c>
      <c r="O492" s="2">
        <v>0.5</v>
      </c>
      <c r="P492" s="2" t="s">
        <v>37</v>
      </c>
      <c r="Q492" s="2" t="s">
        <v>42</v>
      </c>
      <c r="R492" s="45" t="s">
        <v>39</v>
      </c>
      <c r="S492" s="5">
        <v>38.870489999999997</v>
      </c>
      <c r="T492" s="5">
        <v>-122.42837</v>
      </c>
      <c r="U492" s="2">
        <v>2186</v>
      </c>
      <c r="V492" s="6">
        <f t="shared" ref="V492:V555" si="37">U492*0.3048</f>
        <v>666.29280000000006</v>
      </c>
      <c r="W492" s="2" t="s">
        <v>898</v>
      </c>
      <c r="X492" s="2" t="s">
        <v>2376</v>
      </c>
      <c r="Y492" s="2" t="s">
        <v>121</v>
      </c>
      <c r="Z492" s="2" t="s">
        <v>1662</v>
      </c>
      <c r="AA492" s="2" t="s">
        <v>1661</v>
      </c>
      <c r="AJ492" s="41">
        <v>0</v>
      </c>
      <c r="AL492">
        <f t="shared" si="34"/>
        <v>0</v>
      </c>
      <c r="AM492">
        <f t="shared" si="35"/>
        <v>0</v>
      </c>
      <c r="AN492">
        <f t="shared" si="36"/>
        <v>0</v>
      </c>
    </row>
    <row r="493" spans="1:40" x14ac:dyDescent="0.2">
      <c r="A493" s="2">
        <v>54</v>
      </c>
      <c r="B493" t="s">
        <v>1365</v>
      </c>
      <c r="C493">
        <v>0</v>
      </c>
      <c r="D493" s="2">
        <v>0</v>
      </c>
      <c r="E493">
        <v>0</v>
      </c>
      <c r="G493" s="2" t="s">
        <v>1186</v>
      </c>
      <c r="H493" s="2" t="s">
        <v>1191</v>
      </c>
      <c r="I493" s="2">
        <v>18</v>
      </c>
      <c r="J493" s="2" t="s">
        <v>1155</v>
      </c>
      <c r="K493">
        <v>2019</v>
      </c>
      <c r="L493" s="2" t="s">
        <v>691</v>
      </c>
      <c r="M493" t="s">
        <v>1173</v>
      </c>
      <c r="N493">
        <v>52</v>
      </c>
      <c r="O493">
        <f>28.5-14.5</f>
        <v>14</v>
      </c>
      <c r="P493" t="s">
        <v>30</v>
      </c>
      <c r="R493" t="s">
        <v>89</v>
      </c>
      <c r="S493" s="4">
        <v>38.870710000000003</v>
      </c>
      <c r="T493" s="4">
        <v>-122.42887</v>
      </c>
      <c r="U493" s="2">
        <v>2176</v>
      </c>
      <c r="V493" s="6">
        <f t="shared" si="37"/>
        <v>663.24480000000005</v>
      </c>
      <c r="W493" s="2" t="s">
        <v>2331</v>
      </c>
      <c r="X493" s="2" t="s">
        <v>2376</v>
      </c>
      <c r="Y493" s="2" t="s">
        <v>233</v>
      </c>
      <c r="AA493" t="s">
        <v>1663</v>
      </c>
      <c r="AJ493" s="41">
        <v>0</v>
      </c>
      <c r="AL493">
        <f t="shared" si="34"/>
        <v>0</v>
      </c>
      <c r="AM493">
        <f t="shared" si="35"/>
        <v>0</v>
      </c>
      <c r="AN493">
        <f t="shared" si="36"/>
        <v>0</v>
      </c>
    </row>
    <row r="494" spans="1:40" x14ac:dyDescent="0.2">
      <c r="A494" s="2">
        <v>54</v>
      </c>
      <c r="B494" t="s">
        <v>1366</v>
      </c>
      <c r="C494">
        <v>0</v>
      </c>
      <c r="D494" s="2">
        <v>0</v>
      </c>
      <c r="E494">
        <v>0</v>
      </c>
      <c r="G494" s="2" t="s">
        <v>1186</v>
      </c>
      <c r="H494" s="2" t="s">
        <v>1191</v>
      </c>
      <c r="I494" s="2">
        <v>18</v>
      </c>
      <c r="J494" s="2" t="s">
        <v>1155</v>
      </c>
      <c r="K494">
        <v>2019</v>
      </c>
      <c r="L494" s="2" t="s">
        <v>691</v>
      </c>
      <c r="M494" t="s">
        <v>1173</v>
      </c>
      <c r="N494">
        <v>45</v>
      </c>
      <c r="O494">
        <v>10</v>
      </c>
      <c r="P494" t="s">
        <v>30</v>
      </c>
      <c r="R494" t="s">
        <v>89</v>
      </c>
      <c r="S494" s="4">
        <v>38.870710000000003</v>
      </c>
      <c r="T494" s="4">
        <v>-122.42887</v>
      </c>
      <c r="U494" s="2">
        <v>2176</v>
      </c>
      <c r="V494" s="6">
        <f t="shared" si="37"/>
        <v>663.24480000000005</v>
      </c>
      <c r="W494" s="2" t="s">
        <v>898</v>
      </c>
      <c r="X494" s="2" t="s">
        <v>2376</v>
      </c>
      <c r="Y494" s="2" t="s">
        <v>547</v>
      </c>
      <c r="AA494" t="s">
        <v>1664</v>
      </c>
      <c r="AJ494" s="41">
        <v>0</v>
      </c>
      <c r="AL494">
        <f t="shared" si="34"/>
        <v>0</v>
      </c>
      <c r="AM494">
        <f t="shared" si="35"/>
        <v>0</v>
      </c>
      <c r="AN494">
        <f t="shared" si="36"/>
        <v>0</v>
      </c>
    </row>
    <row r="495" spans="1:40" x14ac:dyDescent="0.2">
      <c r="A495" s="2">
        <v>55</v>
      </c>
      <c r="B495" t="s">
        <v>1367</v>
      </c>
      <c r="C495">
        <v>0</v>
      </c>
      <c r="D495" s="2">
        <v>0</v>
      </c>
      <c r="E495">
        <v>0</v>
      </c>
      <c r="G495" s="2" t="s">
        <v>1186</v>
      </c>
      <c r="H495" s="2" t="s">
        <v>1191</v>
      </c>
      <c r="I495" s="2">
        <v>19</v>
      </c>
      <c r="J495" s="2" t="s">
        <v>1155</v>
      </c>
      <c r="K495">
        <v>2019</v>
      </c>
      <c r="L495" s="2" t="s">
        <v>33</v>
      </c>
      <c r="M495" t="s">
        <v>1173</v>
      </c>
      <c r="N495">
        <v>31</v>
      </c>
      <c r="O495">
        <f>24-20.5</f>
        <v>3.5</v>
      </c>
      <c r="P495" t="s">
        <v>37</v>
      </c>
      <c r="R495" t="s">
        <v>89</v>
      </c>
      <c r="S495" s="4">
        <v>38.873545999999997</v>
      </c>
      <c r="T495" s="4">
        <v>-122.432103</v>
      </c>
      <c r="U495" s="2">
        <v>45</v>
      </c>
      <c r="V495" s="6">
        <f t="shared" si="37"/>
        <v>13.716000000000001</v>
      </c>
      <c r="W495" s="2" t="s">
        <v>2367</v>
      </c>
      <c r="X495" s="2" t="s">
        <v>2377</v>
      </c>
      <c r="Y495" s="2" t="s">
        <v>1176</v>
      </c>
      <c r="Z495" t="s">
        <v>1665</v>
      </c>
      <c r="AA495" t="s">
        <v>1666</v>
      </c>
      <c r="AJ495" s="41">
        <v>0</v>
      </c>
      <c r="AL495">
        <f t="shared" si="34"/>
        <v>0</v>
      </c>
      <c r="AM495">
        <f t="shared" si="35"/>
        <v>0</v>
      </c>
      <c r="AN495">
        <f t="shared" si="36"/>
        <v>0</v>
      </c>
    </row>
    <row r="496" spans="1:40" x14ac:dyDescent="0.2">
      <c r="A496" s="2">
        <v>55</v>
      </c>
      <c r="B496" t="s">
        <v>1368</v>
      </c>
      <c r="C496">
        <v>0</v>
      </c>
      <c r="D496" s="2">
        <v>0</v>
      </c>
      <c r="E496">
        <v>0</v>
      </c>
      <c r="G496" s="2" t="s">
        <v>1186</v>
      </c>
      <c r="H496" s="2" t="s">
        <v>1191</v>
      </c>
      <c r="I496" s="2">
        <v>19</v>
      </c>
      <c r="J496" s="2" t="s">
        <v>1155</v>
      </c>
      <c r="K496">
        <v>2019</v>
      </c>
      <c r="L496" s="2" t="s">
        <v>33</v>
      </c>
      <c r="M496" t="s">
        <v>1173</v>
      </c>
      <c r="N496">
        <v>24</v>
      </c>
      <c r="O496">
        <v>1</v>
      </c>
      <c r="P496" t="s">
        <v>37</v>
      </c>
      <c r="R496" t="s">
        <v>89</v>
      </c>
      <c r="S496" s="4">
        <v>38.873545999999997</v>
      </c>
      <c r="T496" s="4">
        <v>-122.432103</v>
      </c>
      <c r="U496" s="2">
        <v>45</v>
      </c>
      <c r="V496" s="6">
        <f t="shared" si="37"/>
        <v>13.716000000000001</v>
      </c>
      <c r="W496" s="2" t="s">
        <v>2367</v>
      </c>
      <c r="X496" s="2" t="s">
        <v>2377</v>
      </c>
      <c r="Y496" s="2" t="s">
        <v>1176</v>
      </c>
      <c r="AA496" t="s">
        <v>1667</v>
      </c>
      <c r="AJ496" s="41">
        <v>0</v>
      </c>
      <c r="AL496">
        <f t="shared" si="34"/>
        <v>0</v>
      </c>
      <c r="AM496">
        <f t="shared" si="35"/>
        <v>0</v>
      </c>
      <c r="AN496">
        <f t="shared" si="36"/>
        <v>0</v>
      </c>
    </row>
    <row r="497" spans="1:40" x14ac:dyDescent="0.2">
      <c r="A497" s="2">
        <v>55</v>
      </c>
      <c r="B497" t="s">
        <v>1369</v>
      </c>
      <c r="C497">
        <v>0</v>
      </c>
      <c r="D497" s="2">
        <v>0</v>
      </c>
      <c r="E497">
        <v>0</v>
      </c>
      <c r="G497" s="2" t="s">
        <v>1186</v>
      </c>
      <c r="H497" s="2" t="s">
        <v>1191</v>
      </c>
      <c r="I497" s="2">
        <v>19</v>
      </c>
      <c r="J497" s="2" t="s">
        <v>1155</v>
      </c>
      <c r="K497">
        <v>2019</v>
      </c>
      <c r="L497" s="2" t="s">
        <v>33</v>
      </c>
      <c r="M497" t="s">
        <v>1173</v>
      </c>
      <c r="N497">
        <v>33.5</v>
      </c>
      <c r="O497">
        <v>4</v>
      </c>
      <c r="P497" t="s">
        <v>30</v>
      </c>
      <c r="R497" t="s">
        <v>89</v>
      </c>
      <c r="S497" s="4">
        <v>38.873545999999997</v>
      </c>
      <c r="T497" s="4">
        <v>-122.432103</v>
      </c>
      <c r="U497" s="2">
        <v>45</v>
      </c>
      <c r="V497" s="6">
        <f t="shared" si="37"/>
        <v>13.716000000000001</v>
      </c>
      <c r="W497" s="2" t="s">
        <v>2367</v>
      </c>
      <c r="X497" s="2" t="s">
        <v>2377</v>
      </c>
      <c r="Y497" s="2" t="s">
        <v>1584</v>
      </c>
      <c r="AA497" t="s">
        <v>1668</v>
      </c>
      <c r="AJ497" s="41">
        <v>0</v>
      </c>
      <c r="AL497">
        <f t="shared" si="34"/>
        <v>0</v>
      </c>
      <c r="AM497">
        <f t="shared" si="35"/>
        <v>0</v>
      </c>
      <c r="AN497">
        <f t="shared" si="36"/>
        <v>0</v>
      </c>
    </row>
    <row r="498" spans="1:40" x14ac:dyDescent="0.2">
      <c r="A498" s="2">
        <v>55</v>
      </c>
      <c r="B498" t="s">
        <v>1370</v>
      </c>
      <c r="C498">
        <v>0</v>
      </c>
      <c r="D498" s="2">
        <v>0</v>
      </c>
      <c r="E498">
        <v>0</v>
      </c>
      <c r="G498" s="2" t="s">
        <v>1186</v>
      </c>
      <c r="H498" s="2" t="s">
        <v>1191</v>
      </c>
      <c r="I498" s="2">
        <v>19</v>
      </c>
      <c r="J498" s="2" t="s">
        <v>1155</v>
      </c>
      <c r="K498">
        <v>2019</v>
      </c>
      <c r="L498" s="2" t="s">
        <v>33</v>
      </c>
      <c r="M498" t="s">
        <v>1173</v>
      </c>
      <c r="N498">
        <v>30.5</v>
      </c>
      <c r="O498">
        <f>52.5-49.5</f>
        <v>3</v>
      </c>
      <c r="P498" t="s">
        <v>37</v>
      </c>
      <c r="R498" t="s">
        <v>89</v>
      </c>
      <c r="S498" s="4">
        <v>38.873545999999997</v>
      </c>
      <c r="T498" s="4">
        <v>-122.432103</v>
      </c>
      <c r="U498" s="2">
        <v>45</v>
      </c>
      <c r="V498" s="6">
        <f t="shared" si="37"/>
        <v>13.716000000000001</v>
      </c>
      <c r="W498" s="2" t="s">
        <v>2367</v>
      </c>
      <c r="X498" s="2" t="s">
        <v>2377</v>
      </c>
      <c r="Y498" s="2" t="s">
        <v>1584</v>
      </c>
      <c r="AA498" t="s">
        <v>1669</v>
      </c>
      <c r="AJ498" s="41">
        <v>0</v>
      </c>
      <c r="AL498">
        <f t="shared" si="34"/>
        <v>0</v>
      </c>
      <c r="AM498">
        <f t="shared" si="35"/>
        <v>0</v>
      </c>
      <c r="AN498">
        <f t="shared" si="36"/>
        <v>0</v>
      </c>
    </row>
    <row r="499" spans="1:40" x14ac:dyDescent="0.2">
      <c r="A499" s="2">
        <v>55</v>
      </c>
      <c r="B499" t="s">
        <v>1371</v>
      </c>
      <c r="C499">
        <v>0</v>
      </c>
      <c r="D499" s="2">
        <v>0</v>
      </c>
      <c r="E499">
        <v>0</v>
      </c>
      <c r="G499" s="2" t="s">
        <v>1186</v>
      </c>
      <c r="H499" s="2" t="s">
        <v>1191</v>
      </c>
      <c r="I499" s="2">
        <v>19</v>
      </c>
      <c r="J499" s="2" t="s">
        <v>1155</v>
      </c>
      <c r="K499">
        <v>2019</v>
      </c>
      <c r="L499" s="2" t="s">
        <v>33</v>
      </c>
      <c r="M499" t="s">
        <v>1173</v>
      </c>
      <c r="N499">
        <v>26.5</v>
      </c>
      <c r="O499">
        <v>1.5</v>
      </c>
      <c r="P499" t="s">
        <v>37</v>
      </c>
      <c r="R499" t="s">
        <v>89</v>
      </c>
      <c r="S499" s="4">
        <v>38.873545999999997</v>
      </c>
      <c r="T499" s="4">
        <v>-122.432103</v>
      </c>
      <c r="U499" s="2">
        <v>45</v>
      </c>
      <c r="V499" s="6">
        <f t="shared" si="37"/>
        <v>13.716000000000001</v>
      </c>
      <c r="W499" s="2" t="s">
        <v>2367</v>
      </c>
      <c r="X499" s="2" t="s">
        <v>2377</v>
      </c>
      <c r="Y499" s="2" t="s">
        <v>1585</v>
      </c>
      <c r="AA499" t="s">
        <v>1670</v>
      </c>
      <c r="AJ499" s="41">
        <v>0</v>
      </c>
      <c r="AL499">
        <f t="shared" si="34"/>
        <v>0</v>
      </c>
      <c r="AM499">
        <f t="shared" si="35"/>
        <v>0</v>
      </c>
      <c r="AN499">
        <f t="shared" si="36"/>
        <v>0</v>
      </c>
    </row>
    <row r="500" spans="1:40" x14ac:dyDescent="0.2">
      <c r="A500" s="2">
        <v>55</v>
      </c>
      <c r="B500" t="s">
        <v>1372</v>
      </c>
      <c r="C500">
        <v>0</v>
      </c>
      <c r="D500" s="2">
        <v>0</v>
      </c>
      <c r="E500">
        <v>0</v>
      </c>
      <c r="G500" s="2" t="s">
        <v>1186</v>
      </c>
      <c r="H500" s="2" t="s">
        <v>1191</v>
      </c>
      <c r="I500" s="2">
        <v>19</v>
      </c>
      <c r="J500" s="2" t="s">
        <v>1155</v>
      </c>
      <c r="K500">
        <v>2019</v>
      </c>
      <c r="L500" s="2" t="s">
        <v>33</v>
      </c>
      <c r="M500" t="s">
        <v>1173</v>
      </c>
      <c r="N500">
        <v>37</v>
      </c>
      <c r="O500">
        <f>39.5-33</f>
        <v>6.5</v>
      </c>
      <c r="P500" t="s">
        <v>30</v>
      </c>
      <c r="R500" t="s">
        <v>89</v>
      </c>
      <c r="S500" s="4">
        <v>38.873545999999997</v>
      </c>
      <c r="T500" s="4">
        <v>-122.432103</v>
      </c>
      <c r="U500" s="2">
        <v>45</v>
      </c>
      <c r="V500" s="6">
        <f t="shared" si="37"/>
        <v>13.716000000000001</v>
      </c>
      <c r="W500" s="2" t="s">
        <v>2367</v>
      </c>
      <c r="X500" s="2" t="s">
        <v>2377</v>
      </c>
      <c r="Y500" s="2" t="s">
        <v>1586</v>
      </c>
      <c r="AA500" t="s">
        <v>1671</v>
      </c>
      <c r="AJ500" s="41">
        <v>0</v>
      </c>
      <c r="AL500">
        <f t="shared" si="34"/>
        <v>0</v>
      </c>
      <c r="AM500">
        <f t="shared" si="35"/>
        <v>0</v>
      </c>
      <c r="AN500">
        <f t="shared" si="36"/>
        <v>0</v>
      </c>
    </row>
    <row r="501" spans="1:40" x14ac:dyDescent="0.2">
      <c r="A501" s="2">
        <v>55</v>
      </c>
      <c r="B501" t="s">
        <v>1373</v>
      </c>
      <c r="C501">
        <v>0</v>
      </c>
      <c r="D501" s="2">
        <v>0</v>
      </c>
      <c r="E501">
        <v>0</v>
      </c>
      <c r="G501" s="2" t="s">
        <v>1186</v>
      </c>
      <c r="H501" s="2" t="s">
        <v>1191</v>
      </c>
      <c r="I501" s="2">
        <v>19</v>
      </c>
      <c r="J501" s="2" t="s">
        <v>1155</v>
      </c>
      <c r="K501">
        <v>2019</v>
      </c>
      <c r="L501" s="2" t="s">
        <v>137</v>
      </c>
      <c r="M501" t="s">
        <v>1173</v>
      </c>
      <c r="N501">
        <v>27</v>
      </c>
      <c r="O501">
        <f>26-22.5</f>
        <v>3.5</v>
      </c>
      <c r="P501" t="s">
        <v>37</v>
      </c>
      <c r="Q501" s="2" t="s">
        <v>42</v>
      </c>
      <c r="R501" s="45" t="s">
        <v>39</v>
      </c>
      <c r="S501" s="4">
        <v>38.873545999999997</v>
      </c>
      <c r="T501" s="4">
        <v>-122.432103</v>
      </c>
      <c r="U501" s="2">
        <v>45</v>
      </c>
      <c r="V501" s="6">
        <f t="shared" si="37"/>
        <v>13.716000000000001</v>
      </c>
      <c r="W501" s="2" t="s">
        <v>2367</v>
      </c>
      <c r="X501" s="2" t="s">
        <v>2377</v>
      </c>
      <c r="Y501" s="2" t="s">
        <v>1587</v>
      </c>
      <c r="AA501" t="s">
        <v>1672</v>
      </c>
      <c r="AJ501" s="41">
        <v>0</v>
      </c>
      <c r="AL501">
        <f t="shared" si="34"/>
        <v>0</v>
      </c>
      <c r="AM501">
        <f t="shared" si="35"/>
        <v>0</v>
      </c>
      <c r="AN501">
        <f t="shared" si="36"/>
        <v>0</v>
      </c>
    </row>
    <row r="502" spans="1:40" x14ac:dyDescent="0.2">
      <c r="A502" s="2">
        <v>55</v>
      </c>
      <c r="B502" t="s">
        <v>1374</v>
      </c>
      <c r="C502">
        <v>0</v>
      </c>
      <c r="D502" s="2">
        <v>0</v>
      </c>
      <c r="E502">
        <v>0</v>
      </c>
      <c r="G502" s="2" t="s">
        <v>1186</v>
      </c>
      <c r="H502" s="2" t="s">
        <v>1191</v>
      </c>
      <c r="I502" s="2">
        <v>19</v>
      </c>
      <c r="J502" s="2" t="s">
        <v>1155</v>
      </c>
      <c r="K502">
        <v>2019</v>
      </c>
      <c r="L502" s="2" t="s">
        <v>33</v>
      </c>
      <c r="M502" t="s">
        <v>1173</v>
      </c>
      <c r="N502">
        <v>28.5</v>
      </c>
      <c r="O502">
        <f>34.5-31.5</f>
        <v>3</v>
      </c>
      <c r="P502" t="s">
        <v>30</v>
      </c>
      <c r="R502" t="s">
        <v>89</v>
      </c>
      <c r="S502" s="4">
        <v>38.873545999999997</v>
      </c>
      <c r="T502" s="4">
        <v>-122.432103</v>
      </c>
      <c r="U502" s="2">
        <v>45</v>
      </c>
      <c r="V502" s="6">
        <f t="shared" si="37"/>
        <v>13.716000000000001</v>
      </c>
      <c r="W502" s="2" t="s">
        <v>2367</v>
      </c>
      <c r="X502" s="2" t="s">
        <v>2377</v>
      </c>
      <c r="Y502" s="2" t="s">
        <v>1588</v>
      </c>
      <c r="AA502" t="s">
        <v>1673</v>
      </c>
      <c r="AJ502" s="41">
        <v>0</v>
      </c>
      <c r="AL502">
        <f t="shared" si="34"/>
        <v>0</v>
      </c>
      <c r="AM502">
        <f t="shared" si="35"/>
        <v>0</v>
      </c>
      <c r="AN502">
        <f t="shared" si="36"/>
        <v>0</v>
      </c>
    </row>
    <row r="503" spans="1:40" x14ac:dyDescent="0.2">
      <c r="A503" s="2">
        <v>55</v>
      </c>
      <c r="B503" t="s">
        <v>1375</v>
      </c>
      <c r="C503">
        <v>0</v>
      </c>
      <c r="D503" s="2">
        <v>0</v>
      </c>
      <c r="E503">
        <v>0</v>
      </c>
      <c r="G503" s="2" t="s">
        <v>1186</v>
      </c>
      <c r="H503" s="2" t="s">
        <v>1191</v>
      </c>
      <c r="I503" s="2">
        <v>19</v>
      </c>
      <c r="J503" s="2" t="s">
        <v>1155</v>
      </c>
      <c r="K503">
        <v>2019</v>
      </c>
      <c r="L503" s="2" t="s">
        <v>33</v>
      </c>
      <c r="M503" t="s">
        <v>1173</v>
      </c>
      <c r="N503">
        <v>24</v>
      </c>
      <c r="O503">
        <v>2</v>
      </c>
      <c r="P503" t="s">
        <v>37</v>
      </c>
      <c r="R503" t="s">
        <v>89</v>
      </c>
      <c r="S503" s="4">
        <v>38.873545999999997</v>
      </c>
      <c r="T503" s="4">
        <v>-122.432103</v>
      </c>
      <c r="U503" s="2">
        <v>45</v>
      </c>
      <c r="V503" s="6">
        <f t="shared" si="37"/>
        <v>13.716000000000001</v>
      </c>
      <c r="W503" s="2" t="s">
        <v>2367</v>
      </c>
      <c r="X503" s="2" t="s">
        <v>2377</v>
      </c>
      <c r="Y503" s="2" t="s">
        <v>1588</v>
      </c>
      <c r="AA503" t="s">
        <v>1674</v>
      </c>
      <c r="AJ503" s="41">
        <v>0</v>
      </c>
      <c r="AL503">
        <f t="shared" si="34"/>
        <v>0</v>
      </c>
      <c r="AM503">
        <f t="shared" si="35"/>
        <v>0</v>
      </c>
      <c r="AN503">
        <f t="shared" si="36"/>
        <v>0</v>
      </c>
    </row>
    <row r="504" spans="1:40" x14ac:dyDescent="0.2">
      <c r="A504" s="2">
        <v>55</v>
      </c>
      <c r="B504" t="s">
        <v>1376</v>
      </c>
      <c r="C504">
        <v>0</v>
      </c>
      <c r="D504" s="2">
        <v>0</v>
      </c>
      <c r="E504">
        <v>0</v>
      </c>
      <c r="G504" s="2" t="s">
        <v>1186</v>
      </c>
      <c r="H504" s="2" t="s">
        <v>1191</v>
      </c>
      <c r="I504" s="2">
        <v>19</v>
      </c>
      <c r="J504" s="2" t="s">
        <v>1155</v>
      </c>
      <c r="K504">
        <v>2019</v>
      </c>
      <c r="L504" s="2" t="s">
        <v>33</v>
      </c>
      <c r="M504" t="s">
        <v>1173</v>
      </c>
      <c r="N504">
        <v>26.5</v>
      </c>
      <c r="O504">
        <f>27-25.5</f>
        <v>1.5</v>
      </c>
      <c r="P504" t="s">
        <v>37</v>
      </c>
      <c r="R504" t="s">
        <v>89</v>
      </c>
      <c r="S504" s="4">
        <v>38.873545999999997</v>
      </c>
      <c r="T504" s="4">
        <v>-122.432103</v>
      </c>
      <c r="U504" s="2">
        <v>45</v>
      </c>
      <c r="V504" s="6">
        <f t="shared" si="37"/>
        <v>13.716000000000001</v>
      </c>
      <c r="W504" s="2" t="s">
        <v>2367</v>
      </c>
      <c r="X504" s="2" t="s">
        <v>2377</v>
      </c>
      <c r="Y504" s="2" t="s">
        <v>1589</v>
      </c>
      <c r="AA504" t="s">
        <v>1675</v>
      </c>
      <c r="AJ504" s="41">
        <v>0</v>
      </c>
      <c r="AL504">
        <f t="shared" si="34"/>
        <v>0</v>
      </c>
      <c r="AM504">
        <f t="shared" si="35"/>
        <v>0</v>
      </c>
      <c r="AN504">
        <f t="shared" si="36"/>
        <v>0</v>
      </c>
    </row>
    <row r="505" spans="1:40" x14ac:dyDescent="0.2">
      <c r="A505" s="2">
        <v>55</v>
      </c>
      <c r="B505" t="s">
        <v>1377</v>
      </c>
      <c r="C505">
        <v>0</v>
      </c>
      <c r="D505" s="2">
        <v>0</v>
      </c>
      <c r="E505">
        <v>0</v>
      </c>
      <c r="G505" s="2" t="s">
        <v>1186</v>
      </c>
      <c r="H505" s="2" t="s">
        <v>1191</v>
      </c>
      <c r="I505" s="2">
        <v>19</v>
      </c>
      <c r="J505" s="2" t="s">
        <v>1155</v>
      </c>
      <c r="K505">
        <v>2019</v>
      </c>
      <c r="L505" s="2" t="s">
        <v>33</v>
      </c>
      <c r="M505" t="s">
        <v>1173</v>
      </c>
      <c r="N505">
        <v>34</v>
      </c>
      <c r="O505">
        <f>29-25.5</f>
        <v>3.5</v>
      </c>
      <c r="P505" t="s">
        <v>30</v>
      </c>
      <c r="R505" t="s">
        <v>89</v>
      </c>
      <c r="S505" s="4">
        <v>38.873545999999997</v>
      </c>
      <c r="T505" s="4">
        <v>-122.432103</v>
      </c>
      <c r="U505" s="2">
        <v>45</v>
      </c>
      <c r="V505" s="6">
        <f t="shared" si="37"/>
        <v>13.716000000000001</v>
      </c>
      <c r="W505" s="2" t="s">
        <v>2367</v>
      </c>
      <c r="X505" s="2" t="s">
        <v>2377</v>
      </c>
      <c r="Y505" s="2" t="s">
        <v>1590</v>
      </c>
      <c r="AA505" t="s">
        <v>1676</v>
      </c>
      <c r="AJ505" s="41">
        <v>0</v>
      </c>
      <c r="AL505">
        <f t="shared" si="34"/>
        <v>0</v>
      </c>
      <c r="AM505">
        <f t="shared" si="35"/>
        <v>0</v>
      </c>
      <c r="AN505">
        <f t="shared" si="36"/>
        <v>0</v>
      </c>
    </row>
    <row r="506" spans="1:40" x14ac:dyDescent="0.2">
      <c r="A506" s="2">
        <v>55</v>
      </c>
      <c r="B506" t="s">
        <v>1378</v>
      </c>
      <c r="C506">
        <v>0</v>
      </c>
      <c r="D506" s="2">
        <v>0</v>
      </c>
      <c r="E506">
        <v>0</v>
      </c>
      <c r="G506" s="2" t="s">
        <v>1186</v>
      </c>
      <c r="H506" s="2" t="s">
        <v>1191</v>
      </c>
      <c r="I506" s="2">
        <v>19</v>
      </c>
      <c r="J506" s="2" t="s">
        <v>1155</v>
      </c>
      <c r="K506">
        <v>2019</v>
      </c>
      <c r="L506" s="2" t="s">
        <v>137</v>
      </c>
      <c r="M506" t="s">
        <v>1173</v>
      </c>
      <c r="N506">
        <v>31</v>
      </c>
      <c r="O506">
        <f>28-24.5</f>
        <v>3.5</v>
      </c>
      <c r="P506" t="s">
        <v>30</v>
      </c>
      <c r="Q506" s="2" t="s">
        <v>42</v>
      </c>
      <c r="R506" s="45" t="s">
        <v>39</v>
      </c>
      <c r="S506" s="4">
        <v>38.873545999999997</v>
      </c>
      <c r="T506" s="4">
        <v>-122.432103</v>
      </c>
      <c r="U506" s="2">
        <v>45</v>
      </c>
      <c r="V506" s="6">
        <f t="shared" si="37"/>
        <v>13.716000000000001</v>
      </c>
      <c r="W506" s="2" t="s">
        <v>2367</v>
      </c>
      <c r="X506" s="2" t="s">
        <v>2377</v>
      </c>
      <c r="Y506" s="2" t="s">
        <v>1591</v>
      </c>
      <c r="AA506" t="s">
        <v>1677</v>
      </c>
      <c r="AJ506" s="41">
        <v>0</v>
      </c>
      <c r="AL506">
        <f t="shared" si="34"/>
        <v>0</v>
      </c>
      <c r="AM506">
        <f t="shared" si="35"/>
        <v>0</v>
      </c>
      <c r="AN506">
        <f t="shared" si="36"/>
        <v>0</v>
      </c>
    </row>
    <row r="507" spans="1:40" x14ac:dyDescent="0.2">
      <c r="A507" s="2">
        <v>55</v>
      </c>
      <c r="B507" t="s">
        <v>1379</v>
      </c>
      <c r="C507">
        <v>0</v>
      </c>
      <c r="D507" s="2">
        <v>0</v>
      </c>
      <c r="E507">
        <v>0</v>
      </c>
      <c r="G507" s="2" t="s">
        <v>1186</v>
      </c>
      <c r="H507" s="2" t="s">
        <v>1191</v>
      </c>
      <c r="I507" s="2">
        <v>19</v>
      </c>
      <c r="J507" s="2" t="s">
        <v>1155</v>
      </c>
      <c r="K507">
        <v>2019</v>
      </c>
      <c r="L507" s="2" t="s">
        <v>137</v>
      </c>
      <c r="M507" t="s">
        <v>1173</v>
      </c>
      <c r="N507">
        <v>26.5</v>
      </c>
      <c r="O507">
        <f>15.5-13</f>
        <v>2.5</v>
      </c>
      <c r="P507" t="s">
        <v>37</v>
      </c>
      <c r="Q507" s="2" t="s">
        <v>42</v>
      </c>
      <c r="R507" s="45" t="s">
        <v>39</v>
      </c>
      <c r="S507" s="4">
        <v>38.873545999999997</v>
      </c>
      <c r="T507" s="4">
        <v>-122.432103</v>
      </c>
      <c r="U507" s="2">
        <v>45</v>
      </c>
      <c r="V507" s="6">
        <f t="shared" si="37"/>
        <v>13.716000000000001</v>
      </c>
      <c r="W507" s="2" t="s">
        <v>2367</v>
      </c>
      <c r="X507" s="2" t="s">
        <v>2377</v>
      </c>
      <c r="Y507" s="2" t="s">
        <v>1592</v>
      </c>
      <c r="AA507" t="s">
        <v>1678</v>
      </c>
      <c r="AJ507" s="41">
        <v>0</v>
      </c>
      <c r="AL507">
        <f t="shared" si="34"/>
        <v>0</v>
      </c>
      <c r="AM507">
        <f t="shared" si="35"/>
        <v>0</v>
      </c>
      <c r="AN507">
        <f t="shared" si="36"/>
        <v>0</v>
      </c>
    </row>
    <row r="508" spans="1:40" x14ac:dyDescent="0.2">
      <c r="A508" s="2">
        <v>55</v>
      </c>
      <c r="B508" t="s">
        <v>1380</v>
      </c>
      <c r="C508">
        <v>0</v>
      </c>
      <c r="D508" s="2">
        <v>0</v>
      </c>
      <c r="E508">
        <v>0</v>
      </c>
      <c r="G508" s="2" t="s">
        <v>1186</v>
      </c>
      <c r="H508" s="2" t="s">
        <v>1191</v>
      </c>
      <c r="I508" s="2">
        <v>19</v>
      </c>
      <c r="J508" s="2" t="s">
        <v>1155</v>
      </c>
      <c r="K508">
        <v>2019</v>
      </c>
      <c r="L508" s="2" t="s">
        <v>137</v>
      </c>
      <c r="M508" t="s">
        <v>1173</v>
      </c>
      <c r="N508">
        <v>28</v>
      </c>
      <c r="O508">
        <f>41-39.5</f>
        <v>1.5</v>
      </c>
      <c r="P508" t="s">
        <v>30</v>
      </c>
      <c r="Q508" s="2" t="s">
        <v>42</v>
      </c>
      <c r="R508" s="45" t="s">
        <v>39</v>
      </c>
      <c r="S508" s="4">
        <v>38.873545999999997</v>
      </c>
      <c r="T508" s="4">
        <v>-122.432103</v>
      </c>
      <c r="U508" s="2">
        <v>45</v>
      </c>
      <c r="V508" s="6">
        <f t="shared" si="37"/>
        <v>13.716000000000001</v>
      </c>
      <c r="W508" s="2" t="s">
        <v>2367</v>
      </c>
      <c r="X508" s="2" t="s">
        <v>2377</v>
      </c>
      <c r="Y508" s="2" t="s">
        <v>1593</v>
      </c>
      <c r="Z508" t="s">
        <v>1680</v>
      </c>
      <c r="AA508" t="s">
        <v>1679</v>
      </c>
      <c r="AJ508" s="41">
        <v>0</v>
      </c>
      <c r="AL508">
        <f t="shared" si="34"/>
        <v>0</v>
      </c>
      <c r="AM508">
        <f t="shared" si="35"/>
        <v>0</v>
      </c>
      <c r="AN508">
        <f t="shared" si="36"/>
        <v>0</v>
      </c>
    </row>
    <row r="509" spans="1:40" x14ac:dyDescent="0.2">
      <c r="A509" s="2">
        <v>55</v>
      </c>
      <c r="B509" t="s">
        <v>1381</v>
      </c>
      <c r="C509">
        <v>0</v>
      </c>
      <c r="D509" s="2">
        <v>0</v>
      </c>
      <c r="E509">
        <v>0</v>
      </c>
      <c r="G509" s="2" t="s">
        <v>1186</v>
      </c>
      <c r="H509" s="2" t="s">
        <v>1191</v>
      </c>
      <c r="I509" s="2">
        <v>19</v>
      </c>
      <c r="J509" s="2" t="s">
        <v>1155</v>
      </c>
      <c r="K509">
        <v>2019</v>
      </c>
      <c r="L509" s="2" t="s">
        <v>137</v>
      </c>
      <c r="M509" t="s">
        <v>1173</v>
      </c>
      <c r="N509">
        <v>27</v>
      </c>
      <c r="O509">
        <v>4</v>
      </c>
      <c r="P509" t="s">
        <v>30</v>
      </c>
      <c r="Q509" s="2" t="s">
        <v>42</v>
      </c>
      <c r="R509" s="45" t="s">
        <v>39</v>
      </c>
      <c r="S509" s="4">
        <v>38.873545999999997</v>
      </c>
      <c r="T509" s="4">
        <v>-122.432103</v>
      </c>
      <c r="U509" s="2">
        <v>45</v>
      </c>
      <c r="V509" s="6">
        <f t="shared" si="37"/>
        <v>13.716000000000001</v>
      </c>
      <c r="W509" s="2" t="s">
        <v>2367</v>
      </c>
      <c r="X509" s="2" t="s">
        <v>2377</v>
      </c>
      <c r="Y509" s="2" t="s">
        <v>1594</v>
      </c>
      <c r="AA509" t="s">
        <v>1681</v>
      </c>
      <c r="AJ509" s="41">
        <v>0</v>
      </c>
      <c r="AL509">
        <f t="shared" si="34"/>
        <v>0</v>
      </c>
      <c r="AM509">
        <f t="shared" si="35"/>
        <v>0</v>
      </c>
      <c r="AN509">
        <f t="shared" si="36"/>
        <v>0</v>
      </c>
    </row>
    <row r="510" spans="1:40" x14ac:dyDescent="0.2">
      <c r="A510" s="2">
        <v>55</v>
      </c>
      <c r="B510" t="s">
        <v>1382</v>
      </c>
      <c r="C510">
        <v>0</v>
      </c>
      <c r="D510" s="2">
        <v>0</v>
      </c>
      <c r="E510">
        <v>0</v>
      </c>
      <c r="G510" s="2" t="s">
        <v>1186</v>
      </c>
      <c r="H510" s="2" t="s">
        <v>1191</v>
      </c>
      <c r="I510" s="2">
        <v>19</v>
      </c>
      <c r="J510" s="2" t="s">
        <v>1155</v>
      </c>
      <c r="K510">
        <v>2019</v>
      </c>
      <c r="L510" s="2" t="s">
        <v>137</v>
      </c>
      <c r="M510" t="s">
        <v>1173</v>
      </c>
      <c r="N510">
        <v>27</v>
      </c>
      <c r="O510">
        <f>41-38.5</f>
        <v>2.5</v>
      </c>
      <c r="P510" t="s">
        <v>37</v>
      </c>
      <c r="Q510" t="s">
        <v>42</v>
      </c>
      <c r="R510" s="2" t="s">
        <v>39</v>
      </c>
      <c r="S510" s="4">
        <v>38.873545999999997</v>
      </c>
      <c r="T510" s="4">
        <v>-122.432103</v>
      </c>
      <c r="U510" s="2">
        <v>45</v>
      </c>
      <c r="V510" s="6">
        <f t="shared" si="37"/>
        <v>13.716000000000001</v>
      </c>
      <c r="W510" s="2" t="s">
        <v>2367</v>
      </c>
      <c r="X510" s="2" t="s">
        <v>2377</v>
      </c>
      <c r="Y510" s="2" t="s">
        <v>1177</v>
      </c>
      <c r="AA510" t="s">
        <v>1682</v>
      </c>
      <c r="AJ510" s="41">
        <v>0</v>
      </c>
      <c r="AL510">
        <f t="shared" si="34"/>
        <v>0</v>
      </c>
      <c r="AM510">
        <f t="shared" si="35"/>
        <v>0</v>
      </c>
      <c r="AN510">
        <f t="shared" si="36"/>
        <v>0</v>
      </c>
    </row>
    <row r="511" spans="1:40" x14ac:dyDescent="0.2">
      <c r="A511" s="2">
        <v>56</v>
      </c>
      <c r="B511" t="s">
        <v>1383</v>
      </c>
      <c r="C511">
        <v>0</v>
      </c>
      <c r="D511" s="2">
        <v>0</v>
      </c>
      <c r="E511">
        <v>0</v>
      </c>
      <c r="G511" s="2" t="s">
        <v>1186</v>
      </c>
      <c r="H511" s="2" t="s">
        <v>1191</v>
      </c>
      <c r="I511" s="2">
        <v>19</v>
      </c>
      <c r="J511" s="2" t="s">
        <v>1155</v>
      </c>
      <c r="K511">
        <v>2019</v>
      </c>
      <c r="L511" s="2" t="s">
        <v>33</v>
      </c>
      <c r="M511" t="s">
        <v>1173</v>
      </c>
      <c r="N511">
        <v>96</v>
      </c>
      <c r="O511" t="s">
        <v>43</v>
      </c>
      <c r="P511" t="s">
        <v>30</v>
      </c>
      <c r="Q511" t="s">
        <v>42</v>
      </c>
      <c r="R511" s="2" t="s">
        <v>39</v>
      </c>
      <c r="S511" s="4">
        <v>38.870480000000001</v>
      </c>
      <c r="T511" s="4">
        <v>-122.4284</v>
      </c>
      <c r="U511">
        <v>2183</v>
      </c>
      <c r="V511" s="6">
        <f t="shared" si="37"/>
        <v>665.37840000000006</v>
      </c>
      <c r="W511" s="2" t="s">
        <v>898</v>
      </c>
      <c r="X511" s="2" t="s">
        <v>2376</v>
      </c>
      <c r="Y511" s="2" t="s">
        <v>146</v>
      </c>
      <c r="Z511" t="s">
        <v>1684</v>
      </c>
      <c r="AA511" t="s">
        <v>1683</v>
      </c>
      <c r="AJ511" s="41">
        <v>0</v>
      </c>
      <c r="AL511">
        <f t="shared" si="34"/>
        <v>0</v>
      </c>
      <c r="AM511">
        <f t="shared" si="35"/>
        <v>0</v>
      </c>
      <c r="AN511">
        <f t="shared" si="36"/>
        <v>0</v>
      </c>
    </row>
    <row r="512" spans="1:40" x14ac:dyDescent="0.2">
      <c r="A512" s="2">
        <v>56</v>
      </c>
      <c r="B512" t="s">
        <v>1384</v>
      </c>
      <c r="C512">
        <v>0</v>
      </c>
      <c r="D512" s="2">
        <v>0</v>
      </c>
      <c r="E512">
        <v>0</v>
      </c>
      <c r="G512" s="2" t="s">
        <v>1186</v>
      </c>
      <c r="H512" s="2" t="s">
        <v>1191</v>
      </c>
      <c r="I512" s="2">
        <v>19</v>
      </c>
      <c r="J512" s="2" t="s">
        <v>1155</v>
      </c>
      <c r="K512">
        <v>2019</v>
      </c>
      <c r="L512" s="2" t="s">
        <v>137</v>
      </c>
      <c r="M512" t="s">
        <v>1173</v>
      </c>
      <c r="N512">
        <v>22.5</v>
      </c>
      <c r="O512">
        <v>1</v>
      </c>
      <c r="P512" t="s">
        <v>37</v>
      </c>
      <c r="R512" s="45" t="s">
        <v>39</v>
      </c>
      <c r="S512" s="4">
        <v>38.870480000000001</v>
      </c>
      <c r="T512" s="4">
        <v>-122.4284</v>
      </c>
      <c r="U512">
        <v>2183</v>
      </c>
      <c r="V512" s="6">
        <f t="shared" si="37"/>
        <v>665.37840000000006</v>
      </c>
      <c r="W512" s="2" t="s">
        <v>898</v>
      </c>
      <c r="X512" s="2" t="s">
        <v>2376</v>
      </c>
      <c r="Y512" s="2" t="s">
        <v>435</v>
      </c>
      <c r="AA512" t="s">
        <v>1685</v>
      </c>
      <c r="AJ512" s="41">
        <v>0</v>
      </c>
      <c r="AL512">
        <f t="shared" si="34"/>
        <v>0</v>
      </c>
      <c r="AM512">
        <f t="shared" si="35"/>
        <v>0</v>
      </c>
      <c r="AN512">
        <f t="shared" si="36"/>
        <v>0</v>
      </c>
    </row>
    <row r="513" spans="1:40" x14ac:dyDescent="0.2">
      <c r="A513" s="2">
        <v>56</v>
      </c>
      <c r="B513" t="s">
        <v>1385</v>
      </c>
      <c r="C513">
        <v>0</v>
      </c>
      <c r="D513" s="2">
        <v>0</v>
      </c>
      <c r="E513">
        <v>0</v>
      </c>
      <c r="G513" s="2" t="s">
        <v>1186</v>
      </c>
      <c r="H513" s="2" t="s">
        <v>1191</v>
      </c>
      <c r="I513" s="2">
        <v>19</v>
      </c>
      <c r="J513" s="2" t="s">
        <v>1155</v>
      </c>
      <c r="K513">
        <v>2019</v>
      </c>
      <c r="L513" s="2" t="s">
        <v>137</v>
      </c>
      <c r="M513" t="s">
        <v>1173</v>
      </c>
      <c r="N513">
        <v>23</v>
      </c>
      <c r="O513">
        <v>1</v>
      </c>
      <c r="P513" t="s">
        <v>37</v>
      </c>
      <c r="R513" s="45" t="s">
        <v>39</v>
      </c>
      <c r="S513" s="4">
        <v>38.870480000000001</v>
      </c>
      <c r="T513" s="4">
        <v>-122.4284</v>
      </c>
      <c r="U513">
        <v>2183</v>
      </c>
      <c r="V513" s="6">
        <f t="shared" si="37"/>
        <v>665.37840000000006</v>
      </c>
      <c r="W513" s="2" t="s">
        <v>898</v>
      </c>
      <c r="X513" s="2" t="s">
        <v>2376</v>
      </c>
      <c r="Y513" s="2" t="s">
        <v>218</v>
      </c>
      <c r="AA513" t="s">
        <v>1686</v>
      </c>
      <c r="AJ513" s="41">
        <v>0</v>
      </c>
      <c r="AL513">
        <f t="shared" si="34"/>
        <v>0</v>
      </c>
      <c r="AM513">
        <f t="shared" si="35"/>
        <v>0</v>
      </c>
      <c r="AN513">
        <f t="shared" si="36"/>
        <v>0</v>
      </c>
    </row>
    <row r="514" spans="1:40" x14ac:dyDescent="0.2">
      <c r="A514" s="2">
        <v>56</v>
      </c>
      <c r="B514" t="s">
        <v>1386</v>
      </c>
      <c r="C514">
        <v>0</v>
      </c>
      <c r="D514" s="2">
        <v>0</v>
      </c>
      <c r="E514">
        <v>0</v>
      </c>
      <c r="G514" s="2" t="s">
        <v>1186</v>
      </c>
      <c r="H514" s="2" t="s">
        <v>1191</v>
      </c>
      <c r="I514" s="2">
        <v>19</v>
      </c>
      <c r="J514" s="2" t="s">
        <v>1155</v>
      </c>
      <c r="K514">
        <v>2019</v>
      </c>
      <c r="L514" s="2" t="s">
        <v>137</v>
      </c>
      <c r="M514" t="s">
        <v>1173</v>
      </c>
      <c r="N514">
        <v>20</v>
      </c>
      <c r="O514">
        <v>0.5</v>
      </c>
      <c r="P514" t="s">
        <v>37</v>
      </c>
      <c r="R514" s="45" t="s">
        <v>39</v>
      </c>
      <c r="S514" s="4">
        <v>38.87041</v>
      </c>
      <c r="T514" s="4">
        <v>-122.42838</v>
      </c>
      <c r="U514">
        <v>2175</v>
      </c>
      <c r="V514" s="6">
        <f t="shared" si="37"/>
        <v>662.94</v>
      </c>
      <c r="W514" s="2" t="s">
        <v>898</v>
      </c>
      <c r="X514" s="2" t="s">
        <v>2376</v>
      </c>
      <c r="Y514" s="2" t="s">
        <v>243</v>
      </c>
      <c r="AA514" t="s">
        <v>1687</v>
      </c>
      <c r="AJ514" s="41">
        <v>0</v>
      </c>
      <c r="AL514">
        <f t="shared" si="34"/>
        <v>0</v>
      </c>
      <c r="AM514">
        <f t="shared" si="35"/>
        <v>0</v>
      </c>
      <c r="AN514">
        <f t="shared" si="36"/>
        <v>0</v>
      </c>
    </row>
    <row r="515" spans="1:40" x14ac:dyDescent="0.2">
      <c r="A515" s="2">
        <v>56</v>
      </c>
      <c r="B515" t="s">
        <v>1387</v>
      </c>
      <c r="C515">
        <v>0</v>
      </c>
      <c r="D515" s="2">
        <v>0</v>
      </c>
      <c r="E515">
        <v>0</v>
      </c>
      <c r="G515" s="2" t="s">
        <v>1186</v>
      </c>
      <c r="H515" s="2" t="s">
        <v>1191</v>
      </c>
      <c r="I515" s="2">
        <v>19</v>
      </c>
      <c r="J515" s="2" t="s">
        <v>1155</v>
      </c>
      <c r="K515">
        <v>2019</v>
      </c>
      <c r="L515" s="2" t="s">
        <v>137</v>
      </c>
      <c r="M515" t="s">
        <v>1173</v>
      </c>
      <c r="N515">
        <v>28</v>
      </c>
      <c r="O515">
        <f>27.5-25</f>
        <v>2.5</v>
      </c>
      <c r="P515" t="s">
        <v>37</v>
      </c>
      <c r="Q515" t="s">
        <v>42</v>
      </c>
      <c r="R515" s="45" t="s">
        <v>39</v>
      </c>
      <c r="S515" s="4">
        <v>38.870649999999998</v>
      </c>
      <c r="T515" s="4">
        <v>-122.42865</v>
      </c>
      <c r="U515">
        <v>2176</v>
      </c>
      <c r="V515" s="6">
        <f t="shared" si="37"/>
        <v>663.24480000000005</v>
      </c>
      <c r="W515" s="2" t="s">
        <v>2331</v>
      </c>
      <c r="X515" s="2" t="s">
        <v>2376</v>
      </c>
      <c r="Y515" s="2" t="s">
        <v>243</v>
      </c>
      <c r="AA515" t="s">
        <v>1688</v>
      </c>
      <c r="AJ515" s="41">
        <v>0</v>
      </c>
      <c r="AL515">
        <f t="shared" si="34"/>
        <v>0</v>
      </c>
      <c r="AM515">
        <f t="shared" si="35"/>
        <v>0</v>
      </c>
      <c r="AN515">
        <f t="shared" si="36"/>
        <v>0</v>
      </c>
    </row>
    <row r="516" spans="1:40" x14ac:dyDescent="0.2">
      <c r="A516" s="2">
        <v>56</v>
      </c>
      <c r="B516" t="s">
        <v>1388</v>
      </c>
      <c r="C516">
        <v>0</v>
      </c>
      <c r="D516" s="2">
        <v>0</v>
      </c>
      <c r="E516">
        <v>0</v>
      </c>
      <c r="G516" s="2" t="s">
        <v>1186</v>
      </c>
      <c r="H516" s="2" t="s">
        <v>1191</v>
      </c>
      <c r="I516" s="2">
        <v>19</v>
      </c>
      <c r="J516" s="2" t="s">
        <v>1155</v>
      </c>
      <c r="K516">
        <v>2019</v>
      </c>
      <c r="L516" s="2" t="s">
        <v>137</v>
      </c>
      <c r="M516" t="s">
        <v>1173</v>
      </c>
      <c r="N516">
        <v>17</v>
      </c>
      <c r="O516">
        <v>1</v>
      </c>
      <c r="P516" t="s">
        <v>37</v>
      </c>
      <c r="R516" t="s">
        <v>89</v>
      </c>
      <c r="S516" s="4">
        <v>38.870649999999998</v>
      </c>
      <c r="T516" s="4">
        <v>-122.42865</v>
      </c>
      <c r="U516">
        <v>2176</v>
      </c>
      <c r="V516" s="6">
        <f t="shared" si="37"/>
        <v>663.24480000000005</v>
      </c>
      <c r="W516" s="2" t="s">
        <v>2331</v>
      </c>
      <c r="X516" s="2" t="s">
        <v>2376</v>
      </c>
      <c r="Y516" s="2" t="s">
        <v>878</v>
      </c>
      <c r="AA516" t="s">
        <v>1689</v>
      </c>
      <c r="AJ516" s="41">
        <v>0</v>
      </c>
      <c r="AL516">
        <f t="shared" si="34"/>
        <v>0</v>
      </c>
      <c r="AM516">
        <f t="shared" si="35"/>
        <v>0</v>
      </c>
      <c r="AN516">
        <f t="shared" si="36"/>
        <v>0</v>
      </c>
    </row>
    <row r="517" spans="1:40" x14ac:dyDescent="0.2">
      <c r="A517" s="2">
        <v>56</v>
      </c>
      <c r="B517" t="s">
        <v>1389</v>
      </c>
      <c r="C517">
        <v>0</v>
      </c>
      <c r="D517" s="2">
        <v>0</v>
      </c>
      <c r="E517">
        <v>0</v>
      </c>
      <c r="G517" s="2" t="s">
        <v>1186</v>
      </c>
      <c r="H517" s="2" t="s">
        <v>1191</v>
      </c>
      <c r="I517" s="2">
        <v>19</v>
      </c>
      <c r="J517" s="2" t="s">
        <v>1155</v>
      </c>
      <c r="K517">
        <v>2019</v>
      </c>
      <c r="L517" s="2" t="s">
        <v>137</v>
      </c>
      <c r="M517" t="s">
        <v>1173</v>
      </c>
      <c r="N517">
        <v>18.5</v>
      </c>
      <c r="O517">
        <v>0.5</v>
      </c>
      <c r="P517" t="s">
        <v>37</v>
      </c>
      <c r="R517" t="s">
        <v>89</v>
      </c>
      <c r="S517" s="4">
        <v>38.870649999999998</v>
      </c>
      <c r="T517" s="4">
        <v>-122.42865</v>
      </c>
      <c r="U517">
        <v>2176</v>
      </c>
      <c r="V517" s="6">
        <f t="shared" si="37"/>
        <v>663.24480000000005</v>
      </c>
      <c r="W517" s="2" t="s">
        <v>2331</v>
      </c>
      <c r="X517" s="2" t="s">
        <v>2376</v>
      </c>
      <c r="Y517" s="2" t="s">
        <v>561</v>
      </c>
      <c r="AA517" t="s">
        <v>1690</v>
      </c>
      <c r="AJ517" s="41">
        <v>0</v>
      </c>
      <c r="AL517">
        <f t="shared" si="34"/>
        <v>0</v>
      </c>
      <c r="AM517">
        <f t="shared" si="35"/>
        <v>0</v>
      </c>
      <c r="AN517">
        <f t="shared" si="36"/>
        <v>0</v>
      </c>
    </row>
    <row r="518" spans="1:40" x14ac:dyDescent="0.2">
      <c r="A518" s="2">
        <v>56</v>
      </c>
      <c r="B518" t="s">
        <v>1390</v>
      </c>
      <c r="C518">
        <v>0</v>
      </c>
      <c r="D518" s="2">
        <v>0</v>
      </c>
      <c r="E518">
        <v>0</v>
      </c>
      <c r="G518" s="2" t="s">
        <v>1186</v>
      </c>
      <c r="H518" s="2" t="s">
        <v>1191</v>
      </c>
      <c r="I518" s="2">
        <v>19</v>
      </c>
      <c r="J518" s="2" t="s">
        <v>1155</v>
      </c>
      <c r="K518">
        <v>2019</v>
      </c>
      <c r="L518" s="2" t="s">
        <v>137</v>
      </c>
      <c r="M518" t="s">
        <v>1173</v>
      </c>
      <c r="N518">
        <v>21</v>
      </c>
      <c r="O518">
        <v>1</v>
      </c>
      <c r="P518" t="s">
        <v>37</v>
      </c>
      <c r="R518" s="45" t="s">
        <v>39</v>
      </c>
      <c r="S518" s="4">
        <v>38.870609999999999</v>
      </c>
      <c r="T518" s="4">
        <v>-122.42923999999999</v>
      </c>
      <c r="U518">
        <v>2168</v>
      </c>
      <c r="V518" s="6">
        <f t="shared" si="37"/>
        <v>660.80640000000005</v>
      </c>
      <c r="W518" s="2" t="s">
        <v>898</v>
      </c>
      <c r="X518" s="2" t="s">
        <v>2376</v>
      </c>
      <c r="Y518" s="2" t="s">
        <v>263</v>
      </c>
      <c r="AA518" t="s">
        <v>489</v>
      </c>
      <c r="AJ518" s="41">
        <v>0</v>
      </c>
      <c r="AL518">
        <f t="shared" si="34"/>
        <v>0</v>
      </c>
      <c r="AM518">
        <f t="shared" si="35"/>
        <v>0</v>
      </c>
      <c r="AN518">
        <f t="shared" si="36"/>
        <v>0</v>
      </c>
    </row>
    <row r="519" spans="1:40" x14ac:dyDescent="0.2">
      <c r="A519" s="2">
        <v>56</v>
      </c>
      <c r="B519" t="s">
        <v>1391</v>
      </c>
      <c r="C519">
        <v>0</v>
      </c>
      <c r="D519" s="2">
        <v>0</v>
      </c>
      <c r="E519">
        <v>0</v>
      </c>
      <c r="G519" s="2" t="s">
        <v>1186</v>
      </c>
      <c r="H519" s="2" t="s">
        <v>1191</v>
      </c>
      <c r="I519" s="2">
        <v>19</v>
      </c>
      <c r="J519" s="2" t="s">
        <v>1155</v>
      </c>
      <c r="K519">
        <v>2019</v>
      </c>
      <c r="L519" s="2" t="s">
        <v>691</v>
      </c>
      <c r="M519" t="s">
        <v>1173</v>
      </c>
      <c r="N519">
        <v>45</v>
      </c>
      <c r="O519">
        <f>30.5-21</f>
        <v>9.5</v>
      </c>
      <c r="P519" t="s">
        <v>30</v>
      </c>
      <c r="R519" t="s">
        <v>89</v>
      </c>
      <c r="S519" s="4">
        <v>38.870620000000002</v>
      </c>
      <c r="T519" s="4">
        <v>-122.42928999999999</v>
      </c>
      <c r="U519">
        <v>2170</v>
      </c>
      <c r="V519" s="6">
        <f t="shared" si="37"/>
        <v>661.41600000000005</v>
      </c>
      <c r="W519" s="2" t="s">
        <v>898</v>
      </c>
      <c r="X519" s="2" t="s">
        <v>2376</v>
      </c>
      <c r="Y519" s="2" t="s">
        <v>353</v>
      </c>
      <c r="AA519" t="s">
        <v>1691</v>
      </c>
      <c r="AJ519" s="41">
        <v>0</v>
      </c>
      <c r="AL519">
        <f t="shared" si="34"/>
        <v>0</v>
      </c>
      <c r="AM519">
        <f t="shared" si="35"/>
        <v>0</v>
      </c>
      <c r="AN519">
        <f t="shared" si="36"/>
        <v>0</v>
      </c>
    </row>
    <row r="520" spans="1:40" x14ac:dyDescent="0.2">
      <c r="A520" s="2">
        <v>56</v>
      </c>
      <c r="B520" t="s">
        <v>1392</v>
      </c>
      <c r="C520">
        <v>0</v>
      </c>
      <c r="D520" s="2">
        <v>0</v>
      </c>
      <c r="E520">
        <v>0</v>
      </c>
      <c r="G520" s="2" t="s">
        <v>1186</v>
      </c>
      <c r="H520" s="2" t="s">
        <v>1191</v>
      </c>
      <c r="I520" s="2">
        <v>19</v>
      </c>
      <c r="J520" s="2" t="s">
        <v>1155</v>
      </c>
      <c r="K520">
        <v>2019</v>
      </c>
      <c r="L520" s="2" t="s">
        <v>691</v>
      </c>
      <c r="M520" t="s">
        <v>1173</v>
      </c>
      <c r="N520">
        <v>61.5</v>
      </c>
      <c r="O520">
        <f>81.5-43.5</f>
        <v>38</v>
      </c>
      <c r="P520" t="s">
        <v>30</v>
      </c>
      <c r="Q520" s="2"/>
      <c r="R520" s="53" t="s">
        <v>89</v>
      </c>
      <c r="S520" s="4">
        <v>38.870620000000002</v>
      </c>
      <c r="T520" s="4">
        <v>-122.42928999999999</v>
      </c>
      <c r="U520">
        <v>2170</v>
      </c>
      <c r="V520" s="6">
        <f t="shared" si="37"/>
        <v>661.41600000000005</v>
      </c>
      <c r="W520" s="2" t="s">
        <v>898</v>
      </c>
      <c r="X520" s="2" t="s">
        <v>2376</v>
      </c>
      <c r="Y520" s="2" t="s">
        <v>357</v>
      </c>
      <c r="AA520" t="s">
        <v>1692</v>
      </c>
      <c r="AJ520" s="41">
        <v>0</v>
      </c>
      <c r="AL520">
        <f t="shared" si="34"/>
        <v>0</v>
      </c>
      <c r="AM520">
        <f t="shared" si="35"/>
        <v>0</v>
      </c>
      <c r="AN520">
        <f t="shared" si="36"/>
        <v>0</v>
      </c>
    </row>
    <row r="521" spans="1:40" x14ac:dyDescent="0.2">
      <c r="A521" s="2">
        <v>56</v>
      </c>
      <c r="B521" t="s">
        <v>1393</v>
      </c>
      <c r="C521">
        <v>0</v>
      </c>
      <c r="D521" s="2">
        <v>0</v>
      </c>
      <c r="E521">
        <v>0</v>
      </c>
      <c r="G521" s="2" t="s">
        <v>1186</v>
      </c>
      <c r="H521" s="2" t="s">
        <v>1191</v>
      </c>
      <c r="I521" s="2">
        <v>19</v>
      </c>
      <c r="J521" s="2" t="s">
        <v>1155</v>
      </c>
      <c r="K521">
        <v>2019</v>
      </c>
      <c r="L521" s="2" t="s">
        <v>137</v>
      </c>
      <c r="M521" t="s">
        <v>1173</v>
      </c>
      <c r="N521">
        <v>20.5</v>
      </c>
      <c r="O521">
        <v>0.5</v>
      </c>
      <c r="P521" t="s">
        <v>37</v>
      </c>
      <c r="R521" s="45" t="s">
        <v>39</v>
      </c>
      <c r="S521" s="4">
        <v>38.870620000000002</v>
      </c>
      <c r="T521" s="4">
        <v>-122.42928999999999</v>
      </c>
      <c r="U521">
        <v>2170</v>
      </c>
      <c r="V521" s="6">
        <f t="shared" si="37"/>
        <v>661.41600000000005</v>
      </c>
      <c r="W521" s="2" t="s">
        <v>898</v>
      </c>
      <c r="X521" s="2" t="s">
        <v>2376</v>
      </c>
      <c r="Y521" s="2" t="s">
        <v>535</v>
      </c>
      <c r="AA521" t="s">
        <v>712</v>
      </c>
      <c r="AJ521" s="41">
        <v>0</v>
      </c>
      <c r="AL521">
        <f t="shared" si="34"/>
        <v>0</v>
      </c>
      <c r="AM521">
        <f t="shared" si="35"/>
        <v>0</v>
      </c>
      <c r="AN521">
        <f t="shared" si="36"/>
        <v>0</v>
      </c>
    </row>
    <row r="522" spans="1:40" x14ac:dyDescent="0.2">
      <c r="A522" s="2">
        <v>56</v>
      </c>
      <c r="B522" t="s">
        <v>1394</v>
      </c>
      <c r="C522">
        <v>0</v>
      </c>
      <c r="D522" s="2">
        <v>0</v>
      </c>
      <c r="E522">
        <v>0</v>
      </c>
      <c r="G522" s="2" t="s">
        <v>1186</v>
      </c>
      <c r="H522" s="2" t="s">
        <v>1191</v>
      </c>
      <c r="I522" s="2">
        <v>19</v>
      </c>
      <c r="J522" s="2" t="s">
        <v>1155</v>
      </c>
      <c r="K522">
        <v>2019</v>
      </c>
      <c r="L522" s="2" t="s">
        <v>137</v>
      </c>
      <c r="M522" t="s">
        <v>1173</v>
      </c>
      <c r="N522">
        <v>17.5</v>
      </c>
      <c r="O522">
        <v>1</v>
      </c>
      <c r="P522" t="s">
        <v>37</v>
      </c>
      <c r="R522" t="s">
        <v>89</v>
      </c>
      <c r="S522" s="4">
        <v>38.870620000000002</v>
      </c>
      <c r="T522" s="4">
        <v>-122.42928999999999</v>
      </c>
      <c r="U522">
        <v>2170</v>
      </c>
      <c r="V522" s="6">
        <f t="shared" si="37"/>
        <v>661.41600000000005</v>
      </c>
      <c r="W522" s="2" t="s">
        <v>898</v>
      </c>
      <c r="X522" s="2" t="s">
        <v>2376</v>
      </c>
      <c r="Y522" s="2" t="s">
        <v>1595</v>
      </c>
      <c r="AJ522" s="41">
        <v>0</v>
      </c>
      <c r="AL522">
        <f t="shared" si="34"/>
        <v>0</v>
      </c>
      <c r="AM522">
        <f t="shared" si="35"/>
        <v>0</v>
      </c>
      <c r="AN522">
        <f t="shared" si="36"/>
        <v>0</v>
      </c>
    </row>
    <row r="523" spans="1:40" x14ac:dyDescent="0.2">
      <c r="A523" s="2">
        <v>56</v>
      </c>
      <c r="B523" t="s">
        <v>1395</v>
      </c>
      <c r="C523">
        <v>0</v>
      </c>
      <c r="D523" s="2">
        <v>0</v>
      </c>
      <c r="E523">
        <v>0</v>
      </c>
      <c r="G523" s="2" t="s">
        <v>1186</v>
      </c>
      <c r="H523" s="2" t="s">
        <v>1191</v>
      </c>
      <c r="I523" s="2">
        <v>19</v>
      </c>
      <c r="J523" s="2" t="s">
        <v>1155</v>
      </c>
      <c r="K523">
        <v>2019</v>
      </c>
      <c r="L523" s="2" t="s">
        <v>691</v>
      </c>
      <c r="M523" t="s">
        <v>1173</v>
      </c>
      <c r="N523">
        <v>40</v>
      </c>
      <c r="O523">
        <f>19-10</f>
        <v>9</v>
      </c>
      <c r="P523" t="s">
        <v>30</v>
      </c>
      <c r="Q523" s="2"/>
      <c r="R523" t="s">
        <v>89</v>
      </c>
      <c r="S523" s="4">
        <v>38.870420000000003</v>
      </c>
      <c r="T523" s="4">
        <v>-122.42842</v>
      </c>
      <c r="U523">
        <v>2175</v>
      </c>
      <c r="V523" s="6">
        <f t="shared" si="37"/>
        <v>662.94</v>
      </c>
      <c r="W523" s="2" t="s">
        <v>898</v>
      </c>
      <c r="X523" s="2" t="s">
        <v>2376</v>
      </c>
      <c r="Y523" s="2" t="s">
        <v>883</v>
      </c>
      <c r="AA523" t="s">
        <v>1693</v>
      </c>
      <c r="AJ523" s="41">
        <v>0</v>
      </c>
      <c r="AL523">
        <f t="shared" si="34"/>
        <v>0</v>
      </c>
      <c r="AM523">
        <f t="shared" si="35"/>
        <v>0</v>
      </c>
      <c r="AN523">
        <f t="shared" si="36"/>
        <v>0</v>
      </c>
    </row>
    <row r="524" spans="1:40" x14ac:dyDescent="0.2">
      <c r="A524" s="2">
        <v>57</v>
      </c>
      <c r="B524" t="s">
        <v>1396</v>
      </c>
      <c r="C524">
        <v>0</v>
      </c>
      <c r="D524" s="2">
        <v>0</v>
      </c>
      <c r="E524">
        <v>0</v>
      </c>
      <c r="G524" s="2" t="s">
        <v>1186</v>
      </c>
      <c r="H524" s="2" t="s">
        <v>1191</v>
      </c>
      <c r="I524" s="2">
        <v>20</v>
      </c>
      <c r="J524" s="2" t="s">
        <v>1155</v>
      </c>
      <c r="K524">
        <v>2019</v>
      </c>
      <c r="L524" s="2" t="s">
        <v>137</v>
      </c>
      <c r="M524" t="s">
        <v>1173</v>
      </c>
      <c r="N524">
        <v>21</v>
      </c>
      <c r="O524">
        <v>1</v>
      </c>
      <c r="P524" t="s">
        <v>30</v>
      </c>
      <c r="R524" s="45" t="s">
        <v>39</v>
      </c>
      <c r="S524" s="4">
        <v>38.874250000000004</v>
      </c>
      <c r="T524" s="4">
        <v>-122.4354</v>
      </c>
      <c r="U524">
        <v>2211</v>
      </c>
      <c r="V524" s="6">
        <f t="shared" si="37"/>
        <v>673.91280000000006</v>
      </c>
      <c r="W524" s="2" t="s">
        <v>898</v>
      </c>
      <c r="X524" s="2" t="s">
        <v>2378</v>
      </c>
      <c r="Y524" s="2" t="s">
        <v>152</v>
      </c>
      <c r="AA524" t="s">
        <v>1694</v>
      </c>
      <c r="AJ524" s="41">
        <v>0</v>
      </c>
      <c r="AL524">
        <f t="shared" si="34"/>
        <v>0</v>
      </c>
      <c r="AM524">
        <f t="shared" si="35"/>
        <v>0</v>
      </c>
      <c r="AN524">
        <f t="shared" si="36"/>
        <v>0</v>
      </c>
    </row>
    <row r="525" spans="1:40" x14ac:dyDescent="0.2">
      <c r="A525" s="2">
        <v>57</v>
      </c>
      <c r="B525" t="s">
        <v>1397</v>
      </c>
      <c r="C525">
        <v>0</v>
      </c>
      <c r="D525" s="2">
        <v>0</v>
      </c>
      <c r="E525">
        <v>0</v>
      </c>
      <c r="G525" s="2" t="s">
        <v>1186</v>
      </c>
      <c r="H525" s="2" t="s">
        <v>1191</v>
      </c>
      <c r="I525" s="13">
        <v>20</v>
      </c>
      <c r="J525" s="13" t="s">
        <v>1155</v>
      </c>
      <c r="K525" s="13">
        <v>2019</v>
      </c>
      <c r="L525" s="2" t="s">
        <v>137</v>
      </c>
      <c r="M525" t="s">
        <v>1173</v>
      </c>
      <c r="N525">
        <v>21</v>
      </c>
      <c r="O525">
        <v>1</v>
      </c>
      <c r="P525" t="s">
        <v>37</v>
      </c>
      <c r="R525" s="45" t="s">
        <v>39</v>
      </c>
      <c r="S525" s="4">
        <v>38.874220000000001</v>
      </c>
      <c r="T525" s="4">
        <v>-122.43536</v>
      </c>
      <c r="U525">
        <v>2212</v>
      </c>
      <c r="V525" s="6">
        <f t="shared" si="37"/>
        <v>674.21760000000006</v>
      </c>
      <c r="W525" s="2" t="s">
        <v>898</v>
      </c>
      <c r="X525" s="2" t="s">
        <v>2378</v>
      </c>
      <c r="Y525" s="2" t="s">
        <v>159</v>
      </c>
      <c r="AA525" t="s">
        <v>1695</v>
      </c>
      <c r="AJ525" s="41">
        <v>0</v>
      </c>
      <c r="AL525">
        <f t="shared" ref="AL525:AL588" si="38">C525*80</f>
        <v>0</v>
      </c>
      <c r="AM525">
        <f t="shared" ref="AM525:AM588" si="39">D525*80</f>
        <v>0</v>
      </c>
      <c r="AN525">
        <f t="shared" ref="AN525:AN588" si="40">E525*80</f>
        <v>0</v>
      </c>
    </row>
    <row r="526" spans="1:40" x14ac:dyDescent="0.2">
      <c r="A526" s="2">
        <v>57</v>
      </c>
      <c r="B526" t="s">
        <v>1398</v>
      </c>
      <c r="C526">
        <v>0</v>
      </c>
      <c r="D526" s="2">
        <v>0</v>
      </c>
      <c r="E526">
        <v>0</v>
      </c>
      <c r="G526" s="2" t="s">
        <v>1186</v>
      </c>
      <c r="H526" s="2" t="s">
        <v>1191</v>
      </c>
      <c r="I526" s="2">
        <v>20</v>
      </c>
      <c r="J526" s="2" t="s">
        <v>1155</v>
      </c>
      <c r="K526">
        <v>2019</v>
      </c>
      <c r="L526" s="2" t="s">
        <v>137</v>
      </c>
      <c r="M526" t="s">
        <v>1173</v>
      </c>
      <c r="N526">
        <v>20</v>
      </c>
      <c r="O526">
        <v>0.5</v>
      </c>
      <c r="P526" t="s">
        <v>37</v>
      </c>
      <c r="R526" s="45" t="s">
        <v>39</v>
      </c>
      <c r="S526" s="4">
        <v>38.874270000000003</v>
      </c>
      <c r="T526" s="4">
        <v>-122.43537999999999</v>
      </c>
      <c r="U526">
        <v>2213</v>
      </c>
      <c r="V526" s="6">
        <f t="shared" si="37"/>
        <v>674.52240000000006</v>
      </c>
      <c r="W526" s="2" t="s">
        <v>898</v>
      </c>
      <c r="X526" s="2" t="s">
        <v>2378</v>
      </c>
      <c r="Y526" s="2" t="s">
        <v>159</v>
      </c>
      <c r="AA526" t="s">
        <v>1696</v>
      </c>
      <c r="AJ526" s="41">
        <v>0</v>
      </c>
      <c r="AL526">
        <f t="shared" si="38"/>
        <v>0</v>
      </c>
      <c r="AM526">
        <f t="shared" si="39"/>
        <v>0</v>
      </c>
      <c r="AN526">
        <f t="shared" si="40"/>
        <v>0</v>
      </c>
    </row>
    <row r="527" spans="1:40" x14ac:dyDescent="0.2">
      <c r="A527" s="2">
        <v>57</v>
      </c>
      <c r="B527" t="s">
        <v>1399</v>
      </c>
      <c r="C527">
        <v>0</v>
      </c>
      <c r="D527" s="2">
        <v>0</v>
      </c>
      <c r="E527">
        <v>0</v>
      </c>
      <c r="G527" s="2" t="s">
        <v>1186</v>
      </c>
      <c r="H527" s="2" t="s">
        <v>1191</v>
      </c>
      <c r="I527" s="13">
        <v>20</v>
      </c>
      <c r="J527" s="13" t="s">
        <v>1155</v>
      </c>
      <c r="K527" s="13">
        <v>2019</v>
      </c>
      <c r="L527" s="2" t="s">
        <v>137</v>
      </c>
      <c r="M527" t="s">
        <v>1173</v>
      </c>
      <c r="N527">
        <v>23.5</v>
      </c>
      <c r="O527">
        <f>21.5-18.5</f>
        <v>3</v>
      </c>
      <c r="P527" t="s">
        <v>37</v>
      </c>
      <c r="Q527" t="s">
        <v>42</v>
      </c>
      <c r="R527" t="s">
        <v>39</v>
      </c>
      <c r="S527" s="4">
        <v>38.874279999999999</v>
      </c>
      <c r="T527" s="4">
        <v>-122.43539</v>
      </c>
      <c r="U527">
        <v>2211</v>
      </c>
      <c r="V527" s="6">
        <f t="shared" si="37"/>
        <v>673.91280000000006</v>
      </c>
      <c r="W527" s="2" t="s">
        <v>898</v>
      </c>
      <c r="X527" s="2" t="s">
        <v>2378</v>
      </c>
      <c r="Y527" s="2" t="s">
        <v>440</v>
      </c>
      <c r="AA527" t="s">
        <v>1697</v>
      </c>
      <c r="AJ527" s="41">
        <v>0</v>
      </c>
      <c r="AL527">
        <f t="shared" si="38"/>
        <v>0</v>
      </c>
      <c r="AM527">
        <f t="shared" si="39"/>
        <v>0</v>
      </c>
      <c r="AN527">
        <f t="shared" si="40"/>
        <v>0</v>
      </c>
    </row>
    <row r="528" spans="1:40" x14ac:dyDescent="0.2">
      <c r="A528" s="2">
        <v>57</v>
      </c>
      <c r="B528" t="s">
        <v>1400</v>
      </c>
      <c r="C528">
        <v>0</v>
      </c>
      <c r="D528" s="2">
        <v>0</v>
      </c>
      <c r="E528">
        <v>0</v>
      </c>
      <c r="G528" s="2" t="s">
        <v>1186</v>
      </c>
      <c r="H528" s="2" t="s">
        <v>1191</v>
      </c>
      <c r="I528" s="2">
        <v>20</v>
      </c>
      <c r="J528" s="2" t="s">
        <v>1155</v>
      </c>
      <c r="K528">
        <v>2019</v>
      </c>
      <c r="L528" s="2" t="s">
        <v>137</v>
      </c>
      <c r="M528" t="s">
        <v>1173</v>
      </c>
      <c r="N528">
        <v>22.5</v>
      </c>
      <c r="O528">
        <v>2</v>
      </c>
      <c r="P528" t="s">
        <v>37</v>
      </c>
      <c r="Q528" s="2" t="s">
        <v>42</v>
      </c>
      <c r="R528" s="2" t="s">
        <v>39</v>
      </c>
      <c r="S528" s="4">
        <v>38.874299999999998</v>
      </c>
      <c r="T528" s="4">
        <v>-122.43532</v>
      </c>
      <c r="U528">
        <v>2208</v>
      </c>
      <c r="V528" s="6">
        <f t="shared" si="37"/>
        <v>672.99840000000006</v>
      </c>
      <c r="W528" s="2" t="s">
        <v>898</v>
      </c>
      <c r="X528" s="2" t="s">
        <v>2378</v>
      </c>
      <c r="Y528" s="2" t="s">
        <v>440</v>
      </c>
      <c r="AA528" t="s">
        <v>1698</v>
      </c>
      <c r="AJ528" s="41">
        <v>0</v>
      </c>
      <c r="AL528">
        <f t="shared" si="38"/>
        <v>0</v>
      </c>
      <c r="AM528">
        <f t="shared" si="39"/>
        <v>0</v>
      </c>
      <c r="AN528">
        <f t="shared" si="40"/>
        <v>0</v>
      </c>
    </row>
    <row r="529" spans="1:40" x14ac:dyDescent="0.2">
      <c r="A529" s="2">
        <v>57</v>
      </c>
      <c r="B529" t="s">
        <v>1401</v>
      </c>
      <c r="C529">
        <v>0</v>
      </c>
      <c r="D529" s="2">
        <v>0</v>
      </c>
      <c r="E529">
        <v>0</v>
      </c>
      <c r="G529" s="2" t="s">
        <v>1186</v>
      </c>
      <c r="H529" s="2" t="s">
        <v>1191</v>
      </c>
      <c r="I529" s="13">
        <v>20</v>
      </c>
      <c r="J529" s="13" t="s">
        <v>1155</v>
      </c>
      <c r="K529" s="13">
        <v>2019</v>
      </c>
      <c r="L529" s="2" t="s">
        <v>137</v>
      </c>
      <c r="M529" t="s">
        <v>1173</v>
      </c>
      <c r="N529">
        <v>28.5</v>
      </c>
      <c r="O529">
        <f>32-30.5</f>
        <v>1.5</v>
      </c>
      <c r="P529" t="s">
        <v>37</v>
      </c>
      <c r="Q529" t="s">
        <v>42</v>
      </c>
      <c r="R529" t="s">
        <v>39</v>
      </c>
      <c r="S529" s="4">
        <v>38.87433</v>
      </c>
      <c r="T529" s="4">
        <v>-122.4353</v>
      </c>
      <c r="U529">
        <v>2211</v>
      </c>
      <c r="V529" s="6">
        <f t="shared" si="37"/>
        <v>673.91280000000006</v>
      </c>
      <c r="W529" s="2" t="s">
        <v>898</v>
      </c>
      <c r="X529" s="2" t="s">
        <v>2378</v>
      </c>
      <c r="Y529" s="2" t="s">
        <v>221</v>
      </c>
      <c r="Z529" t="s">
        <v>1335</v>
      </c>
      <c r="AA529" t="s">
        <v>1699</v>
      </c>
      <c r="AJ529" s="41">
        <v>0</v>
      </c>
      <c r="AL529">
        <f t="shared" si="38"/>
        <v>0</v>
      </c>
      <c r="AM529">
        <f t="shared" si="39"/>
        <v>0</v>
      </c>
      <c r="AN529">
        <f t="shared" si="40"/>
        <v>0</v>
      </c>
    </row>
    <row r="530" spans="1:40" x14ac:dyDescent="0.2">
      <c r="A530" s="2">
        <v>57</v>
      </c>
      <c r="B530" t="s">
        <v>1402</v>
      </c>
      <c r="C530">
        <v>0</v>
      </c>
      <c r="D530" s="2">
        <v>0</v>
      </c>
      <c r="E530">
        <v>0</v>
      </c>
      <c r="G530" s="2" t="s">
        <v>1186</v>
      </c>
      <c r="H530" s="2" t="s">
        <v>1191</v>
      </c>
      <c r="I530" s="2">
        <v>20</v>
      </c>
      <c r="J530" s="2" t="s">
        <v>1155</v>
      </c>
      <c r="K530">
        <v>2019</v>
      </c>
      <c r="L530" s="2" t="s">
        <v>691</v>
      </c>
      <c r="M530" t="s">
        <v>1173</v>
      </c>
      <c r="N530">
        <v>68.5</v>
      </c>
      <c r="O530">
        <f>95.5-38</f>
        <v>57.5</v>
      </c>
      <c r="P530" t="s">
        <v>30</v>
      </c>
      <c r="Q530" s="2"/>
      <c r="R530" s="53" t="s">
        <v>89</v>
      </c>
      <c r="S530" s="4">
        <v>38.874569999999999</v>
      </c>
      <c r="T530" s="4">
        <v>-122.43523</v>
      </c>
      <c r="U530">
        <v>2218</v>
      </c>
      <c r="V530" s="6">
        <f t="shared" si="37"/>
        <v>676.04640000000006</v>
      </c>
      <c r="W530" s="2" t="s">
        <v>898</v>
      </c>
      <c r="X530" s="2" t="s">
        <v>2378</v>
      </c>
      <c r="Y530" s="2" t="s">
        <v>243</v>
      </c>
      <c r="AA530" t="s">
        <v>1700</v>
      </c>
      <c r="AJ530" s="41">
        <v>0</v>
      </c>
      <c r="AL530">
        <f t="shared" si="38"/>
        <v>0</v>
      </c>
      <c r="AM530">
        <f t="shared" si="39"/>
        <v>0</v>
      </c>
      <c r="AN530">
        <f t="shared" si="40"/>
        <v>0</v>
      </c>
    </row>
    <row r="531" spans="1:40" x14ac:dyDescent="0.2">
      <c r="A531" s="2">
        <v>57</v>
      </c>
      <c r="B531" t="s">
        <v>1403</v>
      </c>
      <c r="C531">
        <v>0</v>
      </c>
      <c r="D531" s="2">
        <v>0</v>
      </c>
      <c r="E531">
        <v>0</v>
      </c>
      <c r="G531" s="2" t="s">
        <v>1186</v>
      </c>
      <c r="H531" s="2" t="s">
        <v>1191</v>
      </c>
      <c r="I531" s="13">
        <v>20</v>
      </c>
      <c r="J531" s="13" t="s">
        <v>1155</v>
      </c>
      <c r="K531" s="13">
        <v>2019</v>
      </c>
      <c r="L531" s="2" t="s">
        <v>137</v>
      </c>
      <c r="M531" t="s">
        <v>1173</v>
      </c>
      <c r="N531">
        <v>29</v>
      </c>
      <c r="O531">
        <f>38-32.5</f>
        <v>5.5</v>
      </c>
      <c r="P531" t="s">
        <v>37</v>
      </c>
      <c r="Q531" t="s">
        <v>42</v>
      </c>
      <c r="R531" t="s">
        <v>39</v>
      </c>
      <c r="S531" s="4">
        <v>38.874699999999997</v>
      </c>
      <c r="T531" s="4">
        <v>-122.43513</v>
      </c>
      <c r="U531">
        <v>2215</v>
      </c>
      <c r="V531" s="6">
        <f t="shared" si="37"/>
        <v>675.13200000000006</v>
      </c>
      <c r="W531" s="2" t="s">
        <v>898</v>
      </c>
      <c r="X531" s="2" t="s">
        <v>2378</v>
      </c>
      <c r="Y531" s="2" t="s">
        <v>254</v>
      </c>
      <c r="AA531" t="s">
        <v>1701</v>
      </c>
      <c r="AJ531" s="41">
        <v>0</v>
      </c>
      <c r="AL531">
        <f t="shared" si="38"/>
        <v>0</v>
      </c>
      <c r="AM531">
        <f t="shared" si="39"/>
        <v>0</v>
      </c>
      <c r="AN531">
        <f t="shared" si="40"/>
        <v>0</v>
      </c>
    </row>
    <row r="532" spans="1:40" x14ac:dyDescent="0.2">
      <c r="A532" s="2">
        <v>57</v>
      </c>
      <c r="B532" t="s">
        <v>1404</v>
      </c>
      <c r="C532">
        <v>0</v>
      </c>
      <c r="D532" s="2">
        <v>0</v>
      </c>
      <c r="E532">
        <v>0</v>
      </c>
      <c r="G532" s="2" t="s">
        <v>1186</v>
      </c>
      <c r="H532" s="2" t="s">
        <v>1191</v>
      </c>
      <c r="I532" s="2">
        <v>20</v>
      </c>
      <c r="J532" s="2" t="s">
        <v>1155</v>
      </c>
      <c r="K532">
        <v>2019</v>
      </c>
      <c r="L532" s="2" t="s">
        <v>137</v>
      </c>
      <c r="M532" t="s">
        <v>1173</v>
      </c>
      <c r="N532">
        <v>26</v>
      </c>
      <c r="O532">
        <f>35-33.5</f>
        <v>1.5</v>
      </c>
      <c r="P532" t="s">
        <v>37</v>
      </c>
      <c r="Q532" s="2" t="s">
        <v>42</v>
      </c>
      <c r="R532" s="2" t="s">
        <v>39</v>
      </c>
      <c r="S532" s="4">
        <v>38.874859999999998</v>
      </c>
      <c r="T532" s="4">
        <v>-122.43519999999999</v>
      </c>
      <c r="U532">
        <v>2217</v>
      </c>
      <c r="V532" s="6">
        <f t="shared" si="37"/>
        <v>675.74160000000006</v>
      </c>
      <c r="W532" s="2" t="s">
        <v>898</v>
      </c>
      <c r="X532" s="2" t="s">
        <v>2378</v>
      </c>
      <c r="Y532" s="2" t="s">
        <v>1105</v>
      </c>
      <c r="AA532" t="s">
        <v>1702</v>
      </c>
      <c r="AJ532" s="41">
        <v>0</v>
      </c>
      <c r="AL532">
        <f t="shared" si="38"/>
        <v>0</v>
      </c>
      <c r="AM532">
        <f t="shared" si="39"/>
        <v>0</v>
      </c>
      <c r="AN532">
        <f t="shared" si="40"/>
        <v>0</v>
      </c>
    </row>
    <row r="533" spans="1:40" x14ac:dyDescent="0.2">
      <c r="A533" s="2">
        <v>57</v>
      </c>
      <c r="B533" t="s">
        <v>1405</v>
      </c>
      <c r="C533">
        <v>0</v>
      </c>
      <c r="D533" s="2">
        <v>0</v>
      </c>
      <c r="E533">
        <v>0</v>
      </c>
      <c r="G533" s="2" t="s">
        <v>1186</v>
      </c>
      <c r="H533" s="2" t="s">
        <v>1191</v>
      </c>
      <c r="I533" s="13">
        <v>20</v>
      </c>
      <c r="J533" s="13" t="s">
        <v>1155</v>
      </c>
      <c r="K533" s="13">
        <v>2019</v>
      </c>
      <c r="L533" s="2" t="s">
        <v>137</v>
      </c>
      <c r="M533" t="s">
        <v>1173</v>
      </c>
      <c r="N533">
        <v>27</v>
      </c>
      <c r="O533">
        <v>2</v>
      </c>
      <c r="P533" t="s">
        <v>37</v>
      </c>
      <c r="Q533" s="2" t="s">
        <v>42</v>
      </c>
      <c r="R533" s="2" t="s">
        <v>39</v>
      </c>
      <c r="S533" s="4">
        <v>38.874859999999998</v>
      </c>
      <c r="T533" s="4">
        <v>-122.43519999999999</v>
      </c>
      <c r="U533">
        <v>2217</v>
      </c>
      <c r="V533" s="6">
        <f t="shared" si="37"/>
        <v>675.74160000000006</v>
      </c>
      <c r="W533" s="2" t="s">
        <v>898</v>
      </c>
      <c r="X533" s="2" t="s">
        <v>2378</v>
      </c>
      <c r="Y533" s="2" t="s">
        <v>1105</v>
      </c>
      <c r="AA533" t="s">
        <v>1703</v>
      </c>
      <c r="AJ533" s="41">
        <v>0</v>
      </c>
      <c r="AL533">
        <f t="shared" si="38"/>
        <v>0</v>
      </c>
      <c r="AM533">
        <f t="shared" si="39"/>
        <v>0</v>
      </c>
      <c r="AN533">
        <f t="shared" si="40"/>
        <v>0</v>
      </c>
    </row>
    <row r="534" spans="1:40" x14ac:dyDescent="0.2">
      <c r="A534" s="2">
        <v>57</v>
      </c>
      <c r="B534" t="s">
        <v>1406</v>
      </c>
      <c r="C534">
        <v>0</v>
      </c>
      <c r="D534" s="2">
        <v>0</v>
      </c>
      <c r="E534">
        <v>0</v>
      </c>
      <c r="G534" s="2" t="s">
        <v>1186</v>
      </c>
      <c r="H534" s="2" t="s">
        <v>1191</v>
      </c>
      <c r="I534" s="2">
        <v>20</v>
      </c>
      <c r="J534" s="2" t="s">
        <v>1155</v>
      </c>
      <c r="K534">
        <v>2019</v>
      </c>
      <c r="L534" s="2" t="s">
        <v>137</v>
      </c>
      <c r="M534" t="s">
        <v>1173</v>
      </c>
      <c r="N534">
        <v>29.5</v>
      </c>
      <c r="O534">
        <f>18-15.5</f>
        <v>2.5</v>
      </c>
      <c r="P534" t="s">
        <v>37</v>
      </c>
      <c r="Q534" s="2" t="s">
        <v>42</v>
      </c>
      <c r="R534" s="2" t="s">
        <v>39</v>
      </c>
      <c r="S534" s="4">
        <v>38.874830000000003</v>
      </c>
      <c r="T534" s="4">
        <v>-122.43517</v>
      </c>
      <c r="U534">
        <v>2216</v>
      </c>
      <c r="V534" s="6">
        <f t="shared" si="37"/>
        <v>675.43680000000006</v>
      </c>
      <c r="W534" s="2" t="s">
        <v>898</v>
      </c>
      <c r="X534" s="2" t="s">
        <v>2378</v>
      </c>
      <c r="Y534" s="2" t="s">
        <v>1099</v>
      </c>
      <c r="AA534" t="s">
        <v>1704</v>
      </c>
      <c r="AJ534" s="41">
        <v>0</v>
      </c>
      <c r="AL534">
        <f t="shared" si="38"/>
        <v>0</v>
      </c>
      <c r="AM534">
        <f t="shared" si="39"/>
        <v>0</v>
      </c>
      <c r="AN534">
        <f t="shared" si="40"/>
        <v>0</v>
      </c>
    </row>
    <row r="535" spans="1:40" x14ac:dyDescent="0.2">
      <c r="A535" s="2">
        <v>57</v>
      </c>
      <c r="B535" t="s">
        <v>1407</v>
      </c>
      <c r="C535">
        <v>0</v>
      </c>
      <c r="D535" s="2">
        <v>0</v>
      </c>
      <c r="E535">
        <v>0</v>
      </c>
      <c r="G535" s="2" t="s">
        <v>1186</v>
      </c>
      <c r="H535" s="2" t="s">
        <v>1191</v>
      </c>
      <c r="I535" s="13">
        <v>20</v>
      </c>
      <c r="J535" s="13" t="s">
        <v>1155</v>
      </c>
      <c r="K535" s="13">
        <v>2019</v>
      </c>
      <c r="L535" s="2" t="s">
        <v>137</v>
      </c>
      <c r="M535" t="s">
        <v>1173</v>
      </c>
      <c r="N535">
        <v>31</v>
      </c>
      <c r="O535">
        <f>30-27.5</f>
        <v>2.5</v>
      </c>
      <c r="P535" t="s">
        <v>30</v>
      </c>
      <c r="Q535" s="2" t="s">
        <v>42</v>
      </c>
      <c r="R535" s="2" t="s">
        <v>39</v>
      </c>
      <c r="S535" s="4">
        <v>38.874839999999999</v>
      </c>
      <c r="T535" s="4">
        <v>-122.43518</v>
      </c>
      <c r="U535">
        <v>2214</v>
      </c>
      <c r="V535" s="6">
        <f t="shared" si="37"/>
        <v>674.82720000000006</v>
      </c>
      <c r="W535" s="2" t="s">
        <v>898</v>
      </c>
      <c r="X535" s="2" t="s">
        <v>2378</v>
      </c>
      <c r="Y535" s="2" t="s">
        <v>360</v>
      </c>
      <c r="AA535" t="s">
        <v>1705</v>
      </c>
      <c r="AJ535" s="41">
        <v>0</v>
      </c>
      <c r="AL535">
        <f t="shared" si="38"/>
        <v>0</v>
      </c>
      <c r="AM535">
        <f t="shared" si="39"/>
        <v>0</v>
      </c>
      <c r="AN535">
        <f t="shared" si="40"/>
        <v>0</v>
      </c>
    </row>
    <row r="536" spans="1:40" x14ac:dyDescent="0.2">
      <c r="A536" s="2">
        <v>57</v>
      </c>
      <c r="B536" t="s">
        <v>1408</v>
      </c>
      <c r="C536">
        <v>0</v>
      </c>
      <c r="D536" s="2">
        <v>0</v>
      </c>
      <c r="E536">
        <v>0</v>
      </c>
      <c r="G536" s="2" t="s">
        <v>1186</v>
      </c>
      <c r="H536" s="2" t="s">
        <v>1191</v>
      </c>
      <c r="I536" s="2">
        <v>20</v>
      </c>
      <c r="J536" s="2" t="s">
        <v>1155</v>
      </c>
      <c r="K536">
        <v>2019</v>
      </c>
      <c r="L536" s="2" t="s">
        <v>33</v>
      </c>
      <c r="M536" t="s">
        <v>1173</v>
      </c>
      <c r="N536">
        <v>25</v>
      </c>
      <c r="O536">
        <v>4</v>
      </c>
      <c r="P536" t="s">
        <v>30</v>
      </c>
      <c r="R536" s="2" t="s">
        <v>89</v>
      </c>
      <c r="S536" s="4">
        <v>38.874870000000001</v>
      </c>
      <c r="T536" s="4">
        <v>-122.43536</v>
      </c>
      <c r="U536">
        <v>2222</v>
      </c>
      <c r="V536" s="6">
        <f t="shared" si="37"/>
        <v>677.26560000000006</v>
      </c>
      <c r="W536" s="2" t="s">
        <v>898</v>
      </c>
      <c r="X536" s="2" t="s">
        <v>2378</v>
      </c>
      <c r="Y536" s="2" t="s">
        <v>752</v>
      </c>
      <c r="AA536" t="s">
        <v>1706</v>
      </c>
      <c r="AJ536" s="41">
        <v>0</v>
      </c>
      <c r="AL536">
        <f t="shared" si="38"/>
        <v>0</v>
      </c>
      <c r="AM536">
        <f t="shared" si="39"/>
        <v>0</v>
      </c>
      <c r="AN536">
        <f t="shared" si="40"/>
        <v>0</v>
      </c>
    </row>
    <row r="537" spans="1:40" x14ac:dyDescent="0.2">
      <c r="A537" s="2">
        <v>57</v>
      </c>
      <c r="B537" t="s">
        <v>1409</v>
      </c>
      <c r="C537">
        <v>0</v>
      </c>
      <c r="D537" s="2">
        <v>0</v>
      </c>
      <c r="E537">
        <v>0</v>
      </c>
      <c r="G537" s="2" t="s">
        <v>1186</v>
      </c>
      <c r="H537" s="2" t="s">
        <v>1191</v>
      </c>
      <c r="I537" s="13">
        <v>20</v>
      </c>
      <c r="J537" s="13" t="s">
        <v>1155</v>
      </c>
      <c r="K537" s="13">
        <v>2019</v>
      </c>
      <c r="L537" s="2" t="s">
        <v>33</v>
      </c>
      <c r="M537" t="s">
        <v>1173</v>
      </c>
      <c r="N537">
        <v>30</v>
      </c>
      <c r="O537">
        <f>21-17.5</f>
        <v>3.5</v>
      </c>
      <c r="P537" t="s">
        <v>37</v>
      </c>
      <c r="R537" s="2" t="s">
        <v>89</v>
      </c>
      <c r="S537" s="4">
        <v>38.874780000000001</v>
      </c>
      <c r="T537" s="4">
        <v>-122.43531</v>
      </c>
      <c r="U537">
        <v>2217</v>
      </c>
      <c r="V537" s="6">
        <f t="shared" si="37"/>
        <v>675.74160000000006</v>
      </c>
      <c r="W537" s="2" t="s">
        <v>898</v>
      </c>
      <c r="X537" s="2" t="s">
        <v>2378</v>
      </c>
      <c r="Y537" s="2" t="s">
        <v>605</v>
      </c>
      <c r="AA537" t="s">
        <v>1707</v>
      </c>
      <c r="AJ537" s="41">
        <v>0</v>
      </c>
      <c r="AL537">
        <f t="shared" si="38"/>
        <v>0</v>
      </c>
      <c r="AM537">
        <f t="shared" si="39"/>
        <v>0</v>
      </c>
      <c r="AN537">
        <f t="shared" si="40"/>
        <v>0</v>
      </c>
    </row>
    <row r="538" spans="1:40" x14ac:dyDescent="0.2">
      <c r="A538" s="2">
        <v>57</v>
      </c>
      <c r="B538" t="s">
        <v>1410</v>
      </c>
      <c r="C538">
        <v>0</v>
      </c>
      <c r="D538" s="2">
        <v>0</v>
      </c>
      <c r="E538">
        <v>0</v>
      </c>
      <c r="G538" s="2" t="s">
        <v>1186</v>
      </c>
      <c r="H538" s="2" t="s">
        <v>1191</v>
      </c>
      <c r="I538" s="2">
        <v>20</v>
      </c>
      <c r="J538" s="2" t="s">
        <v>1155</v>
      </c>
      <c r="K538">
        <v>2019</v>
      </c>
      <c r="L538" s="2" t="s">
        <v>137</v>
      </c>
      <c r="M538" t="s">
        <v>1173</v>
      </c>
      <c r="N538">
        <v>26</v>
      </c>
      <c r="O538">
        <v>2</v>
      </c>
      <c r="P538" t="s">
        <v>37</v>
      </c>
      <c r="Q538" s="2" t="s">
        <v>42</v>
      </c>
      <c r="R538" s="2" t="s">
        <v>39</v>
      </c>
      <c r="S538" s="4">
        <v>38.874659999999999</v>
      </c>
      <c r="T538" s="4">
        <v>-122.43510000000001</v>
      </c>
      <c r="U538">
        <v>2212</v>
      </c>
      <c r="V538" s="6">
        <f t="shared" si="37"/>
        <v>674.21760000000006</v>
      </c>
      <c r="W538" s="2" t="s">
        <v>898</v>
      </c>
      <c r="X538" s="2" t="s">
        <v>2378</v>
      </c>
      <c r="Y538" s="2" t="s">
        <v>1116</v>
      </c>
      <c r="AA538" t="s">
        <v>1708</v>
      </c>
      <c r="AJ538" s="41">
        <v>0</v>
      </c>
      <c r="AL538">
        <f t="shared" si="38"/>
        <v>0</v>
      </c>
      <c r="AM538">
        <f t="shared" si="39"/>
        <v>0</v>
      </c>
      <c r="AN538">
        <f t="shared" si="40"/>
        <v>0</v>
      </c>
    </row>
    <row r="539" spans="1:40" x14ac:dyDescent="0.2">
      <c r="A539" s="2">
        <v>57</v>
      </c>
      <c r="B539" t="s">
        <v>1411</v>
      </c>
      <c r="C539">
        <v>0</v>
      </c>
      <c r="D539" s="2">
        <v>0</v>
      </c>
      <c r="E539">
        <v>0</v>
      </c>
      <c r="G539" s="2" t="s">
        <v>1186</v>
      </c>
      <c r="H539" s="2" t="s">
        <v>1191</v>
      </c>
      <c r="I539" s="13">
        <v>20</v>
      </c>
      <c r="J539" s="13" t="s">
        <v>1155</v>
      </c>
      <c r="K539" s="13">
        <v>2019</v>
      </c>
      <c r="L539" s="2" t="s">
        <v>137</v>
      </c>
      <c r="M539" t="s">
        <v>1173</v>
      </c>
      <c r="N539">
        <v>29</v>
      </c>
      <c r="O539">
        <f>41.5-40</f>
        <v>1.5</v>
      </c>
      <c r="P539" t="s">
        <v>30</v>
      </c>
      <c r="Q539" t="s">
        <v>42</v>
      </c>
      <c r="R539" s="2" t="s">
        <v>39</v>
      </c>
      <c r="S539" s="4">
        <v>38.874609999999997</v>
      </c>
      <c r="T539" s="4">
        <v>-122.43513</v>
      </c>
      <c r="U539">
        <v>2212</v>
      </c>
      <c r="V539" s="6">
        <f t="shared" si="37"/>
        <v>674.21760000000006</v>
      </c>
      <c r="W539" s="2" t="s">
        <v>898</v>
      </c>
      <c r="X539" s="2" t="s">
        <v>2378</v>
      </c>
      <c r="Y539" s="2" t="s">
        <v>692</v>
      </c>
      <c r="Z539" t="s">
        <v>1710</v>
      </c>
      <c r="AA539" t="s">
        <v>1709</v>
      </c>
      <c r="AJ539" s="41">
        <v>0</v>
      </c>
      <c r="AL539">
        <f t="shared" si="38"/>
        <v>0</v>
      </c>
      <c r="AM539">
        <f t="shared" si="39"/>
        <v>0</v>
      </c>
      <c r="AN539">
        <f t="shared" si="40"/>
        <v>0</v>
      </c>
    </row>
    <row r="540" spans="1:40" x14ac:dyDescent="0.2">
      <c r="A540" s="2">
        <v>57</v>
      </c>
      <c r="B540" t="s">
        <v>1412</v>
      </c>
      <c r="C540">
        <v>0</v>
      </c>
      <c r="D540" s="2">
        <v>0</v>
      </c>
      <c r="E540">
        <v>0</v>
      </c>
      <c r="G540" s="2" t="s">
        <v>1186</v>
      </c>
      <c r="H540" s="2" t="s">
        <v>1191</v>
      </c>
      <c r="I540" s="2">
        <v>20</v>
      </c>
      <c r="J540" s="2" t="s">
        <v>1155</v>
      </c>
      <c r="K540">
        <v>2019</v>
      </c>
      <c r="L540" s="2" t="s">
        <v>137</v>
      </c>
      <c r="M540" t="s">
        <v>1173</v>
      </c>
      <c r="N540">
        <v>17</v>
      </c>
      <c r="O540">
        <v>0.5</v>
      </c>
      <c r="P540" t="s">
        <v>37</v>
      </c>
      <c r="R540" t="s">
        <v>89</v>
      </c>
      <c r="S540" s="4">
        <v>38.874609999999997</v>
      </c>
      <c r="T540" s="4">
        <v>-122.43513</v>
      </c>
      <c r="U540">
        <v>2212</v>
      </c>
      <c r="V540" s="6">
        <f t="shared" si="37"/>
        <v>674.21760000000006</v>
      </c>
      <c r="W540" s="2" t="s">
        <v>898</v>
      </c>
      <c r="X540" s="2" t="s">
        <v>2378</v>
      </c>
      <c r="Y540" s="2" t="s">
        <v>101</v>
      </c>
      <c r="AA540" t="s">
        <v>1711</v>
      </c>
      <c r="AJ540" s="41">
        <v>0</v>
      </c>
      <c r="AL540">
        <f t="shared" si="38"/>
        <v>0</v>
      </c>
      <c r="AM540">
        <f t="shared" si="39"/>
        <v>0</v>
      </c>
      <c r="AN540">
        <f t="shared" si="40"/>
        <v>0</v>
      </c>
    </row>
    <row r="541" spans="1:40" x14ac:dyDescent="0.2">
      <c r="A541" s="2">
        <v>58</v>
      </c>
      <c r="B541" t="s">
        <v>1413</v>
      </c>
      <c r="C541">
        <v>0</v>
      </c>
      <c r="D541" s="2">
        <v>0</v>
      </c>
      <c r="E541">
        <v>0</v>
      </c>
      <c r="G541" s="2" t="s">
        <v>1186</v>
      </c>
      <c r="H541" s="2" t="s">
        <v>1191</v>
      </c>
      <c r="I541" s="13">
        <v>22</v>
      </c>
      <c r="J541" s="13" t="s">
        <v>1155</v>
      </c>
      <c r="K541" s="13">
        <v>2019</v>
      </c>
      <c r="L541" s="2" t="s">
        <v>33</v>
      </c>
      <c r="M541" t="s">
        <v>1173</v>
      </c>
      <c r="N541">
        <v>25</v>
      </c>
      <c r="O541">
        <v>3</v>
      </c>
      <c r="P541" t="s">
        <v>30</v>
      </c>
      <c r="R541" t="s">
        <v>89</v>
      </c>
      <c r="S541" s="4">
        <v>38.87471</v>
      </c>
      <c r="T541" s="4">
        <v>-122.43482</v>
      </c>
      <c r="U541">
        <v>2239</v>
      </c>
      <c r="V541" s="6">
        <f t="shared" si="37"/>
        <v>682.44720000000007</v>
      </c>
      <c r="W541" s="2" t="s">
        <v>898</v>
      </c>
      <c r="X541" s="2" t="s">
        <v>2379</v>
      </c>
      <c r="Y541" s="2" t="s">
        <v>143</v>
      </c>
      <c r="AA541" t="s">
        <v>1712</v>
      </c>
      <c r="AJ541" s="41">
        <v>0</v>
      </c>
      <c r="AL541">
        <f t="shared" si="38"/>
        <v>0</v>
      </c>
      <c r="AM541">
        <f t="shared" si="39"/>
        <v>0</v>
      </c>
      <c r="AN541">
        <f t="shared" si="40"/>
        <v>0</v>
      </c>
    </row>
    <row r="542" spans="1:40" x14ac:dyDescent="0.2">
      <c r="A542" s="2">
        <v>58</v>
      </c>
      <c r="B542" t="s">
        <v>1414</v>
      </c>
      <c r="C542">
        <v>0</v>
      </c>
      <c r="D542" s="2">
        <v>0</v>
      </c>
      <c r="E542">
        <v>0</v>
      </c>
      <c r="G542" s="2" t="s">
        <v>1186</v>
      </c>
      <c r="H542" s="2" t="s">
        <v>1191</v>
      </c>
      <c r="I542" s="2">
        <v>22</v>
      </c>
      <c r="J542" s="2" t="s">
        <v>1155</v>
      </c>
      <c r="K542">
        <v>2019</v>
      </c>
      <c r="L542" s="2" t="s">
        <v>137</v>
      </c>
      <c r="M542" t="s">
        <v>1173</v>
      </c>
      <c r="N542">
        <v>23</v>
      </c>
      <c r="O542">
        <f>41.5-39.5</f>
        <v>2</v>
      </c>
      <c r="P542" t="s">
        <v>37</v>
      </c>
      <c r="Q542" t="s">
        <v>42</v>
      </c>
      <c r="R542" t="s">
        <v>39</v>
      </c>
      <c r="S542" s="4">
        <v>38.874720000000003</v>
      </c>
      <c r="T542" s="4">
        <v>-122.43488000000001</v>
      </c>
      <c r="U542">
        <v>2331</v>
      </c>
      <c r="V542" s="6">
        <f t="shared" si="37"/>
        <v>710.48880000000008</v>
      </c>
      <c r="W542" s="2" t="s">
        <v>898</v>
      </c>
      <c r="X542" s="2" t="s">
        <v>2379</v>
      </c>
      <c r="Y542" s="2" t="s">
        <v>335</v>
      </c>
      <c r="Z542" t="s">
        <v>1714</v>
      </c>
      <c r="AA542" t="s">
        <v>1713</v>
      </c>
      <c r="AJ542" s="41">
        <v>0</v>
      </c>
      <c r="AL542">
        <f t="shared" si="38"/>
        <v>0</v>
      </c>
      <c r="AM542">
        <f t="shared" si="39"/>
        <v>0</v>
      </c>
      <c r="AN542">
        <f t="shared" si="40"/>
        <v>0</v>
      </c>
    </row>
    <row r="543" spans="1:40" x14ac:dyDescent="0.2">
      <c r="A543" s="2">
        <v>58</v>
      </c>
      <c r="B543" t="s">
        <v>1415</v>
      </c>
      <c r="C543">
        <v>0</v>
      </c>
      <c r="D543" s="2">
        <v>0</v>
      </c>
      <c r="E543">
        <v>0</v>
      </c>
      <c r="G543" s="2" t="s">
        <v>1186</v>
      </c>
      <c r="H543" s="2" t="s">
        <v>1191</v>
      </c>
      <c r="I543" s="13">
        <v>22</v>
      </c>
      <c r="J543" s="13" t="s">
        <v>1155</v>
      </c>
      <c r="K543" s="13">
        <v>2019</v>
      </c>
      <c r="L543" s="2" t="s">
        <v>137</v>
      </c>
      <c r="M543" t="s">
        <v>1173</v>
      </c>
      <c r="N543">
        <v>22</v>
      </c>
      <c r="O543">
        <v>1</v>
      </c>
      <c r="P543" t="s">
        <v>37</v>
      </c>
      <c r="Q543" s="2" t="s">
        <v>42</v>
      </c>
      <c r="R543" s="45" t="s">
        <v>39</v>
      </c>
      <c r="S543" s="4">
        <v>38.874720000000003</v>
      </c>
      <c r="T543" s="4">
        <v>-122.43488000000001</v>
      </c>
      <c r="U543">
        <v>2327</v>
      </c>
      <c r="V543" s="6">
        <f t="shared" si="37"/>
        <v>709.26960000000008</v>
      </c>
      <c r="W543" s="2" t="s">
        <v>898</v>
      </c>
      <c r="X543" s="2" t="s">
        <v>2379</v>
      </c>
      <c r="Y543" s="2" t="s">
        <v>171</v>
      </c>
      <c r="AA543" t="s">
        <v>1165</v>
      </c>
      <c r="AJ543" s="41">
        <v>0</v>
      </c>
      <c r="AL543">
        <f t="shared" si="38"/>
        <v>0</v>
      </c>
      <c r="AM543">
        <f t="shared" si="39"/>
        <v>0</v>
      </c>
      <c r="AN543">
        <f t="shared" si="40"/>
        <v>0</v>
      </c>
    </row>
    <row r="544" spans="1:40" x14ac:dyDescent="0.2">
      <c r="A544" s="2">
        <v>58</v>
      </c>
      <c r="B544" t="s">
        <v>1416</v>
      </c>
      <c r="C544">
        <v>0</v>
      </c>
      <c r="D544" s="2">
        <v>0</v>
      </c>
      <c r="E544">
        <v>0</v>
      </c>
      <c r="G544" s="2" t="s">
        <v>1186</v>
      </c>
      <c r="H544" s="2" t="s">
        <v>1191</v>
      </c>
      <c r="I544" s="2">
        <v>22</v>
      </c>
      <c r="J544" s="2" t="s">
        <v>1155</v>
      </c>
      <c r="K544">
        <v>2019</v>
      </c>
      <c r="L544" s="2" t="s">
        <v>137</v>
      </c>
      <c r="M544" t="s">
        <v>1173</v>
      </c>
      <c r="N544">
        <v>30</v>
      </c>
      <c r="O544">
        <v>3</v>
      </c>
      <c r="P544" t="s">
        <v>37</v>
      </c>
      <c r="Q544" t="s">
        <v>42</v>
      </c>
      <c r="R544" t="s">
        <v>39</v>
      </c>
      <c r="S544" s="4">
        <v>38.874760000000002</v>
      </c>
      <c r="T544" s="4">
        <v>-122.43487</v>
      </c>
      <c r="U544">
        <v>2314</v>
      </c>
      <c r="V544" s="6">
        <f t="shared" si="37"/>
        <v>705.30720000000008</v>
      </c>
      <c r="W544" s="2" t="s">
        <v>898</v>
      </c>
      <c r="X544" s="2" t="s">
        <v>2379</v>
      </c>
      <c r="Y544" s="2" t="s">
        <v>47</v>
      </c>
      <c r="AA544" t="s">
        <v>1715</v>
      </c>
      <c r="AJ544" s="41">
        <v>0</v>
      </c>
      <c r="AL544">
        <f t="shared" si="38"/>
        <v>0</v>
      </c>
      <c r="AM544">
        <f t="shared" si="39"/>
        <v>0</v>
      </c>
      <c r="AN544">
        <f t="shared" si="40"/>
        <v>0</v>
      </c>
    </row>
    <row r="545" spans="1:40" x14ac:dyDescent="0.2">
      <c r="A545" s="2">
        <v>58</v>
      </c>
      <c r="B545" t="s">
        <v>1417</v>
      </c>
      <c r="C545">
        <v>0</v>
      </c>
      <c r="D545" s="2">
        <v>0</v>
      </c>
      <c r="E545">
        <v>0</v>
      </c>
      <c r="G545" s="2" t="s">
        <v>1186</v>
      </c>
      <c r="H545" s="2" t="s">
        <v>1191</v>
      </c>
      <c r="I545" s="13">
        <v>22</v>
      </c>
      <c r="J545" s="13" t="s">
        <v>1155</v>
      </c>
      <c r="K545" s="13">
        <v>2019</v>
      </c>
      <c r="L545" s="2" t="s">
        <v>137</v>
      </c>
      <c r="M545" t="s">
        <v>1173</v>
      </c>
      <c r="N545">
        <v>25.5</v>
      </c>
      <c r="O545">
        <v>2</v>
      </c>
      <c r="P545" t="s">
        <v>37</v>
      </c>
      <c r="R545" s="45" t="s">
        <v>39</v>
      </c>
      <c r="S545" s="4">
        <v>38.874789999999997</v>
      </c>
      <c r="T545" s="4">
        <v>-122.43488000000001</v>
      </c>
      <c r="U545">
        <v>2307</v>
      </c>
      <c r="V545" s="6">
        <f t="shared" si="37"/>
        <v>703.17360000000008</v>
      </c>
      <c r="W545" s="2" t="s">
        <v>898</v>
      </c>
      <c r="X545" s="2" t="s">
        <v>2379</v>
      </c>
      <c r="Y545" s="2" t="s">
        <v>47</v>
      </c>
      <c r="AA545" t="s">
        <v>1716</v>
      </c>
      <c r="AJ545" s="41">
        <v>0</v>
      </c>
      <c r="AL545">
        <f t="shared" si="38"/>
        <v>0</v>
      </c>
      <c r="AM545">
        <f t="shared" si="39"/>
        <v>0</v>
      </c>
      <c r="AN545">
        <f t="shared" si="40"/>
        <v>0</v>
      </c>
    </row>
    <row r="546" spans="1:40" x14ac:dyDescent="0.2">
      <c r="A546" s="2">
        <v>58</v>
      </c>
      <c r="B546" t="s">
        <v>1418</v>
      </c>
      <c r="C546">
        <v>0</v>
      </c>
      <c r="D546" s="2">
        <v>0</v>
      </c>
      <c r="E546">
        <v>0</v>
      </c>
      <c r="G546" s="2" t="s">
        <v>1186</v>
      </c>
      <c r="H546" s="2" t="s">
        <v>1191</v>
      </c>
      <c r="I546" s="2">
        <v>22</v>
      </c>
      <c r="J546" s="2" t="s">
        <v>1155</v>
      </c>
      <c r="K546">
        <v>2019</v>
      </c>
      <c r="L546" s="2" t="s">
        <v>137</v>
      </c>
      <c r="M546" t="s">
        <v>1173</v>
      </c>
      <c r="N546">
        <v>28.5</v>
      </c>
      <c r="O546">
        <f>29.5-28</f>
        <v>1.5</v>
      </c>
      <c r="P546" t="s">
        <v>30</v>
      </c>
      <c r="Q546" t="s">
        <v>42</v>
      </c>
      <c r="R546" t="s">
        <v>39</v>
      </c>
      <c r="S546" s="4">
        <v>38.874940000000002</v>
      </c>
      <c r="T546" s="4">
        <v>-122.43486</v>
      </c>
      <c r="U546">
        <v>2299</v>
      </c>
      <c r="V546" s="6">
        <f t="shared" si="37"/>
        <v>700.73520000000008</v>
      </c>
      <c r="W546" s="2" t="s">
        <v>898</v>
      </c>
      <c r="X546" s="2" t="s">
        <v>2379</v>
      </c>
      <c r="Y546" s="2" t="s">
        <v>447</v>
      </c>
      <c r="AA546" t="s">
        <v>1717</v>
      </c>
      <c r="AJ546" s="41">
        <v>0</v>
      </c>
      <c r="AL546">
        <f t="shared" si="38"/>
        <v>0</v>
      </c>
      <c r="AM546">
        <f t="shared" si="39"/>
        <v>0</v>
      </c>
      <c r="AN546">
        <f t="shared" si="40"/>
        <v>0</v>
      </c>
    </row>
    <row r="547" spans="1:40" x14ac:dyDescent="0.2">
      <c r="A547" s="2">
        <v>58</v>
      </c>
      <c r="B547" t="s">
        <v>1419</v>
      </c>
      <c r="C547">
        <v>0</v>
      </c>
      <c r="D547" s="2">
        <v>0</v>
      </c>
      <c r="E547">
        <v>0</v>
      </c>
      <c r="G547" s="2" t="s">
        <v>1186</v>
      </c>
      <c r="H547" s="2" t="s">
        <v>1191</v>
      </c>
      <c r="I547" s="13">
        <v>22</v>
      </c>
      <c r="J547" s="13" t="s">
        <v>1155</v>
      </c>
      <c r="K547" s="13">
        <v>2019</v>
      </c>
      <c r="L547" s="2" t="s">
        <v>137</v>
      </c>
      <c r="M547" t="s">
        <v>1173</v>
      </c>
      <c r="N547">
        <v>29</v>
      </c>
      <c r="O547">
        <f>44.5-42</f>
        <v>2.5</v>
      </c>
      <c r="P547" t="s">
        <v>30</v>
      </c>
      <c r="R547" s="45" t="s">
        <v>39</v>
      </c>
      <c r="S547" s="4">
        <v>38.874969999999998</v>
      </c>
      <c r="T547" s="4">
        <v>-122.43481</v>
      </c>
      <c r="U547">
        <v>2292</v>
      </c>
      <c r="V547" s="6">
        <f t="shared" si="37"/>
        <v>698.60160000000008</v>
      </c>
      <c r="W547" s="2" t="s">
        <v>898</v>
      </c>
      <c r="X547" s="2" t="s">
        <v>2379</v>
      </c>
      <c r="Y547" s="2" t="s">
        <v>93</v>
      </c>
      <c r="AA547" t="s">
        <v>1718</v>
      </c>
      <c r="AJ547" s="41">
        <v>0</v>
      </c>
      <c r="AL547">
        <f t="shared" si="38"/>
        <v>0</v>
      </c>
      <c r="AM547">
        <f t="shared" si="39"/>
        <v>0</v>
      </c>
      <c r="AN547">
        <f t="shared" si="40"/>
        <v>0</v>
      </c>
    </row>
    <row r="548" spans="1:40" x14ac:dyDescent="0.2">
      <c r="A548" s="2">
        <v>58</v>
      </c>
      <c r="B548" t="s">
        <v>1420</v>
      </c>
      <c r="C548">
        <v>0</v>
      </c>
      <c r="D548" s="2">
        <v>0</v>
      </c>
      <c r="E548">
        <v>0</v>
      </c>
      <c r="G548" s="2" t="s">
        <v>1186</v>
      </c>
      <c r="H548" s="2" t="s">
        <v>1191</v>
      </c>
      <c r="I548" s="2">
        <v>22</v>
      </c>
      <c r="J548" s="2" t="s">
        <v>1155</v>
      </c>
      <c r="K548">
        <v>2019</v>
      </c>
      <c r="L548" s="2" t="s">
        <v>137</v>
      </c>
      <c r="M548" t="s">
        <v>1173</v>
      </c>
      <c r="N548">
        <v>29</v>
      </c>
      <c r="O548">
        <f>43.5-41</f>
        <v>2.5</v>
      </c>
      <c r="P548" t="s">
        <v>37</v>
      </c>
      <c r="Q548" t="s">
        <v>38</v>
      </c>
      <c r="R548" t="s">
        <v>39</v>
      </c>
      <c r="S548" s="4">
        <v>38.874969999999998</v>
      </c>
      <c r="T548" s="4">
        <v>-122.43481</v>
      </c>
      <c r="U548">
        <v>2292</v>
      </c>
      <c r="V548" s="6">
        <f t="shared" si="37"/>
        <v>698.60160000000008</v>
      </c>
      <c r="W548" s="2" t="s">
        <v>898</v>
      </c>
      <c r="X548" s="2" t="s">
        <v>2379</v>
      </c>
      <c r="Y548" s="2" t="s">
        <v>93</v>
      </c>
      <c r="AA548" t="s">
        <v>1719</v>
      </c>
      <c r="AJ548" s="41">
        <v>0</v>
      </c>
      <c r="AL548">
        <f t="shared" si="38"/>
        <v>0</v>
      </c>
      <c r="AM548">
        <f t="shared" si="39"/>
        <v>0</v>
      </c>
      <c r="AN548">
        <f t="shared" si="40"/>
        <v>0</v>
      </c>
    </row>
    <row r="549" spans="1:40" x14ac:dyDescent="0.2">
      <c r="A549" s="2">
        <v>58</v>
      </c>
      <c r="B549" t="s">
        <v>1421</v>
      </c>
      <c r="C549">
        <v>0</v>
      </c>
      <c r="D549" s="2">
        <v>0</v>
      </c>
      <c r="E549">
        <v>0</v>
      </c>
      <c r="G549" s="2" t="s">
        <v>1186</v>
      </c>
      <c r="H549" s="2" t="s">
        <v>1191</v>
      </c>
      <c r="I549" s="13">
        <v>22</v>
      </c>
      <c r="J549" s="13" t="s">
        <v>1155</v>
      </c>
      <c r="K549" s="13">
        <v>2019</v>
      </c>
      <c r="L549" s="2" t="s">
        <v>137</v>
      </c>
      <c r="M549" t="s">
        <v>1173</v>
      </c>
      <c r="N549">
        <v>26.5</v>
      </c>
      <c r="O549">
        <f>15-13.5</f>
        <v>1.5</v>
      </c>
      <c r="P549" t="s">
        <v>30</v>
      </c>
      <c r="Q549" t="s">
        <v>38</v>
      </c>
      <c r="R549" s="2" t="s">
        <v>39</v>
      </c>
      <c r="S549" s="4">
        <v>38.875430000000001</v>
      </c>
      <c r="T549" s="4">
        <v>-122.43449</v>
      </c>
      <c r="U549">
        <v>2263</v>
      </c>
      <c r="V549" s="6">
        <f t="shared" si="37"/>
        <v>689.76240000000007</v>
      </c>
      <c r="W549" s="2" t="s">
        <v>898</v>
      </c>
      <c r="X549" s="2" t="s">
        <v>2379</v>
      </c>
      <c r="Y549" s="2" t="s">
        <v>254</v>
      </c>
      <c r="Z549" t="s">
        <v>1721</v>
      </c>
      <c r="AA549" t="s">
        <v>1720</v>
      </c>
      <c r="AJ549" s="41">
        <v>0</v>
      </c>
      <c r="AL549">
        <f t="shared" si="38"/>
        <v>0</v>
      </c>
      <c r="AM549">
        <f t="shared" si="39"/>
        <v>0</v>
      </c>
      <c r="AN549">
        <f t="shared" si="40"/>
        <v>0</v>
      </c>
    </row>
    <row r="550" spans="1:40" x14ac:dyDescent="0.2">
      <c r="A550" s="2">
        <v>58</v>
      </c>
      <c r="B550" t="s">
        <v>1422</v>
      </c>
      <c r="C550">
        <v>0</v>
      </c>
      <c r="D550" s="2">
        <v>0</v>
      </c>
      <c r="E550">
        <v>0</v>
      </c>
      <c r="G550" s="2" t="s">
        <v>1186</v>
      </c>
      <c r="H550" s="2" t="s">
        <v>1191</v>
      </c>
      <c r="I550" s="2">
        <v>22</v>
      </c>
      <c r="J550" s="2" t="s">
        <v>1155</v>
      </c>
      <c r="K550">
        <v>2019</v>
      </c>
      <c r="L550" s="2" t="s">
        <v>137</v>
      </c>
      <c r="M550" t="s">
        <v>1173</v>
      </c>
      <c r="N550">
        <v>29.5</v>
      </c>
      <c r="O550">
        <f>31.5-29.5</f>
        <v>2</v>
      </c>
      <c r="P550" t="s">
        <v>37</v>
      </c>
      <c r="Q550" t="s">
        <v>42</v>
      </c>
      <c r="R550" s="2" t="s">
        <v>39</v>
      </c>
      <c r="S550" s="4">
        <v>38.875430000000001</v>
      </c>
      <c r="T550" s="4">
        <v>-122.43449</v>
      </c>
      <c r="U550">
        <v>2263</v>
      </c>
      <c r="V550" s="6">
        <f t="shared" si="37"/>
        <v>689.76240000000007</v>
      </c>
      <c r="W550" s="2" t="s">
        <v>898</v>
      </c>
      <c r="X550" s="2" t="s">
        <v>2379</v>
      </c>
      <c r="Y550" s="2" t="s">
        <v>254</v>
      </c>
      <c r="AA550" t="s">
        <v>1722</v>
      </c>
      <c r="AJ550" s="41">
        <v>0</v>
      </c>
      <c r="AL550">
        <f t="shared" si="38"/>
        <v>0</v>
      </c>
      <c r="AM550">
        <f t="shared" si="39"/>
        <v>0</v>
      </c>
      <c r="AN550">
        <f t="shared" si="40"/>
        <v>0</v>
      </c>
    </row>
    <row r="551" spans="1:40" x14ac:dyDescent="0.2">
      <c r="A551" s="2">
        <v>58</v>
      </c>
      <c r="B551" t="s">
        <v>1423</v>
      </c>
      <c r="C551">
        <v>0</v>
      </c>
      <c r="D551" s="2">
        <v>0</v>
      </c>
      <c r="E551">
        <v>0</v>
      </c>
      <c r="G551" s="2" t="s">
        <v>1186</v>
      </c>
      <c r="H551" s="2" t="s">
        <v>1191</v>
      </c>
      <c r="I551" s="13">
        <v>22</v>
      </c>
      <c r="J551" s="13" t="s">
        <v>1155</v>
      </c>
      <c r="K551" s="13">
        <v>2019</v>
      </c>
      <c r="L551" s="2" t="s">
        <v>137</v>
      </c>
      <c r="M551" t="s">
        <v>1173</v>
      </c>
      <c r="N551">
        <v>29</v>
      </c>
      <c r="O551">
        <f>29.5-27</f>
        <v>2.5</v>
      </c>
      <c r="P551" t="s">
        <v>37</v>
      </c>
      <c r="Q551" t="s">
        <v>38</v>
      </c>
      <c r="R551" s="2" t="s">
        <v>39</v>
      </c>
      <c r="S551" s="4">
        <v>38.875430000000001</v>
      </c>
      <c r="T551" s="4">
        <v>-122.43449</v>
      </c>
      <c r="U551">
        <v>2263</v>
      </c>
      <c r="V551" s="6">
        <f t="shared" si="37"/>
        <v>689.76240000000007</v>
      </c>
      <c r="W551" s="2" t="s">
        <v>898</v>
      </c>
      <c r="X551" s="2" t="s">
        <v>2379</v>
      </c>
      <c r="Y551" s="2" t="s">
        <v>1113</v>
      </c>
      <c r="Z551" t="s">
        <v>1721</v>
      </c>
      <c r="AA551" t="s">
        <v>1723</v>
      </c>
      <c r="AJ551" s="41">
        <v>0</v>
      </c>
      <c r="AL551">
        <f t="shared" si="38"/>
        <v>0</v>
      </c>
      <c r="AM551">
        <f t="shared" si="39"/>
        <v>0</v>
      </c>
      <c r="AN551">
        <f t="shared" si="40"/>
        <v>0</v>
      </c>
    </row>
    <row r="552" spans="1:40" x14ac:dyDescent="0.2">
      <c r="A552" s="2">
        <v>58</v>
      </c>
      <c r="B552" t="s">
        <v>1424</v>
      </c>
      <c r="C552">
        <v>0</v>
      </c>
      <c r="D552" s="2">
        <v>0</v>
      </c>
      <c r="E552">
        <v>0</v>
      </c>
      <c r="G552" s="2" t="s">
        <v>1186</v>
      </c>
      <c r="H552" s="2" t="s">
        <v>1191</v>
      </c>
      <c r="I552" s="2">
        <v>22</v>
      </c>
      <c r="J552" s="2" t="s">
        <v>1155</v>
      </c>
      <c r="K552">
        <v>2019</v>
      </c>
      <c r="L552" s="2" t="s">
        <v>137</v>
      </c>
      <c r="M552" t="s">
        <v>1173</v>
      </c>
      <c r="N552">
        <v>25.5</v>
      </c>
      <c r="O552">
        <f>11-9.5</f>
        <v>1.5</v>
      </c>
      <c r="P552" t="s">
        <v>37</v>
      </c>
      <c r="Q552" t="s">
        <v>42</v>
      </c>
      <c r="R552" t="s">
        <v>39</v>
      </c>
      <c r="S552" s="4">
        <v>38.87471</v>
      </c>
      <c r="T552" s="4">
        <v>-122.43482</v>
      </c>
      <c r="U552">
        <v>2239</v>
      </c>
      <c r="V552" s="6">
        <f t="shared" si="37"/>
        <v>682.44720000000007</v>
      </c>
      <c r="W552" s="2" t="s">
        <v>898</v>
      </c>
      <c r="X552" s="2" t="s">
        <v>2379</v>
      </c>
      <c r="Y552" s="2" t="s">
        <v>895</v>
      </c>
      <c r="AA552" t="s">
        <v>1724</v>
      </c>
      <c r="AJ552" s="41">
        <v>0</v>
      </c>
      <c r="AL552">
        <f t="shared" si="38"/>
        <v>0</v>
      </c>
      <c r="AM552">
        <f t="shared" si="39"/>
        <v>0</v>
      </c>
      <c r="AN552">
        <f t="shared" si="40"/>
        <v>0</v>
      </c>
    </row>
    <row r="553" spans="1:40" x14ac:dyDescent="0.2">
      <c r="A553" s="2">
        <v>58</v>
      </c>
      <c r="B553" t="s">
        <v>1425</v>
      </c>
      <c r="C553">
        <v>0</v>
      </c>
      <c r="D553" s="2">
        <v>0</v>
      </c>
      <c r="E553">
        <v>0</v>
      </c>
      <c r="G553" s="2" t="s">
        <v>1186</v>
      </c>
      <c r="H553" s="2" t="s">
        <v>1191</v>
      </c>
      <c r="I553" s="13">
        <v>22</v>
      </c>
      <c r="J553" s="13" t="s">
        <v>1155</v>
      </c>
      <c r="K553" s="13">
        <v>2019</v>
      </c>
      <c r="L553" s="2" t="s">
        <v>137</v>
      </c>
      <c r="M553" t="s">
        <v>1173</v>
      </c>
      <c r="N553">
        <v>29.5</v>
      </c>
      <c r="O553">
        <v>1.5</v>
      </c>
      <c r="P553" t="s">
        <v>37</v>
      </c>
      <c r="R553" s="45" t="s">
        <v>39</v>
      </c>
      <c r="S553" s="4">
        <v>38.874690000000001</v>
      </c>
      <c r="T553" s="4">
        <v>-122.43487</v>
      </c>
      <c r="U553">
        <v>2237</v>
      </c>
      <c r="V553" s="6">
        <f t="shared" si="37"/>
        <v>681.83760000000007</v>
      </c>
      <c r="W553" s="2" t="s">
        <v>898</v>
      </c>
      <c r="X553" s="2" t="s">
        <v>2379</v>
      </c>
      <c r="Y553" s="2" t="s">
        <v>1596</v>
      </c>
      <c r="AA553" t="s">
        <v>1725</v>
      </c>
      <c r="AJ553" s="41">
        <v>0</v>
      </c>
      <c r="AL553">
        <f t="shared" si="38"/>
        <v>0</v>
      </c>
      <c r="AM553">
        <f t="shared" si="39"/>
        <v>0</v>
      </c>
      <c r="AN553">
        <f t="shared" si="40"/>
        <v>0</v>
      </c>
    </row>
    <row r="554" spans="1:40" x14ac:dyDescent="0.2">
      <c r="A554" s="2">
        <v>58</v>
      </c>
      <c r="B554" t="s">
        <v>1426</v>
      </c>
      <c r="C554">
        <v>0</v>
      </c>
      <c r="D554" s="2">
        <v>0</v>
      </c>
      <c r="E554">
        <v>0</v>
      </c>
      <c r="G554" s="2" t="s">
        <v>1186</v>
      </c>
      <c r="H554" s="2" t="s">
        <v>1191</v>
      </c>
      <c r="I554" s="2">
        <v>22</v>
      </c>
      <c r="J554" s="2" t="s">
        <v>1155</v>
      </c>
      <c r="K554">
        <v>2019</v>
      </c>
      <c r="L554" s="2" t="s">
        <v>137</v>
      </c>
      <c r="M554" t="s">
        <v>1173</v>
      </c>
      <c r="N554">
        <v>29</v>
      </c>
      <c r="O554">
        <v>2</v>
      </c>
      <c r="P554" t="s">
        <v>30</v>
      </c>
      <c r="Q554" t="s">
        <v>42</v>
      </c>
      <c r="R554" t="s">
        <v>39</v>
      </c>
      <c r="S554" s="4">
        <v>38.874890000000001</v>
      </c>
      <c r="T554" s="4">
        <v>-122.43488000000001</v>
      </c>
      <c r="U554">
        <v>2236</v>
      </c>
      <c r="V554" s="6">
        <f t="shared" si="37"/>
        <v>681.53280000000007</v>
      </c>
      <c r="W554" s="2" t="s">
        <v>898</v>
      </c>
      <c r="X554" s="2" t="s">
        <v>2379</v>
      </c>
      <c r="Y554" s="2" t="s">
        <v>756</v>
      </c>
      <c r="AA554" t="s">
        <v>1726</v>
      </c>
      <c r="AJ554" s="41">
        <v>0</v>
      </c>
      <c r="AL554">
        <f t="shared" si="38"/>
        <v>0</v>
      </c>
      <c r="AM554">
        <f t="shared" si="39"/>
        <v>0</v>
      </c>
      <c r="AN554">
        <f t="shared" si="40"/>
        <v>0</v>
      </c>
    </row>
    <row r="555" spans="1:40" x14ac:dyDescent="0.2">
      <c r="A555" s="2">
        <v>58</v>
      </c>
      <c r="B555" t="s">
        <v>1427</v>
      </c>
      <c r="C555">
        <v>0</v>
      </c>
      <c r="D555" s="2">
        <v>0</v>
      </c>
      <c r="E555">
        <v>0</v>
      </c>
      <c r="G555" s="2" t="s">
        <v>1186</v>
      </c>
      <c r="H555" s="2" t="s">
        <v>1191</v>
      </c>
      <c r="I555" s="13">
        <v>22</v>
      </c>
      <c r="J555" s="13" t="s">
        <v>1155</v>
      </c>
      <c r="K555" s="13">
        <v>2019</v>
      </c>
      <c r="L555" s="2" t="s">
        <v>137</v>
      </c>
      <c r="M555" t="s">
        <v>1173</v>
      </c>
      <c r="N555">
        <v>22.5</v>
      </c>
      <c r="O555">
        <v>1</v>
      </c>
      <c r="P555" t="s">
        <v>30</v>
      </c>
      <c r="R555" s="45" t="s">
        <v>39</v>
      </c>
      <c r="S555" s="4">
        <v>38.875340000000001</v>
      </c>
      <c r="T555" s="4">
        <v>-122.43447999999999</v>
      </c>
      <c r="U555">
        <v>2243</v>
      </c>
      <c r="V555" s="6">
        <f t="shared" si="37"/>
        <v>683.66640000000007</v>
      </c>
      <c r="W555" s="2" t="s">
        <v>898</v>
      </c>
      <c r="X555" s="2" t="s">
        <v>2379</v>
      </c>
      <c r="Y555" s="2" t="s">
        <v>190</v>
      </c>
      <c r="AA555" t="s">
        <v>1727</v>
      </c>
      <c r="AJ555" s="41">
        <v>0</v>
      </c>
      <c r="AL555">
        <f t="shared" si="38"/>
        <v>0</v>
      </c>
      <c r="AM555">
        <f t="shared" si="39"/>
        <v>0</v>
      </c>
      <c r="AN555">
        <f t="shared" si="40"/>
        <v>0</v>
      </c>
    </row>
    <row r="556" spans="1:40" x14ac:dyDescent="0.2">
      <c r="A556" s="2">
        <v>59</v>
      </c>
      <c r="B556" t="s">
        <v>1428</v>
      </c>
      <c r="C556">
        <v>0</v>
      </c>
      <c r="D556" s="2">
        <v>0</v>
      </c>
      <c r="E556">
        <v>0</v>
      </c>
      <c r="G556" s="2" t="s">
        <v>1186</v>
      </c>
      <c r="H556" s="2" t="s">
        <v>1191</v>
      </c>
      <c r="I556" s="2">
        <v>23</v>
      </c>
      <c r="J556" s="2" t="s">
        <v>1155</v>
      </c>
      <c r="K556">
        <v>2019</v>
      </c>
      <c r="L556" s="2" t="s">
        <v>691</v>
      </c>
      <c r="M556" t="s">
        <v>1173</v>
      </c>
      <c r="N556">
        <v>33</v>
      </c>
      <c r="O556">
        <v>6</v>
      </c>
      <c r="P556" t="s">
        <v>37</v>
      </c>
      <c r="R556" t="s">
        <v>89</v>
      </c>
      <c r="S556" s="4">
        <v>38.865360000000003</v>
      </c>
      <c r="T556" s="4">
        <v>-122.40544</v>
      </c>
      <c r="U556">
        <v>2123</v>
      </c>
      <c r="V556" s="6">
        <f t="shared" ref="V556:V619" si="41">U556*0.3048</f>
        <v>647.09040000000005</v>
      </c>
      <c r="W556" s="2" t="s">
        <v>898</v>
      </c>
      <c r="X556" s="2" t="s">
        <v>2380</v>
      </c>
      <c r="Y556" s="2" t="s">
        <v>159</v>
      </c>
      <c r="AA556" t="s">
        <v>1728</v>
      </c>
      <c r="AJ556" s="41">
        <v>0</v>
      </c>
      <c r="AL556">
        <f t="shared" si="38"/>
        <v>0</v>
      </c>
      <c r="AM556">
        <f t="shared" si="39"/>
        <v>0</v>
      </c>
      <c r="AN556">
        <f t="shared" si="40"/>
        <v>0</v>
      </c>
    </row>
    <row r="557" spans="1:40" x14ac:dyDescent="0.2">
      <c r="A557" s="2">
        <v>59</v>
      </c>
      <c r="B557" t="s">
        <v>1429</v>
      </c>
      <c r="C557">
        <v>0</v>
      </c>
      <c r="D557" s="2">
        <v>0</v>
      </c>
      <c r="E557">
        <v>0</v>
      </c>
      <c r="G557" s="2" t="s">
        <v>1186</v>
      </c>
      <c r="H557" s="2" t="s">
        <v>1191</v>
      </c>
      <c r="I557" s="2">
        <v>23</v>
      </c>
      <c r="J557" s="2" t="s">
        <v>1155</v>
      </c>
      <c r="K557">
        <v>2019</v>
      </c>
      <c r="L557" s="2" t="s">
        <v>691</v>
      </c>
      <c r="M557" t="s">
        <v>1173</v>
      </c>
      <c r="N557">
        <v>39</v>
      </c>
      <c r="O557">
        <f>21.5-14</f>
        <v>7.5</v>
      </c>
      <c r="P557" t="s">
        <v>37</v>
      </c>
      <c r="R557" t="s">
        <v>89</v>
      </c>
      <c r="S557" s="4">
        <v>38.865360000000003</v>
      </c>
      <c r="T557" s="4">
        <v>-122.40544</v>
      </c>
      <c r="U557">
        <v>2123</v>
      </c>
      <c r="V557" s="6">
        <f t="shared" si="41"/>
        <v>647.09040000000005</v>
      </c>
      <c r="W557" s="2" t="s">
        <v>898</v>
      </c>
      <c r="X557" s="2" t="s">
        <v>2380</v>
      </c>
      <c r="Y557" s="2" t="s">
        <v>440</v>
      </c>
      <c r="AA557" t="s">
        <v>1729</v>
      </c>
      <c r="AJ557" s="41">
        <v>0</v>
      </c>
      <c r="AL557">
        <f t="shared" si="38"/>
        <v>0</v>
      </c>
      <c r="AM557">
        <f t="shared" si="39"/>
        <v>0</v>
      </c>
      <c r="AN557">
        <f t="shared" si="40"/>
        <v>0</v>
      </c>
    </row>
    <row r="558" spans="1:40" x14ac:dyDescent="0.2">
      <c r="A558" s="2">
        <v>59</v>
      </c>
      <c r="B558" t="s">
        <v>1430</v>
      </c>
      <c r="C558">
        <v>0</v>
      </c>
      <c r="D558" s="2">
        <v>0</v>
      </c>
      <c r="E558">
        <v>0</v>
      </c>
      <c r="G558" s="2" t="s">
        <v>1186</v>
      </c>
      <c r="H558" s="2" t="s">
        <v>1191</v>
      </c>
      <c r="I558" s="2">
        <v>23</v>
      </c>
      <c r="J558" s="2" t="s">
        <v>1155</v>
      </c>
      <c r="K558">
        <v>2019</v>
      </c>
      <c r="L558" s="2" t="s">
        <v>137</v>
      </c>
      <c r="M558" t="s">
        <v>1173</v>
      </c>
      <c r="N558">
        <v>19</v>
      </c>
      <c r="O558">
        <v>1.5</v>
      </c>
      <c r="P558" t="s">
        <v>37</v>
      </c>
      <c r="R558" s="45" t="s">
        <v>39</v>
      </c>
      <c r="S558" s="4">
        <v>38.86544</v>
      </c>
      <c r="T558" s="4">
        <v>-122.40522</v>
      </c>
      <c r="U558">
        <v>2116</v>
      </c>
      <c r="V558" s="6">
        <f t="shared" si="41"/>
        <v>644.95680000000004</v>
      </c>
      <c r="W558" s="2" t="s">
        <v>898</v>
      </c>
      <c r="X558" s="2" t="s">
        <v>2380</v>
      </c>
      <c r="Y558" s="2" t="s">
        <v>171</v>
      </c>
      <c r="AA558" t="s">
        <v>1730</v>
      </c>
      <c r="AJ558" s="41">
        <v>0</v>
      </c>
      <c r="AL558">
        <f t="shared" si="38"/>
        <v>0</v>
      </c>
      <c r="AM558">
        <f t="shared" si="39"/>
        <v>0</v>
      </c>
      <c r="AN558">
        <f t="shared" si="40"/>
        <v>0</v>
      </c>
    </row>
    <row r="559" spans="1:40" x14ac:dyDescent="0.2">
      <c r="A559" s="2">
        <v>59</v>
      </c>
      <c r="B559" t="s">
        <v>1431</v>
      </c>
      <c r="C559">
        <v>0</v>
      </c>
      <c r="D559" s="2">
        <v>0</v>
      </c>
      <c r="E559">
        <v>0</v>
      </c>
      <c r="G559" s="2" t="s">
        <v>1186</v>
      </c>
      <c r="H559" s="2" t="s">
        <v>1191</v>
      </c>
      <c r="I559" s="2">
        <v>23</v>
      </c>
      <c r="J559" s="2" t="s">
        <v>1155</v>
      </c>
      <c r="K559">
        <v>2019</v>
      </c>
      <c r="L559" s="2" t="s">
        <v>137</v>
      </c>
      <c r="M559" t="s">
        <v>1173</v>
      </c>
      <c r="N559">
        <v>18.5</v>
      </c>
      <c r="O559">
        <v>0.5</v>
      </c>
      <c r="P559" t="s">
        <v>37</v>
      </c>
      <c r="R559" t="s">
        <v>89</v>
      </c>
      <c r="S559" s="4">
        <v>38.865639999999999</v>
      </c>
      <c r="T559" s="4">
        <v>-122.40524000000001</v>
      </c>
      <c r="U559">
        <v>2116</v>
      </c>
      <c r="V559" s="6">
        <f t="shared" si="41"/>
        <v>644.95680000000004</v>
      </c>
      <c r="W559" s="2" t="s">
        <v>898</v>
      </c>
      <c r="X559" s="2" t="s">
        <v>2380</v>
      </c>
      <c r="Y559" s="2" t="s">
        <v>243</v>
      </c>
      <c r="AA559" t="s">
        <v>1731</v>
      </c>
      <c r="AJ559" s="41">
        <v>0</v>
      </c>
      <c r="AL559">
        <f t="shared" si="38"/>
        <v>0</v>
      </c>
      <c r="AM559">
        <f t="shared" si="39"/>
        <v>0</v>
      </c>
      <c r="AN559">
        <f t="shared" si="40"/>
        <v>0</v>
      </c>
    </row>
    <row r="560" spans="1:40" x14ac:dyDescent="0.2">
      <c r="A560" s="2">
        <v>59</v>
      </c>
      <c r="B560" t="s">
        <v>1432</v>
      </c>
      <c r="C560">
        <v>0</v>
      </c>
      <c r="D560" s="2">
        <v>0</v>
      </c>
      <c r="E560">
        <v>0</v>
      </c>
      <c r="G560" s="2" t="s">
        <v>1186</v>
      </c>
      <c r="H560" s="2" t="s">
        <v>1191</v>
      </c>
      <c r="I560" s="2">
        <v>23</v>
      </c>
      <c r="J560" s="2" t="s">
        <v>1155</v>
      </c>
      <c r="K560">
        <v>2019</v>
      </c>
      <c r="L560" s="2" t="s">
        <v>137</v>
      </c>
      <c r="M560" t="s">
        <v>1173</v>
      </c>
      <c r="N560">
        <v>20</v>
      </c>
      <c r="O560">
        <v>1</v>
      </c>
      <c r="P560" t="s">
        <v>37</v>
      </c>
      <c r="R560" s="45" t="s">
        <v>39</v>
      </c>
      <c r="S560" s="4">
        <v>38.865639999999999</v>
      </c>
      <c r="T560" s="4">
        <v>-122.40524000000001</v>
      </c>
      <c r="U560">
        <v>2116</v>
      </c>
      <c r="V560" s="6">
        <f t="shared" si="41"/>
        <v>644.95680000000004</v>
      </c>
      <c r="W560" s="2" t="s">
        <v>898</v>
      </c>
      <c r="X560" s="2" t="s">
        <v>2380</v>
      </c>
      <c r="Y560" s="2" t="s">
        <v>243</v>
      </c>
      <c r="AA560" t="s">
        <v>1732</v>
      </c>
      <c r="AJ560" s="41">
        <v>0</v>
      </c>
      <c r="AL560">
        <f t="shared" si="38"/>
        <v>0</v>
      </c>
      <c r="AM560">
        <f t="shared" si="39"/>
        <v>0</v>
      </c>
      <c r="AN560">
        <f t="shared" si="40"/>
        <v>0</v>
      </c>
    </row>
    <row r="561" spans="1:40" x14ac:dyDescent="0.2">
      <c r="A561" s="2">
        <v>59</v>
      </c>
      <c r="B561" t="s">
        <v>1433</v>
      </c>
      <c r="C561">
        <v>0</v>
      </c>
      <c r="D561" s="2">
        <v>0</v>
      </c>
      <c r="E561">
        <v>0</v>
      </c>
      <c r="G561" s="2" t="s">
        <v>1186</v>
      </c>
      <c r="H561" s="2" t="s">
        <v>1191</v>
      </c>
      <c r="I561" s="2">
        <v>23</v>
      </c>
      <c r="J561" s="2" t="s">
        <v>1155</v>
      </c>
      <c r="K561">
        <v>2019</v>
      </c>
      <c r="L561" s="2" t="s">
        <v>137</v>
      </c>
      <c r="M561" t="s">
        <v>1173</v>
      </c>
      <c r="N561">
        <v>20</v>
      </c>
      <c r="O561">
        <f>34-32.5</f>
        <v>1.5</v>
      </c>
      <c r="P561" t="s">
        <v>37</v>
      </c>
      <c r="R561" s="45" t="s">
        <v>39</v>
      </c>
      <c r="S561" s="4">
        <v>38.865659999999998</v>
      </c>
      <c r="T561" s="4">
        <v>-122.40524000000001</v>
      </c>
      <c r="U561">
        <v>2116</v>
      </c>
      <c r="V561" s="6">
        <f t="shared" si="41"/>
        <v>644.95680000000004</v>
      </c>
      <c r="W561" s="2" t="s">
        <v>898</v>
      </c>
      <c r="X561" s="2" t="s">
        <v>2380</v>
      </c>
      <c r="Y561" s="2" t="s">
        <v>246</v>
      </c>
      <c r="AA561" t="s">
        <v>1733</v>
      </c>
      <c r="AJ561" s="41">
        <v>0</v>
      </c>
      <c r="AL561">
        <f t="shared" si="38"/>
        <v>0</v>
      </c>
      <c r="AM561">
        <f t="shared" si="39"/>
        <v>0</v>
      </c>
      <c r="AN561">
        <f t="shared" si="40"/>
        <v>0</v>
      </c>
    </row>
    <row r="562" spans="1:40" x14ac:dyDescent="0.2">
      <c r="A562" s="2">
        <v>59</v>
      </c>
      <c r="B562" t="s">
        <v>1434</v>
      </c>
      <c r="C562">
        <v>0.18028835952281952</v>
      </c>
      <c r="D562">
        <v>9.4420887529850006E-2</v>
      </c>
      <c r="E562">
        <v>0.16838005185127258</v>
      </c>
      <c r="G562" s="2" t="s">
        <v>1186</v>
      </c>
      <c r="H562" s="2" t="s">
        <v>1191</v>
      </c>
      <c r="I562" s="2">
        <v>23</v>
      </c>
      <c r="J562" s="2" t="s">
        <v>1155</v>
      </c>
      <c r="K562">
        <v>2019</v>
      </c>
      <c r="L562" s="2" t="s">
        <v>137</v>
      </c>
      <c r="M562" t="s">
        <v>1173</v>
      </c>
      <c r="N562">
        <v>21</v>
      </c>
      <c r="O562">
        <v>1.5</v>
      </c>
      <c r="P562" t="s">
        <v>37</v>
      </c>
      <c r="R562" s="45" t="s">
        <v>39</v>
      </c>
      <c r="S562" s="4">
        <v>38.865659999999998</v>
      </c>
      <c r="T562" s="4">
        <v>-122.40524000000001</v>
      </c>
      <c r="U562">
        <v>2117</v>
      </c>
      <c r="V562" s="6">
        <f t="shared" si="41"/>
        <v>645.26160000000004</v>
      </c>
      <c r="W562" s="2" t="s">
        <v>898</v>
      </c>
      <c r="X562" s="2" t="s">
        <v>2380</v>
      </c>
      <c r="Y562" s="2" t="s">
        <v>246</v>
      </c>
      <c r="AA562" t="s">
        <v>1734</v>
      </c>
      <c r="AJ562" s="41">
        <v>0</v>
      </c>
      <c r="AL562">
        <f t="shared" si="38"/>
        <v>14.423068761825562</v>
      </c>
      <c r="AM562">
        <f t="shared" si="39"/>
        <v>7.5536710023880005</v>
      </c>
      <c r="AN562">
        <f t="shared" si="40"/>
        <v>13.470404148101807</v>
      </c>
    </row>
    <row r="563" spans="1:40" x14ac:dyDescent="0.2">
      <c r="A563" s="2">
        <v>59</v>
      </c>
      <c r="B563" t="s">
        <v>1435</v>
      </c>
      <c r="C563" s="2">
        <v>0</v>
      </c>
      <c r="D563" s="2">
        <v>0</v>
      </c>
      <c r="E563" s="2">
        <v>0</v>
      </c>
      <c r="G563" s="2" t="s">
        <v>1186</v>
      </c>
      <c r="H563" s="2" t="s">
        <v>1191</v>
      </c>
      <c r="I563" s="2">
        <v>23</v>
      </c>
      <c r="J563" s="2" t="s">
        <v>1155</v>
      </c>
      <c r="K563">
        <v>2019</v>
      </c>
      <c r="L563" s="2" t="s">
        <v>137</v>
      </c>
      <c r="M563" t="s">
        <v>1173</v>
      </c>
      <c r="N563">
        <v>18</v>
      </c>
      <c r="O563">
        <v>0.5</v>
      </c>
      <c r="P563" t="s">
        <v>37</v>
      </c>
      <c r="R563" t="s">
        <v>89</v>
      </c>
      <c r="S563" s="4">
        <v>38.86571</v>
      </c>
      <c r="T563" s="4">
        <v>-122.40524000000001</v>
      </c>
      <c r="U563">
        <v>2110</v>
      </c>
      <c r="V563" s="6">
        <f t="shared" si="41"/>
        <v>643.12800000000004</v>
      </c>
      <c r="W563" s="2" t="s">
        <v>898</v>
      </c>
      <c r="X563" s="2" t="s">
        <v>2380</v>
      </c>
      <c r="Y563" s="2" t="s">
        <v>249</v>
      </c>
      <c r="AA563" t="s">
        <v>1735</v>
      </c>
      <c r="AJ563" s="41">
        <v>0</v>
      </c>
      <c r="AL563">
        <f t="shared" si="38"/>
        <v>0</v>
      </c>
      <c r="AM563">
        <f t="shared" si="39"/>
        <v>0</v>
      </c>
      <c r="AN563">
        <f t="shared" si="40"/>
        <v>0</v>
      </c>
    </row>
    <row r="564" spans="1:40" x14ac:dyDescent="0.2">
      <c r="A564" s="2">
        <v>59</v>
      </c>
      <c r="B564" t="s">
        <v>1436</v>
      </c>
      <c r="C564" s="2">
        <v>0</v>
      </c>
      <c r="D564" s="2">
        <v>0</v>
      </c>
      <c r="E564" s="2">
        <v>0</v>
      </c>
      <c r="G564" s="2" t="s">
        <v>1186</v>
      </c>
      <c r="H564" s="2" t="s">
        <v>1191</v>
      </c>
      <c r="I564" s="2">
        <v>23</v>
      </c>
      <c r="J564" s="2" t="s">
        <v>1155</v>
      </c>
      <c r="K564">
        <v>2019</v>
      </c>
      <c r="L564" s="2" t="s">
        <v>137</v>
      </c>
      <c r="M564" t="s">
        <v>1173</v>
      </c>
      <c r="N564">
        <v>20</v>
      </c>
      <c r="O564">
        <v>1</v>
      </c>
      <c r="P564" t="s">
        <v>37</v>
      </c>
      <c r="R564" s="45" t="s">
        <v>39</v>
      </c>
      <c r="S564" s="4">
        <v>38.865760000000002</v>
      </c>
      <c r="T564" s="4">
        <v>-122.40525</v>
      </c>
      <c r="U564">
        <v>2108</v>
      </c>
      <c r="V564" s="6">
        <f t="shared" si="41"/>
        <v>642.51840000000004</v>
      </c>
      <c r="W564" s="2" t="s">
        <v>898</v>
      </c>
      <c r="X564" s="2" t="s">
        <v>2380</v>
      </c>
      <c r="Y564" s="2" t="s">
        <v>1097</v>
      </c>
      <c r="AA564" t="s">
        <v>1227</v>
      </c>
      <c r="AJ564" s="41">
        <v>0</v>
      </c>
      <c r="AL564">
        <f t="shared" si="38"/>
        <v>0</v>
      </c>
      <c r="AM564">
        <f t="shared" si="39"/>
        <v>0</v>
      </c>
      <c r="AN564">
        <f t="shared" si="40"/>
        <v>0</v>
      </c>
    </row>
    <row r="565" spans="1:40" x14ac:dyDescent="0.2">
      <c r="A565" s="2">
        <v>59</v>
      </c>
      <c r="B565" t="s">
        <v>1437</v>
      </c>
      <c r="C565" s="2">
        <v>0</v>
      </c>
      <c r="D565" s="2">
        <v>0</v>
      </c>
      <c r="E565" s="2">
        <v>0</v>
      </c>
      <c r="G565" s="2" t="s">
        <v>1186</v>
      </c>
      <c r="H565" s="2" t="s">
        <v>1191</v>
      </c>
      <c r="I565" s="2">
        <v>23</v>
      </c>
      <c r="J565" s="2" t="s">
        <v>1155</v>
      </c>
      <c r="K565">
        <v>2019</v>
      </c>
      <c r="L565" s="2" t="s">
        <v>137</v>
      </c>
      <c r="M565" t="s">
        <v>1173</v>
      </c>
      <c r="N565">
        <v>18</v>
      </c>
      <c r="O565">
        <v>0.5</v>
      </c>
      <c r="P565" t="s">
        <v>37</v>
      </c>
      <c r="R565" t="s">
        <v>89</v>
      </c>
      <c r="S565" s="4">
        <v>38.865760000000002</v>
      </c>
      <c r="T565" s="4">
        <v>-122.40525</v>
      </c>
      <c r="U565">
        <v>2108</v>
      </c>
      <c r="V565" s="6">
        <f t="shared" si="41"/>
        <v>642.51840000000004</v>
      </c>
      <c r="W565" s="2" t="s">
        <v>898</v>
      </c>
      <c r="X565" s="2" t="s">
        <v>2380</v>
      </c>
      <c r="Y565" s="2" t="s">
        <v>1110</v>
      </c>
      <c r="AA565" t="s">
        <v>1736</v>
      </c>
      <c r="AJ565" s="41">
        <v>0</v>
      </c>
      <c r="AL565">
        <f t="shared" si="38"/>
        <v>0</v>
      </c>
      <c r="AM565">
        <f t="shared" si="39"/>
        <v>0</v>
      </c>
      <c r="AN565">
        <f t="shared" si="40"/>
        <v>0</v>
      </c>
    </row>
    <row r="566" spans="1:40" x14ac:dyDescent="0.2">
      <c r="A566" s="2">
        <v>59</v>
      </c>
      <c r="B566" t="s">
        <v>1438</v>
      </c>
      <c r="C566" s="2">
        <v>0</v>
      </c>
      <c r="D566" s="2">
        <v>0</v>
      </c>
      <c r="E566" s="2">
        <v>0</v>
      </c>
      <c r="G566" s="2" t="s">
        <v>1186</v>
      </c>
      <c r="H566" s="2" t="s">
        <v>1191</v>
      </c>
      <c r="I566" s="2">
        <v>23</v>
      </c>
      <c r="J566" s="2" t="s">
        <v>1155</v>
      </c>
      <c r="K566">
        <v>2019</v>
      </c>
      <c r="L566" s="2" t="s">
        <v>137</v>
      </c>
      <c r="M566" t="s">
        <v>1173</v>
      </c>
      <c r="N566">
        <v>21</v>
      </c>
      <c r="O566">
        <v>0.5</v>
      </c>
      <c r="P566" t="s">
        <v>37</v>
      </c>
      <c r="R566" s="45" t="s">
        <v>39</v>
      </c>
      <c r="S566" s="4">
        <v>38.865760000000002</v>
      </c>
      <c r="T566" s="4">
        <v>-122.40525</v>
      </c>
      <c r="U566">
        <v>2108</v>
      </c>
      <c r="V566" s="6">
        <f t="shared" si="41"/>
        <v>642.51840000000004</v>
      </c>
      <c r="W566" s="2" t="s">
        <v>898</v>
      </c>
      <c r="X566" s="2" t="s">
        <v>2380</v>
      </c>
      <c r="Y566" s="2" t="s">
        <v>878</v>
      </c>
      <c r="AA566" t="s">
        <v>1737</v>
      </c>
      <c r="AJ566" s="41">
        <v>0</v>
      </c>
      <c r="AL566">
        <f t="shared" si="38"/>
        <v>0</v>
      </c>
      <c r="AM566">
        <f t="shared" si="39"/>
        <v>0</v>
      </c>
      <c r="AN566">
        <f t="shared" si="40"/>
        <v>0</v>
      </c>
    </row>
    <row r="567" spans="1:40" x14ac:dyDescent="0.2">
      <c r="A567" s="2">
        <v>59</v>
      </c>
      <c r="B567" t="s">
        <v>1439</v>
      </c>
      <c r="C567" s="2">
        <v>0</v>
      </c>
      <c r="D567" s="2">
        <v>0</v>
      </c>
      <c r="E567" s="2">
        <v>0</v>
      </c>
      <c r="G567" s="2" t="s">
        <v>1186</v>
      </c>
      <c r="H567" s="2" t="s">
        <v>1191</v>
      </c>
      <c r="I567" s="2">
        <v>23</v>
      </c>
      <c r="J567" s="2" t="s">
        <v>1155</v>
      </c>
      <c r="K567">
        <v>2019</v>
      </c>
      <c r="L567" s="2" t="s">
        <v>137</v>
      </c>
      <c r="M567" t="s">
        <v>1173</v>
      </c>
      <c r="N567">
        <v>23.5</v>
      </c>
      <c r="O567">
        <v>1</v>
      </c>
      <c r="P567" t="s">
        <v>37</v>
      </c>
      <c r="R567" s="45" t="s">
        <v>39</v>
      </c>
      <c r="S567" s="4">
        <v>38.8658</v>
      </c>
      <c r="T567" s="4">
        <v>-122.40526</v>
      </c>
      <c r="U567">
        <v>2107</v>
      </c>
      <c r="V567" s="6">
        <f t="shared" si="41"/>
        <v>642.21360000000004</v>
      </c>
      <c r="W567" s="2" t="s">
        <v>898</v>
      </c>
      <c r="X567" s="2" t="s">
        <v>2380</v>
      </c>
      <c r="Y567" s="2" t="s">
        <v>1108</v>
      </c>
      <c r="AA567" t="s">
        <v>1738</v>
      </c>
      <c r="AJ567" s="41">
        <v>0</v>
      </c>
      <c r="AL567">
        <f t="shared" si="38"/>
        <v>0</v>
      </c>
      <c r="AM567">
        <f t="shared" si="39"/>
        <v>0</v>
      </c>
      <c r="AN567">
        <f t="shared" si="40"/>
        <v>0</v>
      </c>
    </row>
    <row r="568" spans="1:40" x14ac:dyDescent="0.2">
      <c r="A568" s="2">
        <v>59</v>
      </c>
      <c r="B568" t="s">
        <v>1440</v>
      </c>
      <c r="C568">
        <v>3.5673933029174805</v>
      </c>
      <c r="D568">
        <v>2.6470034122467041</v>
      </c>
      <c r="E568">
        <v>3.6725714206695557</v>
      </c>
      <c r="G568" s="2" t="s">
        <v>1186</v>
      </c>
      <c r="H568" s="2" t="s">
        <v>1191</v>
      </c>
      <c r="I568" s="2">
        <v>23</v>
      </c>
      <c r="J568" s="2" t="s">
        <v>1155</v>
      </c>
      <c r="K568">
        <v>2019</v>
      </c>
      <c r="L568" s="2" t="s">
        <v>137</v>
      </c>
      <c r="M568" t="s">
        <v>1173</v>
      </c>
      <c r="N568">
        <v>23.5</v>
      </c>
      <c r="O568">
        <v>1</v>
      </c>
      <c r="P568" t="s">
        <v>30</v>
      </c>
      <c r="R568" s="45" t="s">
        <v>39</v>
      </c>
      <c r="S568" s="4">
        <v>38.865830000000003</v>
      </c>
      <c r="T568" s="4">
        <v>-122.40524000000001</v>
      </c>
      <c r="U568">
        <v>2107</v>
      </c>
      <c r="V568" s="6">
        <f t="shared" si="41"/>
        <v>642.21360000000004</v>
      </c>
      <c r="W568" s="2" t="s">
        <v>898</v>
      </c>
      <c r="X568" s="2" t="s">
        <v>2380</v>
      </c>
      <c r="Y568" s="2" t="s">
        <v>1098</v>
      </c>
      <c r="AA568" t="s">
        <v>1739</v>
      </c>
      <c r="AJ568" s="41">
        <v>0</v>
      </c>
      <c r="AL568">
        <f t="shared" si="38"/>
        <v>285.39146423339844</v>
      </c>
      <c r="AM568">
        <f t="shared" si="39"/>
        <v>211.76027297973633</v>
      </c>
      <c r="AN568">
        <f t="shared" si="40"/>
        <v>293.80571365356445</v>
      </c>
    </row>
    <row r="569" spans="1:40" x14ac:dyDescent="0.2">
      <c r="A569" s="2">
        <v>59</v>
      </c>
      <c r="B569" t="s">
        <v>1441</v>
      </c>
      <c r="C569" s="2">
        <v>0</v>
      </c>
      <c r="D569" s="2">
        <v>0</v>
      </c>
      <c r="E569" s="2">
        <v>0</v>
      </c>
      <c r="G569" s="2" t="s">
        <v>1186</v>
      </c>
      <c r="H569" s="2" t="s">
        <v>1191</v>
      </c>
      <c r="I569" s="2">
        <v>23</v>
      </c>
      <c r="J569" s="2" t="s">
        <v>1155</v>
      </c>
      <c r="K569">
        <v>2019</v>
      </c>
      <c r="L569" s="2" t="s">
        <v>137</v>
      </c>
      <c r="M569" t="s">
        <v>1173</v>
      </c>
      <c r="N569">
        <v>19.5</v>
      </c>
      <c r="O569">
        <v>0.5</v>
      </c>
      <c r="P569" t="s">
        <v>37</v>
      </c>
      <c r="R569" s="45" t="s">
        <v>39</v>
      </c>
      <c r="S569" s="4">
        <v>38.865859999999998</v>
      </c>
      <c r="T569" s="4">
        <v>122.40524000000001</v>
      </c>
      <c r="U569">
        <v>2108</v>
      </c>
      <c r="V569" s="6">
        <f t="shared" si="41"/>
        <v>642.51840000000004</v>
      </c>
      <c r="W569" s="2" t="s">
        <v>898</v>
      </c>
      <c r="X569" s="2" t="s">
        <v>2380</v>
      </c>
      <c r="Y569" s="2" t="s">
        <v>454</v>
      </c>
      <c r="AA569" t="s">
        <v>1740</v>
      </c>
      <c r="AJ569" s="41">
        <v>0</v>
      </c>
      <c r="AL569">
        <f t="shared" si="38"/>
        <v>0</v>
      </c>
      <c r="AM569">
        <f t="shared" si="39"/>
        <v>0</v>
      </c>
      <c r="AN569">
        <f t="shared" si="40"/>
        <v>0</v>
      </c>
    </row>
    <row r="570" spans="1:40" x14ac:dyDescent="0.2">
      <c r="A570" s="2">
        <v>59</v>
      </c>
      <c r="B570" t="s">
        <v>1442</v>
      </c>
      <c r="C570" s="2">
        <v>0</v>
      </c>
      <c r="D570" s="2">
        <v>0</v>
      </c>
      <c r="E570" s="2">
        <v>0</v>
      </c>
      <c r="G570" s="2" t="s">
        <v>1186</v>
      </c>
      <c r="H570" s="2" t="s">
        <v>1191</v>
      </c>
      <c r="I570" s="2">
        <v>23</v>
      </c>
      <c r="J570" s="2" t="s">
        <v>1155</v>
      </c>
      <c r="K570">
        <v>2019</v>
      </c>
      <c r="L570" s="2" t="s">
        <v>137</v>
      </c>
      <c r="M570" t="s">
        <v>1173</v>
      </c>
      <c r="N570">
        <v>20.5</v>
      </c>
      <c r="O570">
        <v>0.5</v>
      </c>
      <c r="P570" t="s">
        <v>37</v>
      </c>
      <c r="R570" s="45" t="s">
        <v>39</v>
      </c>
      <c r="S570" s="4">
        <v>38.865589999999997</v>
      </c>
      <c r="T570" s="4">
        <v>-122.40524000000001</v>
      </c>
      <c r="U570">
        <v>2104</v>
      </c>
      <c r="V570" s="6">
        <f t="shared" si="41"/>
        <v>641.29920000000004</v>
      </c>
      <c r="W570" s="2" t="s">
        <v>898</v>
      </c>
      <c r="X570" s="2" t="s">
        <v>2380</v>
      </c>
      <c r="Y570" s="2" t="s">
        <v>461</v>
      </c>
      <c r="AA570" t="s">
        <v>1741</v>
      </c>
      <c r="AJ570" s="41">
        <v>0</v>
      </c>
      <c r="AL570">
        <f t="shared" si="38"/>
        <v>0</v>
      </c>
      <c r="AM570">
        <f t="shared" si="39"/>
        <v>0</v>
      </c>
      <c r="AN570">
        <f t="shared" si="40"/>
        <v>0</v>
      </c>
    </row>
    <row r="571" spans="1:40" x14ac:dyDescent="0.2">
      <c r="A571" s="2">
        <v>59</v>
      </c>
      <c r="B571" t="s">
        <v>1443</v>
      </c>
      <c r="G571" s="2" t="s">
        <v>1186</v>
      </c>
      <c r="H571" s="2" t="s">
        <v>1191</v>
      </c>
      <c r="I571" s="2">
        <v>23</v>
      </c>
      <c r="J571" s="2" t="s">
        <v>1155</v>
      </c>
      <c r="K571">
        <v>2019</v>
      </c>
      <c r="L571" s="2" t="s">
        <v>137</v>
      </c>
      <c r="M571" t="s">
        <v>1173</v>
      </c>
      <c r="N571">
        <v>21</v>
      </c>
      <c r="O571">
        <v>2</v>
      </c>
      <c r="P571" t="s">
        <v>30</v>
      </c>
      <c r="Q571" t="s">
        <v>42</v>
      </c>
      <c r="R571" t="s">
        <v>39</v>
      </c>
      <c r="S571" s="4">
        <v>38.865430000000003</v>
      </c>
      <c r="T571" s="4">
        <v>-122.40534</v>
      </c>
      <c r="U571">
        <v>2105</v>
      </c>
      <c r="V571" s="6">
        <f t="shared" si="41"/>
        <v>641.60400000000004</v>
      </c>
      <c r="W571" s="2" t="s">
        <v>898</v>
      </c>
      <c r="X571" s="2" t="s">
        <v>2380</v>
      </c>
      <c r="Y571" s="2" t="s">
        <v>1099</v>
      </c>
      <c r="AA571" t="s">
        <v>1742</v>
      </c>
      <c r="AJ571" s="41">
        <v>0</v>
      </c>
      <c r="AL571">
        <f t="shared" si="38"/>
        <v>0</v>
      </c>
      <c r="AM571">
        <f t="shared" si="39"/>
        <v>0</v>
      </c>
      <c r="AN571">
        <f t="shared" si="40"/>
        <v>0</v>
      </c>
    </row>
    <row r="572" spans="1:40" x14ac:dyDescent="0.2">
      <c r="A572" s="2">
        <v>59</v>
      </c>
      <c r="B572" t="s">
        <v>1444</v>
      </c>
      <c r="C572" s="2">
        <v>0</v>
      </c>
      <c r="D572" s="2">
        <v>0</v>
      </c>
      <c r="E572" s="2">
        <v>0</v>
      </c>
      <c r="G572" s="2" t="s">
        <v>1186</v>
      </c>
      <c r="H572" s="2" t="s">
        <v>1191</v>
      </c>
      <c r="I572" s="2">
        <v>23</v>
      </c>
      <c r="J572" s="2" t="s">
        <v>1155</v>
      </c>
      <c r="K572">
        <v>2019</v>
      </c>
      <c r="L572" s="2" t="s">
        <v>137</v>
      </c>
      <c r="M572" t="s">
        <v>1173</v>
      </c>
      <c r="N572">
        <v>23</v>
      </c>
      <c r="O572">
        <v>1</v>
      </c>
      <c r="P572" t="s">
        <v>37</v>
      </c>
      <c r="R572" s="45" t="s">
        <v>39</v>
      </c>
      <c r="S572" s="4">
        <v>38.865430000000003</v>
      </c>
      <c r="T572" s="4">
        <v>-122.40534</v>
      </c>
      <c r="U572">
        <v>2105</v>
      </c>
      <c r="V572" s="6">
        <f t="shared" si="41"/>
        <v>641.60400000000004</v>
      </c>
      <c r="W572" s="2" t="s">
        <v>898</v>
      </c>
      <c r="X572" s="2" t="s">
        <v>2380</v>
      </c>
      <c r="Y572" s="2" t="s">
        <v>363</v>
      </c>
      <c r="AA572" t="s">
        <v>1743</v>
      </c>
      <c r="AJ572" s="41">
        <v>0</v>
      </c>
      <c r="AL572">
        <f t="shared" si="38"/>
        <v>0</v>
      </c>
      <c r="AM572">
        <f t="shared" si="39"/>
        <v>0</v>
      </c>
      <c r="AN572">
        <f t="shared" si="40"/>
        <v>0</v>
      </c>
    </row>
    <row r="573" spans="1:40" x14ac:dyDescent="0.2">
      <c r="A573" s="2">
        <v>59</v>
      </c>
      <c r="B573" t="s">
        <v>1445</v>
      </c>
      <c r="C573" s="2">
        <v>0</v>
      </c>
      <c r="D573" s="2">
        <v>0</v>
      </c>
      <c r="E573" s="2">
        <v>0</v>
      </c>
      <c r="G573" s="2" t="s">
        <v>1186</v>
      </c>
      <c r="H573" s="2" t="s">
        <v>1191</v>
      </c>
      <c r="I573" s="2">
        <v>23</v>
      </c>
      <c r="J573" s="2" t="s">
        <v>1155</v>
      </c>
      <c r="K573">
        <v>2019</v>
      </c>
      <c r="L573" s="2" t="s">
        <v>691</v>
      </c>
      <c r="M573" t="s">
        <v>1173</v>
      </c>
      <c r="N573">
        <v>38</v>
      </c>
      <c r="O573">
        <v>10</v>
      </c>
      <c r="P573" t="s">
        <v>30</v>
      </c>
      <c r="R573" t="s">
        <v>89</v>
      </c>
      <c r="S573" s="4">
        <v>38.865430000000003</v>
      </c>
      <c r="T573" s="4">
        <v>-122.40534</v>
      </c>
      <c r="U573">
        <v>2105</v>
      </c>
      <c r="V573" s="6">
        <f t="shared" si="41"/>
        <v>641.60400000000004</v>
      </c>
      <c r="W573" s="2" t="s">
        <v>898</v>
      </c>
      <c r="X573" s="2" t="s">
        <v>2380</v>
      </c>
      <c r="Y573" s="2" t="s">
        <v>750</v>
      </c>
      <c r="Z573" t="s">
        <v>1745</v>
      </c>
      <c r="AA573" t="s">
        <v>1744</v>
      </c>
      <c r="AJ573" s="41">
        <v>0</v>
      </c>
      <c r="AL573">
        <f t="shared" si="38"/>
        <v>0</v>
      </c>
      <c r="AM573">
        <f t="shared" si="39"/>
        <v>0</v>
      </c>
      <c r="AN573">
        <f t="shared" si="40"/>
        <v>0</v>
      </c>
    </row>
    <row r="574" spans="1:40" x14ac:dyDescent="0.2">
      <c r="A574" s="2">
        <v>59</v>
      </c>
      <c r="B574" t="s">
        <v>1446</v>
      </c>
      <c r="C574" s="2">
        <v>0</v>
      </c>
      <c r="D574" s="2">
        <v>0</v>
      </c>
      <c r="E574" s="2">
        <v>0</v>
      </c>
      <c r="G574" s="2" t="s">
        <v>1186</v>
      </c>
      <c r="H574" s="2" t="s">
        <v>1191</v>
      </c>
      <c r="I574" s="2">
        <v>23</v>
      </c>
      <c r="J574" s="2" t="s">
        <v>1155</v>
      </c>
      <c r="K574">
        <v>2019</v>
      </c>
      <c r="L574" s="2" t="s">
        <v>691</v>
      </c>
      <c r="M574" t="s">
        <v>1173</v>
      </c>
      <c r="N574">
        <v>32</v>
      </c>
      <c r="O574">
        <f>36-30.5</f>
        <v>5.5</v>
      </c>
      <c r="P574" t="s">
        <v>30</v>
      </c>
      <c r="R574" t="s">
        <v>89</v>
      </c>
      <c r="S574" s="4">
        <v>38.865589999999997</v>
      </c>
      <c r="T574" s="4">
        <v>-122.40558</v>
      </c>
      <c r="U574">
        <v>2107</v>
      </c>
      <c r="V574" s="6">
        <f t="shared" si="41"/>
        <v>642.21360000000004</v>
      </c>
      <c r="W574" s="2" t="s">
        <v>898</v>
      </c>
      <c r="X574" s="2" t="s">
        <v>2380</v>
      </c>
      <c r="Y574" s="2" t="s">
        <v>304</v>
      </c>
      <c r="AA574" t="s">
        <v>1235</v>
      </c>
      <c r="AJ574" s="41">
        <v>0</v>
      </c>
      <c r="AL574">
        <f t="shared" si="38"/>
        <v>0</v>
      </c>
      <c r="AM574">
        <f t="shared" si="39"/>
        <v>0</v>
      </c>
      <c r="AN574">
        <f t="shared" si="40"/>
        <v>0</v>
      </c>
    </row>
    <row r="575" spans="1:40" x14ac:dyDescent="0.2">
      <c r="A575" s="2">
        <v>59</v>
      </c>
      <c r="B575" t="s">
        <v>1447</v>
      </c>
      <c r="C575" s="2">
        <v>0</v>
      </c>
      <c r="D575" s="2">
        <v>0</v>
      </c>
      <c r="E575" s="2">
        <v>0</v>
      </c>
      <c r="G575" s="2" t="s">
        <v>1186</v>
      </c>
      <c r="H575" s="2" t="s">
        <v>1191</v>
      </c>
      <c r="I575" s="2">
        <v>23</v>
      </c>
      <c r="J575" s="2" t="s">
        <v>1155</v>
      </c>
      <c r="K575">
        <v>2019</v>
      </c>
      <c r="L575" s="2" t="s">
        <v>691</v>
      </c>
      <c r="M575" t="s">
        <v>1173</v>
      </c>
      <c r="N575">
        <v>39</v>
      </c>
      <c r="O575">
        <f>58-48.5</f>
        <v>9.5</v>
      </c>
      <c r="P575" t="s">
        <v>30</v>
      </c>
      <c r="R575" t="s">
        <v>89</v>
      </c>
      <c r="S575" s="4">
        <v>38.865600000000001</v>
      </c>
      <c r="T575" s="4">
        <v>122.4057</v>
      </c>
      <c r="U575">
        <v>2111</v>
      </c>
      <c r="V575" s="6">
        <f t="shared" si="41"/>
        <v>643.43280000000004</v>
      </c>
      <c r="W575" s="2" t="s">
        <v>898</v>
      </c>
      <c r="X575" s="2" t="s">
        <v>2380</v>
      </c>
      <c r="Y575" s="2" t="s">
        <v>65</v>
      </c>
      <c r="AA575" t="s">
        <v>1746</v>
      </c>
      <c r="AJ575" s="41">
        <v>0</v>
      </c>
      <c r="AL575">
        <f t="shared" si="38"/>
        <v>0</v>
      </c>
      <c r="AM575">
        <f t="shared" si="39"/>
        <v>0</v>
      </c>
      <c r="AN575">
        <f t="shared" si="40"/>
        <v>0</v>
      </c>
    </row>
    <row r="576" spans="1:40" x14ac:dyDescent="0.2">
      <c r="A576" s="2">
        <v>59</v>
      </c>
      <c r="B576" t="s">
        <v>1448</v>
      </c>
      <c r="C576" s="2">
        <v>0</v>
      </c>
      <c r="D576" s="2">
        <v>0</v>
      </c>
      <c r="E576" s="2">
        <v>0</v>
      </c>
      <c r="G576" s="2" t="s">
        <v>1186</v>
      </c>
      <c r="H576" s="2" t="s">
        <v>1191</v>
      </c>
      <c r="I576" s="2">
        <v>23</v>
      </c>
      <c r="J576" s="2" t="s">
        <v>1155</v>
      </c>
      <c r="K576">
        <v>2019</v>
      </c>
      <c r="L576" s="2" t="s">
        <v>691</v>
      </c>
      <c r="M576" t="s">
        <v>1173</v>
      </c>
      <c r="N576">
        <v>35.5</v>
      </c>
      <c r="O576">
        <f>27.5-22</f>
        <v>5.5</v>
      </c>
      <c r="P576" t="s">
        <v>37</v>
      </c>
      <c r="R576" t="s">
        <v>89</v>
      </c>
      <c r="S576" s="4">
        <v>38.865589999999997</v>
      </c>
      <c r="T576" s="4">
        <v>-122.40558</v>
      </c>
      <c r="U576">
        <v>2107</v>
      </c>
      <c r="V576" s="6">
        <f t="shared" si="41"/>
        <v>642.21360000000004</v>
      </c>
      <c r="W576" s="2" t="s">
        <v>898</v>
      </c>
      <c r="X576" s="2" t="s">
        <v>2380</v>
      </c>
      <c r="Y576" s="2" t="s">
        <v>754</v>
      </c>
      <c r="AA576" t="s">
        <v>1747</v>
      </c>
      <c r="AJ576" s="41">
        <v>0</v>
      </c>
      <c r="AL576">
        <f t="shared" si="38"/>
        <v>0</v>
      </c>
      <c r="AM576">
        <f t="shared" si="39"/>
        <v>0</v>
      </c>
      <c r="AN576">
        <f t="shared" si="40"/>
        <v>0</v>
      </c>
    </row>
    <row r="577" spans="1:40" x14ac:dyDescent="0.2">
      <c r="A577" s="2">
        <v>59</v>
      </c>
      <c r="B577" t="s">
        <v>1449</v>
      </c>
      <c r="C577" s="2">
        <v>0</v>
      </c>
      <c r="D577" s="2">
        <v>0</v>
      </c>
      <c r="E577" s="2">
        <v>0</v>
      </c>
      <c r="G577" s="2" t="s">
        <v>1186</v>
      </c>
      <c r="H577" s="2" t="s">
        <v>1191</v>
      </c>
      <c r="I577" s="2">
        <v>23</v>
      </c>
      <c r="J577" s="2" t="s">
        <v>1155</v>
      </c>
      <c r="K577">
        <v>2019</v>
      </c>
      <c r="L577" s="2" t="s">
        <v>691</v>
      </c>
      <c r="M577" t="s">
        <v>1173</v>
      </c>
      <c r="N577">
        <v>33.5</v>
      </c>
      <c r="O577">
        <v>5</v>
      </c>
      <c r="P577" t="s">
        <v>30</v>
      </c>
      <c r="R577" t="s">
        <v>89</v>
      </c>
      <c r="S577" s="4">
        <v>38.865589999999997</v>
      </c>
      <c r="T577" s="4">
        <v>-122.40558</v>
      </c>
      <c r="U577">
        <v>2107</v>
      </c>
      <c r="V577" s="6">
        <f t="shared" si="41"/>
        <v>642.21360000000004</v>
      </c>
      <c r="W577" s="2" t="s">
        <v>898</v>
      </c>
      <c r="X577" s="2" t="s">
        <v>2380</v>
      </c>
      <c r="Y577" s="2" t="s">
        <v>754</v>
      </c>
      <c r="AA577" t="s">
        <v>1748</v>
      </c>
      <c r="AJ577" s="41">
        <v>0</v>
      </c>
      <c r="AL577">
        <f t="shared" si="38"/>
        <v>0</v>
      </c>
      <c r="AM577">
        <f t="shared" si="39"/>
        <v>0</v>
      </c>
      <c r="AN577">
        <f t="shared" si="40"/>
        <v>0</v>
      </c>
    </row>
    <row r="578" spans="1:40" x14ac:dyDescent="0.2">
      <c r="A578" s="2">
        <v>59</v>
      </c>
      <c r="B578" t="s">
        <v>1450</v>
      </c>
      <c r="C578" s="2">
        <v>0</v>
      </c>
      <c r="D578" s="2">
        <v>0</v>
      </c>
      <c r="E578" s="2">
        <v>0</v>
      </c>
      <c r="G578" s="2" t="s">
        <v>1186</v>
      </c>
      <c r="H578" s="2" t="s">
        <v>1191</v>
      </c>
      <c r="I578" s="2">
        <v>23</v>
      </c>
      <c r="J578" s="2" t="s">
        <v>1155</v>
      </c>
      <c r="K578">
        <v>2019</v>
      </c>
      <c r="L578" s="2" t="s">
        <v>691</v>
      </c>
      <c r="M578" t="s">
        <v>1173</v>
      </c>
      <c r="N578">
        <v>34.5</v>
      </c>
      <c r="O578">
        <f>40.5-34.5</f>
        <v>6</v>
      </c>
      <c r="P578" t="s">
        <v>30</v>
      </c>
      <c r="R578" t="s">
        <v>89</v>
      </c>
      <c r="S578" s="4">
        <v>38.865589999999997</v>
      </c>
      <c r="T578" s="4">
        <v>-122.40558</v>
      </c>
      <c r="U578">
        <v>2107</v>
      </c>
      <c r="V578" s="6">
        <f t="shared" si="41"/>
        <v>642.21360000000004</v>
      </c>
      <c r="W578" s="2" t="s">
        <v>898</v>
      </c>
      <c r="X578" s="2" t="s">
        <v>2380</v>
      </c>
      <c r="Y578" s="2" t="s">
        <v>63</v>
      </c>
      <c r="AA578" t="s">
        <v>1749</v>
      </c>
      <c r="AJ578" s="41">
        <v>0</v>
      </c>
      <c r="AL578">
        <f t="shared" si="38"/>
        <v>0</v>
      </c>
      <c r="AM578">
        <f t="shared" si="39"/>
        <v>0</v>
      </c>
      <c r="AN578">
        <f t="shared" si="40"/>
        <v>0</v>
      </c>
    </row>
    <row r="579" spans="1:40" x14ac:dyDescent="0.2">
      <c r="A579" s="2">
        <v>59</v>
      </c>
      <c r="B579" t="s">
        <v>1451</v>
      </c>
      <c r="C579" s="2">
        <v>0</v>
      </c>
      <c r="D579" s="2">
        <v>0</v>
      </c>
      <c r="E579" s="2">
        <v>0</v>
      </c>
      <c r="G579" s="2" t="s">
        <v>1186</v>
      </c>
      <c r="H579" s="2" t="s">
        <v>1191</v>
      </c>
      <c r="I579" s="2">
        <v>23</v>
      </c>
      <c r="J579" s="2" t="s">
        <v>1155</v>
      </c>
      <c r="K579">
        <v>2019</v>
      </c>
      <c r="L579" s="2" t="s">
        <v>691</v>
      </c>
      <c r="M579" t="s">
        <v>1173</v>
      </c>
      <c r="N579">
        <v>36</v>
      </c>
      <c r="O579">
        <f>34-27</f>
        <v>7</v>
      </c>
      <c r="P579" t="s">
        <v>30</v>
      </c>
      <c r="R579" t="s">
        <v>89</v>
      </c>
      <c r="S579" s="4">
        <v>38.865589999999997</v>
      </c>
      <c r="T579" s="4">
        <v>-122.40558</v>
      </c>
      <c r="U579">
        <v>2107</v>
      </c>
      <c r="V579" s="6">
        <f t="shared" si="41"/>
        <v>642.21360000000004</v>
      </c>
      <c r="W579" s="2" t="s">
        <v>898</v>
      </c>
      <c r="X579" s="2" t="s">
        <v>2380</v>
      </c>
      <c r="Y579" s="2" t="s">
        <v>742</v>
      </c>
      <c r="AA579" t="s">
        <v>1750</v>
      </c>
      <c r="AJ579" s="41">
        <v>0</v>
      </c>
      <c r="AL579">
        <f t="shared" si="38"/>
        <v>0</v>
      </c>
      <c r="AM579">
        <f t="shared" si="39"/>
        <v>0</v>
      </c>
      <c r="AN579">
        <f t="shared" si="40"/>
        <v>0</v>
      </c>
    </row>
    <row r="580" spans="1:40" x14ac:dyDescent="0.2">
      <c r="A580" s="2">
        <v>59</v>
      </c>
      <c r="B580" t="s">
        <v>1452</v>
      </c>
      <c r="C580" s="2">
        <v>0</v>
      </c>
      <c r="D580" s="2">
        <v>0</v>
      </c>
      <c r="E580" s="2">
        <v>0</v>
      </c>
      <c r="G580" s="2" t="s">
        <v>1186</v>
      </c>
      <c r="H580" s="2" t="s">
        <v>1191</v>
      </c>
      <c r="I580" s="2">
        <v>23</v>
      </c>
      <c r="J580" s="2" t="s">
        <v>1155</v>
      </c>
      <c r="K580">
        <v>2019</v>
      </c>
      <c r="L580" s="2" t="s">
        <v>691</v>
      </c>
      <c r="M580" t="s">
        <v>1173</v>
      </c>
      <c r="N580">
        <v>33</v>
      </c>
      <c r="O580">
        <f>24-19.5</f>
        <v>4.5</v>
      </c>
      <c r="P580" t="s">
        <v>30</v>
      </c>
      <c r="R580" t="s">
        <v>89</v>
      </c>
      <c r="S580" s="4">
        <v>38.865589999999997</v>
      </c>
      <c r="T580" s="4">
        <v>-122.40558</v>
      </c>
      <c r="U580">
        <v>2107</v>
      </c>
      <c r="V580" s="6">
        <f t="shared" si="41"/>
        <v>642.21360000000004</v>
      </c>
      <c r="W580" s="2" t="s">
        <v>898</v>
      </c>
      <c r="X580" s="2" t="s">
        <v>2380</v>
      </c>
      <c r="Y580" s="2" t="s">
        <v>1088</v>
      </c>
      <c r="AA580" t="s">
        <v>1751</v>
      </c>
      <c r="AJ580" s="41">
        <v>0</v>
      </c>
      <c r="AL580">
        <f t="shared" si="38"/>
        <v>0</v>
      </c>
      <c r="AM580">
        <f t="shared" si="39"/>
        <v>0</v>
      </c>
      <c r="AN580">
        <f t="shared" si="40"/>
        <v>0</v>
      </c>
    </row>
    <row r="581" spans="1:40" x14ac:dyDescent="0.2">
      <c r="A581" s="2">
        <v>59</v>
      </c>
      <c r="B581" t="s">
        <v>1453</v>
      </c>
      <c r="C581" s="2">
        <v>0</v>
      </c>
      <c r="D581" s="2">
        <v>0</v>
      </c>
      <c r="E581" s="2">
        <v>0</v>
      </c>
      <c r="G581" s="2" t="s">
        <v>1186</v>
      </c>
      <c r="H581" s="2" t="s">
        <v>1191</v>
      </c>
      <c r="I581" s="2">
        <v>23</v>
      </c>
      <c r="J581" s="2" t="s">
        <v>1155</v>
      </c>
      <c r="K581">
        <v>2019</v>
      </c>
      <c r="L581" s="2" t="s">
        <v>691</v>
      </c>
      <c r="M581" t="s">
        <v>1173</v>
      </c>
      <c r="N581">
        <v>34</v>
      </c>
      <c r="O581">
        <f>42-37</f>
        <v>5</v>
      </c>
      <c r="P581" t="s">
        <v>30</v>
      </c>
      <c r="R581" t="s">
        <v>89</v>
      </c>
      <c r="S581" s="4">
        <v>38.865589999999997</v>
      </c>
      <c r="T581" s="4">
        <v>-122.40558</v>
      </c>
      <c r="U581">
        <v>2107</v>
      </c>
      <c r="V581" s="6">
        <f t="shared" si="41"/>
        <v>642.21360000000004</v>
      </c>
      <c r="W581" s="2" t="s">
        <v>898</v>
      </c>
      <c r="X581" s="2" t="s">
        <v>2380</v>
      </c>
      <c r="Y581" s="2" t="s">
        <v>816</v>
      </c>
      <c r="AA581" t="s">
        <v>1752</v>
      </c>
      <c r="AJ581" s="41">
        <v>0</v>
      </c>
      <c r="AL581">
        <f t="shared" si="38"/>
        <v>0</v>
      </c>
      <c r="AM581">
        <f t="shared" si="39"/>
        <v>0</v>
      </c>
      <c r="AN581">
        <f t="shared" si="40"/>
        <v>0</v>
      </c>
    </row>
    <row r="582" spans="1:40" x14ac:dyDescent="0.2">
      <c r="A582" s="2">
        <v>59</v>
      </c>
      <c r="B582" t="s">
        <v>1454</v>
      </c>
      <c r="C582" s="2">
        <v>0</v>
      </c>
      <c r="D582" s="2">
        <v>0</v>
      </c>
      <c r="E582" s="2">
        <v>0</v>
      </c>
      <c r="G582" s="2" t="s">
        <v>1186</v>
      </c>
      <c r="H582" s="2" t="s">
        <v>1191</v>
      </c>
      <c r="I582" s="2">
        <v>23</v>
      </c>
      <c r="J582" s="2" t="s">
        <v>1155</v>
      </c>
      <c r="K582">
        <v>2019</v>
      </c>
      <c r="L582" s="2" t="s">
        <v>691</v>
      </c>
      <c r="M582" t="s">
        <v>1173</v>
      </c>
      <c r="N582">
        <v>32</v>
      </c>
      <c r="O582">
        <f>52.5-47.5</f>
        <v>5</v>
      </c>
      <c r="P582" t="s">
        <v>37</v>
      </c>
      <c r="R582" t="s">
        <v>89</v>
      </c>
      <c r="S582" s="4">
        <v>38.86562</v>
      </c>
      <c r="T582" s="4">
        <v>-122.40569000000001</v>
      </c>
      <c r="U582">
        <v>2112</v>
      </c>
      <c r="V582" s="6">
        <f t="shared" si="41"/>
        <v>643.73760000000004</v>
      </c>
      <c r="W582" s="2" t="s">
        <v>898</v>
      </c>
      <c r="X582" s="2" t="s">
        <v>2380</v>
      </c>
      <c r="Y582" s="2" t="s">
        <v>73</v>
      </c>
      <c r="AA582" t="s">
        <v>1753</v>
      </c>
      <c r="AJ582" s="41">
        <v>0</v>
      </c>
      <c r="AL582">
        <f t="shared" si="38"/>
        <v>0</v>
      </c>
      <c r="AM582">
        <f t="shared" si="39"/>
        <v>0</v>
      </c>
      <c r="AN582">
        <f t="shared" si="40"/>
        <v>0</v>
      </c>
    </row>
    <row r="583" spans="1:40" x14ac:dyDescent="0.2">
      <c r="A583" s="2">
        <v>59</v>
      </c>
      <c r="B583" t="s">
        <v>1455</v>
      </c>
      <c r="C583" s="2">
        <v>0</v>
      </c>
      <c r="D583" s="2">
        <v>0</v>
      </c>
      <c r="E583" s="2">
        <v>0</v>
      </c>
      <c r="G583" s="2" t="s">
        <v>1186</v>
      </c>
      <c r="H583" s="2" t="s">
        <v>1191</v>
      </c>
      <c r="I583" s="2">
        <v>23</v>
      </c>
      <c r="J583" s="2" t="s">
        <v>1155</v>
      </c>
      <c r="K583">
        <v>2019</v>
      </c>
      <c r="L583" s="2" t="s">
        <v>691</v>
      </c>
      <c r="M583" t="s">
        <v>1173</v>
      </c>
      <c r="N583">
        <v>38.5</v>
      </c>
      <c r="O583">
        <f>34-27</f>
        <v>7</v>
      </c>
      <c r="P583" t="s">
        <v>30</v>
      </c>
      <c r="R583" t="s">
        <v>89</v>
      </c>
      <c r="S583" s="4">
        <v>38.86562</v>
      </c>
      <c r="T583" s="4">
        <v>-122.40569000000001</v>
      </c>
      <c r="U583">
        <v>2112</v>
      </c>
      <c r="V583" s="6">
        <f t="shared" si="41"/>
        <v>643.73760000000004</v>
      </c>
      <c r="W583" s="2" t="s">
        <v>898</v>
      </c>
      <c r="X583" s="2" t="s">
        <v>2380</v>
      </c>
      <c r="Y583" s="2" t="s">
        <v>1597</v>
      </c>
      <c r="AA583" t="s">
        <v>1754</v>
      </c>
      <c r="AJ583" s="41">
        <v>0</v>
      </c>
      <c r="AL583">
        <f t="shared" si="38"/>
        <v>0</v>
      </c>
      <c r="AM583">
        <f t="shared" si="39"/>
        <v>0</v>
      </c>
      <c r="AN583">
        <f t="shared" si="40"/>
        <v>0</v>
      </c>
    </row>
    <row r="584" spans="1:40" x14ac:dyDescent="0.2">
      <c r="A584" s="2">
        <v>59</v>
      </c>
      <c r="B584" t="s">
        <v>1456</v>
      </c>
      <c r="C584" s="2">
        <v>0</v>
      </c>
      <c r="D584" s="2">
        <v>0</v>
      </c>
      <c r="E584" s="2">
        <v>0</v>
      </c>
      <c r="G584" s="2" t="s">
        <v>1186</v>
      </c>
      <c r="H584" s="2" t="s">
        <v>1191</v>
      </c>
      <c r="I584" s="2">
        <v>23</v>
      </c>
      <c r="J584" s="2" t="s">
        <v>1155</v>
      </c>
      <c r="K584">
        <v>2019</v>
      </c>
      <c r="L584" s="2" t="s">
        <v>137</v>
      </c>
      <c r="M584" t="s">
        <v>1173</v>
      </c>
      <c r="N584">
        <v>23</v>
      </c>
      <c r="O584">
        <f>20.5-19.5</f>
        <v>1</v>
      </c>
      <c r="P584" t="s">
        <v>37</v>
      </c>
      <c r="R584" s="45" t="s">
        <v>39</v>
      </c>
      <c r="S584" s="4">
        <v>38.86589</v>
      </c>
      <c r="T584" s="4">
        <v>-122.40581</v>
      </c>
      <c r="U584">
        <v>2113</v>
      </c>
      <c r="V584" s="6">
        <f t="shared" si="41"/>
        <v>644.04240000000004</v>
      </c>
      <c r="W584" s="2" t="s">
        <v>898</v>
      </c>
      <c r="X584" s="2" t="s">
        <v>2380</v>
      </c>
      <c r="Y584" s="2" t="s">
        <v>1597</v>
      </c>
      <c r="AA584" t="s">
        <v>1755</v>
      </c>
      <c r="AJ584" s="41">
        <v>0</v>
      </c>
      <c r="AL584">
        <f t="shared" si="38"/>
        <v>0</v>
      </c>
      <c r="AM584">
        <f t="shared" si="39"/>
        <v>0</v>
      </c>
      <c r="AN584">
        <f t="shared" si="40"/>
        <v>0</v>
      </c>
    </row>
    <row r="585" spans="1:40" x14ac:dyDescent="0.2">
      <c r="A585" s="2">
        <v>59</v>
      </c>
      <c r="B585" t="s">
        <v>1457</v>
      </c>
      <c r="C585" s="2">
        <v>0</v>
      </c>
      <c r="D585" s="2">
        <v>0</v>
      </c>
      <c r="E585" s="2">
        <v>0</v>
      </c>
      <c r="G585" s="2" t="s">
        <v>1186</v>
      </c>
      <c r="H585" s="2" t="s">
        <v>1191</v>
      </c>
      <c r="I585" s="2">
        <v>23</v>
      </c>
      <c r="J585" s="2" t="s">
        <v>1155</v>
      </c>
      <c r="K585">
        <v>2019</v>
      </c>
      <c r="L585" s="2" t="s">
        <v>691</v>
      </c>
      <c r="M585" t="s">
        <v>1173</v>
      </c>
      <c r="N585">
        <v>35</v>
      </c>
      <c r="O585">
        <f>29.5-24</f>
        <v>5.5</v>
      </c>
      <c r="P585" t="s">
        <v>30</v>
      </c>
      <c r="R585" t="s">
        <v>89</v>
      </c>
      <c r="S585" s="4">
        <v>38.86562</v>
      </c>
      <c r="T585" s="4">
        <v>-122.40569000000001</v>
      </c>
      <c r="U585">
        <v>2112</v>
      </c>
      <c r="V585" s="6">
        <f t="shared" si="41"/>
        <v>643.73760000000004</v>
      </c>
      <c r="W585" s="2" t="s">
        <v>898</v>
      </c>
      <c r="X585" s="2" t="s">
        <v>2380</v>
      </c>
      <c r="Y585" s="2" t="s">
        <v>121</v>
      </c>
      <c r="AA585" t="s">
        <v>1756</v>
      </c>
      <c r="AJ585" s="41">
        <v>0</v>
      </c>
      <c r="AL585">
        <f t="shared" si="38"/>
        <v>0</v>
      </c>
      <c r="AM585">
        <f t="shared" si="39"/>
        <v>0</v>
      </c>
      <c r="AN585">
        <f t="shared" si="40"/>
        <v>0</v>
      </c>
    </row>
    <row r="586" spans="1:40" x14ac:dyDescent="0.2">
      <c r="A586" s="2">
        <v>59</v>
      </c>
      <c r="B586" t="s">
        <v>1458</v>
      </c>
      <c r="C586" s="2">
        <v>0</v>
      </c>
      <c r="D586" s="2">
        <v>0</v>
      </c>
      <c r="E586" s="2">
        <v>0</v>
      </c>
      <c r="G586" s="2" t="s">
        <v>1186</v>
      </c>
      <c r="H586" s="2" t="s">
        <v>1191</v>
      </c>
      <c r="I586" s="2">
        <v>23</v>
      </c>
      <c r="J586" s="2" t="s">
        <v>1155</v>
      </c>
      <c r="K586">
        <v>2019</v>
      </c>
      <c r="L586" s="2" t="s">
        <v>137</v>
      </c>
      <c r="M586" t="s">
        <v>1173</v>
      </c>
      <c r="N586">
        <v>36</v>
      </c>
      <c r="O586">
        <f>38.5-34</f>
        <v>4.5</v>
      </c>
      <c r="P586" t="s">
        <v>30</v>
      </c>
      <c r="R586" s="45" t="s">
        <v>39</v>
      </c>
      <c r="S586" s="4">
        <v>38.866050000000001</v>
      </c>
      <c r="T586" s="4">
        <v>-122.4058</v>
      </c>
      <c r="U586">
        <v>2115</v>
      </c>
      <c r="V586" s="6">
        <f t="shared" si="41"/>
        <v>644.65200000000004</v>
      </c>
      <c r="W586" s="2" t="s">
        <v>898</v>
      </c>
      <c r="X586" s="2" t="s">
        <v>2380</v>
      </c>
      <c r="Y586" s="2" t="s">
        <v>587</v>
      </c>
      <c r="AA586" t="s">
        <v>1757</v>
      </c>
      <c r="AJ586" s="41">
        <v>0</v>
      </c>
      <c r="AL586">
        <f t="shared" si="38"/>
        <v>0</v>
      </c>
      <c r="AM586">
        <f t="shared" si="39"/>
        <v>0</v>
      </c>
      <c r="AN586">
        <f t="shared" si="40"/>
        <v>0</v>
      </c>
    </row>
    <row r="587" spans="1:40" x14ac:dyDescent="0.2">
      <c r="A587" s="2">
        <v>59</v>
      </c>
      <c r="B587" t="s">
        <v>1459</v>
      </c>
      <c r="C587" s="2">
        <v>0</v>
      </c>
      <c r="D587" s="2">
        <v>0</v>
      </c>
      <c r="E587" s="2">
        <v>0</v>
      </c>
      <c r="G587" s="2" t="s">
        <v>1186</v>
      </c>
      <c r="H587" s="2" t="s">
        <v>1191</v>
      </c>
      <c r="I587" s="2">
        <v>23</v>
      </c>
      <c r="J587" s="2" t="s">
        <v>1155</v>
      </c>
      <c r="K587">
        <v>2019</v>
      </c>
      <c r="L587" s="2" t="s">
        <v>137</v>
      </c>
      <c r="M587" t="s">
        <v>1173</v>
      </c>
      <c r="N587">
        <v>23</v>
      </c>
      <c r="O587">
        <f>25.5-24</f>
        <v>1.5</v>
      </c>
      <c r="P587" t="s">
        <v>37</v>
      </c>
      <c r="R587" s="45" t="s">
        <v>39</v>
      </c>
      <c r="S587" s="4">
        <v>38.86591</v>
      </c>
      <c r="T587" s="4">
        <v>-122.40582999999999</v>
      </c>
      <c r="U587">
        <v>2115</v>
      </c>
      <c r="V587" s="6">
        <f t="shared" si="41"/>
        <v>644.65200000000004</v>
      </c>
      <c r="W587" s="2" t="s">
        <v>898</v>
      </c>
      <c r="X587" s="2" t="s">
        <v>2380</v>
      </c>
      <c r="Y587" s="2" t="s">
        <v>693</v>
      </c>
      <c r="AA587" t="s">
        <v>1758</v>
      </c>
      <c r="AJ587" s="41">
        <v>0</v>
      </c>
      <c r="AL587">
        <f t="shared" si="38"/>
        <v>0</v>
      </c>
      <c r="AM587">
        <f t="shared" si="39"/>
        <v>0</v>
      </c>
      <c r="AN587">
        <f t="shared" si="40"/>
        <v>0</v>
      </c>
    </row>
    <row r="588" spans="1:40" x14ac:dyDescent="0.2">
      <c r="A588" s="2">
        <v>60</v>
      </c>
      <c r="B588" t="s">
        <v>1460</v>
      </c>
      <c r="C588" s="2">
        <v>1.5873668598942459E-4</v>
      </c>
      <c r="D588" s="2">
        <v>0</v>
      </c>
      <c r="E588" s="2">
        <v>0</v>
      </c>
      <c r="G588" s="2" t="s">
        <v>1186</v>
      </c>
      <c r="H588" s="2" t="s">
        <v>1191</v>
      </c>
      <c r="I588" s="2">
        <v>26</v>
      </c>
      <c r="J588" s="2" t="s">
        <v>1155</v>
      </c>
      <c r="K588">
        <v>2019</v>
      </c>
      <c r="L588" s="2" t="s">
        <v>137</v>
      </c>
      <c r="M588" t="s">
        <v>1759</v>
      </c>
      <c r="N588">
        <v>26</v>
      </c>
      <c r="P588" t="s">
        <v>37</v>
      </c>
      <c r="Q588" t="s">
        <v>42</v>
      </c>
      <c r="R588" t="s">
        <v>39</v>
      </c>
      <c r="S588" s="4">
        <v>38.284460000000003</v>
      </c>
      <c r="T588" s="4">
        <v>-121.82334</v>
      </c>
      <c r="U588">
        <v>30</v>
      </c>
      <c r="V588" s="6">
        <f t="shared" si="41"/>
        <v>9.1440000000000001</v>
      </c>
      <c r="W588" s="2" t="s">
        <v>31</v>
      </c>
      <c r="X588" s="2" t="s">
        <v>2381</v>
      </c>
      <c r="Y588" s="2" t="s">
        <v>249</v>
      </c>
      <c r="Z588" t="s">
        <v>1767</v>
      </c>
      <c r="AA588" t="s">
        <v>1760</v>
      </c>
      <c r="AB588">
        <v>37.5</v>
      </c>
      <c r="AC588">
        <v>16.600000000000001</v>
      </c>
      <c r="AF588">
        <v>79</v>
      </c>
      <c r="AG588">
        <v>21</v>
      </c>
      <c r="AJ588" s="41">
        <v>0</v>
      </c>
      <c r="AL588">
        <f t="shared" si="38"/>
        <v>1.2698934879153967E-2</v>
      </c>
      <c r="AM588">
        <f t="shared" si="39"/>
        <v>0</v>
      </c>
      <c r="AN588">
        <f t="shared" si="40"/>
        <v>0</v>
      </c>
    </row>
    <row r="589" spans="1:40" x14ac:dyDescent="0.2">
      <c r="A589" s="2">
        <v>60</v>
      </c>
      <c r="B589" t="s">
        <v>1461</v>
      </c>
      <c r="C589" s="2">
        <v>1.8609051704406738</v>
      </c>
      <c r="D589" s="2">
        <v>2.4099404811859131</v>
      </c>
      <c r="E589" s="2">
        <v>2.1901705269999998</v>
      </c>
      <c r="G589" s="2" t="s">
        <v>1186</v>
      </c>
      <c r="H589" s="2" t="s">
        <v>1191</v>
      </c>
      <c r="I589" s="2">
        <v>26</v>
      </c>
      <c r="J589" s="2" t="s">
        <v>1155</v>
      </c>
      <c r="K589">
        <v>2019</v>
      </c>
      <c r="L589" s="2" t="s">
        <v>137</v>
      </c>
      <c r="M589" t="s">
        <v>1759</v>
      </c>
      <c r="N589">
        <v>26.5</v>
      </c>
      <c r="P589" t="s">
        <v>30</v>
      </c>
      <c r="Q589" t="s">
        <v>42</v>
      </c>
      <c r="R589" t="s">
        <v>39</v>
      </c>
      <c r="S589" s="4">
        <v>38.284289999999999</v>
      </c>
      <c r="T589" s="4">
        <v>-121.8235</v>
      </c>
      <c r="U589">
        <v>7</v>
      </c>
      <c r="V589" s="6">
        <f t="shared" si="41"/>
        <v>2.1335999999999999</v>
      </c>
      <c r="W589" s="2" t="s">
        <v>31</v>
      </c>
      <c r="X589" s="2" t="s">
        <v>2381</v>
      </c>
      <c r="Y589" s="2" t="s">
        <v>1105</v>
      </c>
      <c r="Z589" t="s">
        <v>1767</v>
      </c>
      <c r="AA589" t="s">
        <v>1761</v>
      </c>
      <c r="AB589">
        <v>37.5</v>
      </c>
      <c r="AC589">
        <v>16.600000000000001</v>
      </c>
      <c r="AF589">
        <v>79</v>
      </c>
      <c r="AG589">
        <v>21</v>
      </c>
      <c r="AJ589" s="41">
        <v>0</v>
      </c>
      <c r="AL589">
        <f t="shared" ref="AL589:AL652" si="42">C589*80</f>
        <v>148.87241363525391</v>
      </c>
      <c r="AM589">
        <f t="shared" ref="AM589:AM652" si="43">D589*80</f>
        <v>192.79523849487305</v>
      </c>
      <c r="AN589">
        <f t="shared" ref="AN589:AN652" si="44">E589*80</f>
        <v>175.21364215999998</v>
      </c>
    </row>
    <row r="590" spans="1:40" x14ac:dyDescent="0.2">
      <c r="A590" s="2">
        <v>61</v>
      </c>
      <c r="B590" t="s">
        <v>1462</v>
      </c>
      <c r="C590" s="2">
        <v>0</v>
      </c>
      <c r="D590" s="2">
        <v>0</v>
      </c>
      <c r="E590" s="2">
        <v>0</v>
      </c>
      <c r="G590" s="2" t="s">
        <v>1186</v>
      </c>
      <c r="H590" s="2" t="s">
        <v>1191</v>
      </c>
      <c r="I590" s="2">
        <v>27</v>
      </c>
      <c r="J590" s="2" t="s">
        <v>1155</v>
      </c>
      <c r="K590">
        <v>2019</v>
      </c>
      <c r="L590" s="2" t="s">
        <v>137</v>
      </c>
      <c r="M590" t="s">
        <v>1759</v>
      </c>
      <c r="N590">
        <v>22</v>
      </c>
      <c r="P590" t="s">
        <v>37</v>
      </c>
      <c r="Q590" t="s">
        <v>42</v>
      </c>
      <c r="R590" t="s">
        <v>39</v>
      </c>
      <c r="S590" s="4">
        <v>38.284280000000003</v>
      </c>
      <c r="T590" s="4">
        <v>-121.82357</v>
      </c>
      <c r="U590">
        <v>41</v>
      </c>
      <c r="V590" s="6">
        <f t="shared" si="41"/>
        <v>12.4968</v>
      </c>
      <c r="W590" s="2" t="s">
        <v>31</v>
      </c>
      <c r="X590" s="2" t="s">
        <v>2381</v>
      </c>
      <c r="Y590" s="2" t="s">
        <v>159</v>
      </c>
      <c r="Z590" t="s">
        <v>1767</v>
      </c>
      <c r="AA590" t="s">
        <v>1762</v>
      </c>
      <c r="AB590" s="2">
        <v>36.1</v>
      </c>
      <c r="AC590" s="2">
        <v>17.100000000000001</v>
      </c>
      <c r="AF590">
        <v>72</v>
      </c>
      <c r="AG590">
        <v>17</v>
      </c>
      <c r="AJ590" s="41">
        <v>0</v>
      </c>
      <c r="AL590">
        <f t="shared" si="42"/>
        <v>0</v>
      </c>
      <c r="AM590">
        <f t="shared" si="43"/>
        <v>0</v>
      </c>
      <c r="AN590">
        <f t="shared" si="44"/>
        <v>0</v>
      </c>
    </row>
    <row r="591" spans="1:40" x14ac:dyDescent="0.2">
      <c r="A591" s="2">
        <v>61</v>
      </c>
      <c r="B591" t="s">
        <v>1463</v>
      </c>
      <c r="C591" s="2">
        <v>0</v>
      </c>
      <c r="D591" s="2">
        <v>0</v>
      </c>
      <c r="E591" s="2">
        <v>0</v>
      </c>
      <c r="G591" s="2" t="s">
        <v>1186</v>
      </c>
      <c r="H591" s="2" t="s">
        <v>1191</v>
      </c>
      <c r="I591" s="2">
        <v>27</v>
      </c>
      <c r="J591" s="2" t="s">
        <v>1155</v>
      </c>
      <c r="K591">
        <v>2019</v>
      </c>
      <c r="L591" s="2" t="s">
        <v>137</v>
      </c>
      <c r="M591" t="s">
        <v>1759</v>
      </c>
      <c r="N591">
        <v>23</v>
      </c>
      <c r="P591" t="s">
        <v>37</v>
      </c>
      <c r="Q591" t="s">
        <v>42</v>
      </c>
      <c r="R591" t="s">
        <v>39</v>
      </c>
      <c r="S591" s="4">
        <v>38.28434</v>
      </c>
      <c r="T591" s="4">
        <v>-121.82355</v>
      </c>
      <c r="U591">
        <v>0</v>
      </c>
      <c r="V591" s="6">
        <f t="shared" si="41"/>
        <v>0</v>
      </c>
      <c r="W591" s="2" t="s">
        <v>31</v>
      </c>
      <c r="X591" s="2" t="s">
        <v>2381</v>
      </c>
      <c r="Y591" s="2" t="s">
        <v>168</v>
      </c>
      <c r="Z591" t="s">
        <v>1767</v>
      </c>
      <c r="AA591" t="s">
        <v>1763</v>
      </c>
      <c r="AB591" s="2">
        <v>36.1</v>
      </c>
      <c r="AC591" s="2">
        <v>17.100000000000001</v>
      </c>
      <c r="AF591">
        <v>72</v>
      </c>
      <c r="AG591">
        <v>17</v>
      </c>
      <c r="AJ591" s="41">
        <v>0</v>
      </c>
      <c r="AL591">
        <f t="shared" si="42"/>
        <v>0</v>
      </c>
      <c r="AM591">
        <f t="shared" si="43"/>
        <v>0</v>
      </c>
      <c r="AN591">
        <f t="shared" si="44"/>
        <v>0</v>
      </c>
    </row>
    <row r="592" spans="1:40" x14ac:dyDescent="0.2">
      <c r="A592" s="2">
        <v>61</v>
      </c>
      <c r="B592" t="s">
        <v>1464</v>
      </c>
      <c r="C592" s="2">
        <v>0</v>
      </c>
      <c r="D592" s="2">
        <v>0</v>
      </c>
      <c r="E592" s="2">
        <v>0</v>
      </c>
      <c r="G592" s="2" t="s">
        <v>1186</v>
      </c>
      <c r="H592" s="2" t="s">
        <v>1191</v>
      </c>
      <c r="I592" s="2">
        <v>27</v>
      </c>
      <c r="J592" s="2" t="s">
        <v>1155</v>
      </c>
      <c r="K592">
        <v>2019</v>
      </c>
      <c r="L592" s="2" t="s">
        <v>137</v>
      </c>
      <c r="M592" t="s">
        <v>1759</v>
      </c>
      <c r="N592">
        <v>24</v>
      </c>
      <c r="P592" t="s">
        <v>37</v>
      </c>
      <c r="R592" s="45" t="s">
        <v>39</v>
      </c>
      <c r="S592" s="4">
        <v>38.284439999999996</v>
      </c>
      <c r="T592" s="4">
        <v>-121.82339</v>
      </c>
      <c r="U592">
        <v>21</v>
      </c>
      <c r="V592" s="6">
        <f t="shared" si="41"/>
        <v>6.4008000000000003</v>
      </c>
      <c r="W592" s="2" t="s">
        <v>31</v>
      </c>
      <c r="X592" s="2" t="s">
        <v>2381</v>
      </c>
      <c r="Y592" s="2" t="s">
        <v>47</v>
      </c>
      <c r="Z592" t="s">
        <v>1767</v>
      </c>
      <c r="AA592" t="s">
        <v>1764</v>
      </c>
      <c r="AB592" s="2">
        <v>36.1</v>
      </c>
      <c r="AC592" s="2">
        <v>17.100000000000001</v>
      </c>
      <c r="AF592">
        <v>72</v>
      </c>
      <c r="AG592">
        <v>17</v>
      </c>
      <c r="AJ592" s="41">
        <v>0</v>
      </c>
      <c r="AL592">
        <f t="shared" si="42"/>
        <v>0</v>
      </c>
      <c r="AM592">
        <f t="shared" si="43"/>
        <v>0</v>
      </c>
      <c r="AN592">
        <f t="shared" si="44"/>
        <v>0</v>
      </c>
    </row>
    <row r="593" spans="1:40" x14ac:dyDescent="0.2">
      <c r="A593" s="2">
        <v>61</v>
      </c>
      <c r="B593" t="s">
        <v>1465</v>
      </c>
      <c r="C593" s="2">
        <v>0</v>
      </c>
      <c r="D593" s="2">
        <v>0</v>
      </c>
      <c r="E593" s="2">
        <v>0</v>
      </c>
      <c r="G593" s="2" t="s">
        <v>1186</v>
      </c>
      <c r="H593" s="2" t="s">
        <v>1191</v>
      </c>
      <c r="I593" s="2">
        <v>27</v>
      </c>
      <c r="J593" s="2" t="s">
        <v>1155</v>
      </c>
      <c r="K593">
        <v>2019</v>
      </c>
      <c r="L593" s="2" t="s">
        <v>137</v>
      </c>
      <c r="M593" t="s">
        <v>1759</v>
      </c>
      <c r="N593">
        <v>23.5</v>
      </c>
      <c r="P593" t="s">
        <v>37</v>
      </c>
      <c r="R593" s="45" t="s">
        <v>39</v>
      </c>
      <c r="S593" s="4">
        <v>38.284210000000002</v>
      </c>
      <c r="T593" s="4">
        <v>-121.82281999999999</v>
      </c>
      <c r="U593">
        <v>6</v>
      </c>
      <c r="V593" s="6">
        <f t="shared" si="41"/>
        <v>1.8288000000000002</v>
      </c>
      <c r="W593" s="2" t="s">
        <v>31</v>
      </c>
      <c r="X593" s="2" t="s">
        <v>2381</v>
      </c>
      <c r="Y593" s="2" t="s">
        <v>461</v>
      </c>
      <c r="Z593" t="s">
        <v>1767</v>
      </c>
      <c r="AA593" t="s">
        <v>1765</v>
      </c>
      <c r="AB593" s="2">
        <v>36.1</v>
      </c>
      <c r="AC593" s="2">
        <v>17.100000000000001</v>
      </c>
      <c r="AF593">
        <v>72</v>
      </c>
      <c r="AG593">
        <v>17</v>
      </c>
      <c r="AJ593" s="41">
        <v>0</v>
      </c>
      <c r="AL593">
        <f t="shared" si="42"/>
        <v>0</v>
      </c>
      <c r="AM593">
        <f t="shared" si="43"/>
        <v>0</v>
      </c>
      <c r="AN593">
        <f t="shared" si="44"/>
        <v>0</v>
      </c>
    </row>
    <row r="594" spans="1:40" x14ac:dyDescent="0.2">
      <c r="A594" s="2">
        <v>61</v>
      </c>
      <c r="B594" t="s">
        <v>1466</v>
      </c>
      <c r="C594" s="2">
        <v>0</v>
      </c>
      <c r="D594" s="2">
        <v>0</v>
      </c>
      <c r="E594" s="2">
        <v>0</v>
      </c>
      <c r="G594" s="2" t="s">
        <v>1186</v>
      </c>
      <c r="H594" s="2" t="s">
        <v>1191</v>
      </c>
      <c r="I594" s="2">
        <v>27</v>
      </c>
      <c r="J594" s="2" t="s">
        <v>1155</v>
      </c>
      <c r="K594">
        <v>2019</v>
      </c>
      <c r="L594" s="2" t="s">
        <v>137</v>
      </c>
      <c r="M594" t="s">
        <v>1759</v>
      </c>
      <c r="N594">
        <v>26</v>
      </c>
      <c r="P594" t="s">
        <v>30</v>
      </c>
      <c r="R594" s="45" t="s">
        <v>39</v>
      </c>
      <c r="S594" s="4">
        <v>38.28436</v>
      </c>
      <c r="T594" s="4">
        <v>-121.82353000000001</v>
      </c>
      <c r="U594">
        <v>2</v>
      </c>
      <c r="V594" s="6">
        <f t="shared" si="41"/>
        <v>0.60960000000000003</v>
      </c>
      <c r="W594" s="2" t="s">
        <v>31</v>
      </c>
      <c r="X594" s="2" t="s">
        <v>2381</v>
      </c>
      <c r="Y594" s="2" t="s">
        <v>61</v>
      </c>
      <c r="Z594" t="s">
        <v>1767</v>
      </c>
      <c r="AA594" t="s">
        <v>1766</v>
      </c>
      <c r="AB594" s="2">
        <v>36.1</v>
      </c>
      <c r="AC594" s="2">
        <v>17.100000000000001</v>
      </c>
      <c r="AF594">
        <v>72</v>
      </c>
      <c r="AG594">
        <v>17</v>
      </c>
      <c r="AJ594" s="41">
        <v>0</v>
      </c>
      <c r="AL594">
        <f t="shared" si="42"/>
        <v>0</v>
      </c>
      <c r="AM594">
        <f t="shared" si="43"/>
        <v>0</v>
      </c>
      <c r="AN594">
        <f t="shared" si="44"/>
        <v>0</v>
      </c>
    </row>
    <row r="595" spans="1:40" x14ac:dyDescent="0.2">
      <c r="A595" s="2">
        <v>62</v>
      </c>
      <c r="B595" t="s">
        <v>1467</v>
      </c>
      <c r="C595" s="2">
        <v>0</v>
      </c>
      <c r="D595" s="2">
        <v>0</v>
      </c>
      <c r="E595" s="2">
        <v>0</v>
      </c>
      <c r="G595" s="2" t="s">
        <v>1186</v>
      </c>
      <c r="H595" s="2" t="s">
        <v>1191</v>
      </c>
      <c r="I595" s="2">
        <v>2</v>
      </c>
      <c r="J595" s="2" t="s">
        <v>1276</v>
      </c>
      <c r="K595">
        <v>2019</v>
      </c>
      <c r="L595" s="2" t="s">
        <v>33</v>
      </c>
      <c r="M595" t="s">
        <v>1319</v>
      </c>
      <c r="N595">
        <v>22</v>
      </c>
      <c r="O595">
        <f>18-16.5</f>
        <v>1.5</v>
      </c>
      <c r="P595" t="s">
        <v>37</v>
      </c>
      <c r="R595" t="s">
        <v>89</v>
      </c>
      <c r="S595" s="4">
        <v>38.477719999999998</v>
      </c>
      <c r="T595" s="4">
        <v>-122.14245</v>
      </c>
      <c r="U595">
        <v>1096</v>
      </c>
      <c r="V595" s="6">
        <f t="shared" si="41"/>
        <v>334.06080000000003</v>
      </c>
      <c r="W595" s="2" t="s">
        <v>898</v>
      </c>
      <c r="X595" s="2" t="s">
        <v>2239</v>
      </c>
      <c r="Y595" s="2" t="s">
        <v>133</v>
      </c>
      <c r="AA595" t="s">
        <v>1768</v>
      </c>
      <c r="AJ595" s="41">
        <v>0</v>
      </c>
      <c r="AL595">
        <f t="shared" si="42"/>
        <v>0</v>
      </c>
      <c r="AM595">
        <f t="shared" si="43"/>
        <v>0</v>
      </c>
      <c r="AN595">
        <f t="shared" si="44"/>
        <v>0</v>
      </c>
    </row>
    <row r="596" spans="1:40" x14ac:dyDescent="0.2">
      <c r="A596" s="2">
        <v>62</v>
      </c>
      <c r="B596" t="s">
        <v>1468</v>
      </c>
      <c r="C596" s="2">
        <v>0</v>
      </c>
      <c r="D596" s="2">
        <v>0</v>
      </c>
      <c r="E596" s="2">
        <v>0</v>
      </c>
      <c r="G596" s="2" t="s">
        <v>1186</v>
      </c>
      <c r="H596" s="2" t="s">
        <v>1191</v>
      </c>
      <c r="I596" s="2">
        <v>2</v>
      </c>
      <c r="J596" s="2" t="s">
        <v>1276</v>
      </c>
      <c r="K596">
        <v>2019</v>
      </c>
      <c r="L596" s="2" t="s">
        <v>33</v>
      </c>
      <c r="M596" t="s">
        <v>1319</v>
      </c>
      <c r="N596">
        <v>24</v>
      </c>
      <c r="O596">
        <v>3</v>
      </c>
      <c r="P596" t="s">
        <v>37</v>
      </c>
      <c r="R596" t="s">
        <v>89</v>
      </c>
      <c r="S596" s="4">
        <v>38.477719999999998</v>
      </c>
      <c r="T596" s="4">
        <v>-122.14245</v>
      </c>
      <c r="U596">
        <v>1096</v>
      </c>
      <c r="V596" s="6">
        <f t="shared" si="41"/>
        <v>334.06080000000003</v>
      </c>
      <c r="W596" s="2" t="s">
        <v>898</v>
      </c>
      <c r="X596" s="2" t="s">
        <v>2239</v>
      </c>
      <c r="Y596" s="2" t="s">
        <v>140</v>
      </c>
      <c r="AA596" t="s">
        <v>1769</v>
      </c>
      <c r="AJ596" s="41">
        <v>0</v>
      </c>
      <c r="AL596">
        <f t="shared" si="42"/>
        <v>0</v>
      </c>
      <c r="AM596">
        <f t="shared" si="43"/>
        <v>0</v>
      </c>
      <c r="AN596">
        <f t="shared" si="44"/>
        <v>0</v>
      </c>
    </row>
    <row r="597" spans="1:40" x14ac:dyDescent="0.2">
      <c r="A597" s="2">
        <v>62</v>
      </c>
      <c r="B597" t="s">
        <v>1469</v>
      </c>
      <c r="C597" s="2">
        <v>0</v>
      </c>
      <c r="D597" s="2">
        <v>0</v>
      </c>
      <c r="E597" s="2">
        <v>0</v>
      </c>
      <c r="G597" s="2" t="s">
        <v>1186</v>
      </c>
      <c r="H597" s="2" t="s">
        <v>1191</v>
      </c>
      <c r="I597" s="2">
        <v>2</v>
      </c>
      <c r="J597" s="2" t="s">
        <v>1276</v>
      </c>
      <c r="K597">
        <v>2019</v>
      </c>
      <c r="L597" s="2" t="s">
        <v>33</v>
      </c>
      <c r="M597" t="s">
        <v>1319</v>
      </c>
      <c r="N597">
        <v>25</v>
      </c>
      <c r="O597">
        <v>2</v>
      </c>
      <c r="P597" t="s">
        <v>37</v>
      </c>
      <c r="R597" t="s">
        <v>89</v>
      </c>
      <c r="S597" s="4">
        <v>38.477719999999998</v>
      </c>
      <c r="T597" s="4">
        <v>-122.14245</v>
      </c>
      <c r="U597">
        <v>1096</v>
      </c>
      <c r="V597" s="6">
        <f t="shared" si="41"/>
        <v>334.06080000000003</v>
      </c>
      <c r="W597" s="2" t="s">
        <v>898</v>
      </c>
      <c r="X597" s="2" t="s">
        <v>2239</v>
      </c>
      <c r="Y597" s="2" t="s">
        <v>143</v>
      </c>
      <c r="AA597" t="s">
        <v>1770</v>
      </c>
      <c r="AJ597" s="41">
        <v>0</v>
      </c>
      <c r="AL597">
        <f t="shared" si="42"/>
        <v>0</v>
      </c>
      <c r="AM597">
        <f t="shared" si="43"/>
        <v>0</v>
      </c>
      <c r="AN597">
        <f t="shared" si="44"/>
        <v>0</v>
      </c>
    </row>
    <row r="598" spans="1:40" x14ac:dyDescent="0.2">
      <c r="A598" s="2">
        <v>62</v>
      </c>
      <c r="B598" t="s">
        <v>1470</v>
      </c>
      <c r="C598" s="2">
        <v>0</v>
      </c>
      <c r="D598" s="2">
        <v>0</v>
      </c>
      <c r="E598" s="2">
        <v>0</v>
      </c>
      <c r="G598" s="2" t="s">
        <v>1186</v>
      </c>
      <c r="H598" s="2" t="s">
        <v>1191</v>
      </c>
      <c r="I598" s="2">
        <v>2</v>
      </c>
      <c r="J598" s="2" t="s">
        <v>1276</v>
      </c>
      <c r="K598">
        <v>2019</v>
      </c>
      <c r="L598" s="2" t="s">
        <v>33</v>
      </c>
      <c r="M598" t="s">
        <v>1319</v>
      </c>
      <c r="N598">
        <v>23.5</v>
      </c>
      <c r="O598">
        <v>1</v>
      </c>
      <c r="P598" t="s">
        <v>37</v>
      </c>
      <c r="R598" t="s">
        <v>89</v>
      </c>
      <c r="S598" s="4">
        <v>38.477719999999998</v>
      </c>
      <c r="T598" s="4">
        <v>-122.14245</v>
      </c>
      <c r="U598">
        <v>1096</v>
      </c>
      <c r="V598" s="6">
        <f t="shared" si="41"/>
        <v>334.06080000000003</v>
      </c>
      <c r="W598" s="2" t="s">
        <v>898</v>
      </c>
      <c r="X598" s="2" t="s">
        <v>2239</v>
      </c>
      <c r="Y598" s="2" t="s">
        <v>198</v>
      </c>
      <c r="AA598" t="s">
        <v>1771</v>
      </c>
      <c r="AJ598" s="41">
        <v>0</v>
      </c>
      <c r="AL598">
        <f t="shared" si="42"/>
        <v>0</v>
      </c>
      <c r="AM598">
        <f t="shared" si="43"/>
        <v>0</v>
      </c>
      <c r="AN598">
        <f t="shared" si="44"/>
        <v>0</v>
      </c>
    </row>
    <row r="599" spans="1:40" x14ac:dyDescent="0.2">
      <c r="A599" s="2">
        <v>62</v>
      </c>
      <c r="B599" t="s">
        <v>1471</v>
      </c>
      <c r="C599" s="2">
        <v>0</v>
      </c>
      <c r="D599" s="2">
        <v>0</v>
      </c>
      <c r="E599" s="2">
        <v>0</v>
      </c>
      <c r="G599" s="2" t="s">
        <v>1186</v>
      </c>
      <c r="H599" s="2" t="s">
        <v>1191</v>
      </c>
      <c r="I599" s="2">
        <v>2</v>
      </c>
      <c r="J599" s="2" t="s">
        <v>1276</v>
      </c>
      <c r="K599">
        <v>2019</v>
      </c>
      <c r="L599" s="2" t="s">
        <v>33</v>
      </c>
      <c r="M599" t="s">
        <v>1319</v>
      </c>
      <c r="N599">
        <v>27</v>
      </c>
      <c r="O599">
        <f>41-39</f>
        <v>2</v>
      </c>
      <c r="P599" t="s">
        <v>37</v>
      </c>
      <c r="R599" t="s">
        <v>89</v>
      </c>
      <c r="S599" s="4">
        <v>38.477719999999998</v>
      </c>
      <c r="T599" s="4">
        <v>-122.14245</v>
      </c>
      <c r="U599">
        <v>1096</v>
      </c>
      <c r="V599" s="6">
        <f t="shared" si="41"/>
        <v>334.06080000000003</v>
      </c>
      <c r="W599" s="2" t="s">
        <v>898</v>
      </c>
      <c r="X599" s="2" t="s">
        <v>2239</v>
      </c>
      <c r="Y599" s="2" t="s">
        <v>152</v>
      </c>
      <c r="AA599" t="s">
        <v>1772</v>
      </c>
      <c r="AJ599" s="41">
        <v>0</v>
      </c>
      <c r="AL599">
        <f t="shared" si="42"/>
        <v>0</v>
      </c>
      <c r="AM599">
        <f t="shared" si="43"/>
        <v>0</v>
      </c>
      <c r="AN599">
        <f t="shared" si="44"/>
        <v>0</v>
      </c>
    </row>
    <row r="600" spans="1:40" x14ac:dyDescent="0.2">
      <c r="A600" s="2">
        <v>62</v>
      </c>
      <c r="B600" t="s">
        <v>1472</v>
      </c>
      <c r="C600" s="2">
        <v>0</v>
      </c>
      <c r="D600" s="2">
        <v>0</v>
      </c>
      <c r="E600" s="2">
        <v>0</v>
      </c>
      <c r="G600" s="2" t="s">
        <v>1186</v>
      </c>
      <c r="H600" s="2" t="s">
        <v>1191</v>
      </c>
      <c r="I600" s="2">
        <v>2</v>
      </c>
      <c r="J600" s="2" t="s">
        <v>1276</v>
      </c>
      <c r="K600">
        <v>2019</v>
      </c>
      <c r="L600" s="2" t="s">
        <v>33</v>
      </c>
      <c r="M600" t="s">
        <v>1319</v>
      </c>
      <c r="N600">
        <v>26</v>
      </c>
      <c r="O600">
        <v>3</v>
      </c>
      <c r="P600" t="s">
        <v>37</v>
      </c>
      <c r="R600" t="s">
        <v>89</v>
      </c>
      <c r="S600" s="4">
        <v>38.477719999999998</v>
      </c>
      <c r="T600" s="4">
        <v>-122.14245</v>
      </c>
      <c r="U600">
        <v>1096</v>
      </c>
      <c r="V600" s="6">
        <f t="shared" si="41"/>
        <v>334.06080000000003</v>
      </c>
      <c r="W600" s="2" t="s">
        <v>898</v>
      </c>
      <c r="X600" s="2" t="s">
        <v>2239</v>
      </c>
      <c r="Y600" s="2" t="s">
        <v>335</v>
      </c>
      <c r="AA600" t="s">
        <v>1773</v>
      </c>
      <c r="AJ600" s="41">
        <v>0</v>
      </c>
      <c r="AL600">
        <f t="shared" si="42"/>
        <v>0</v>
      </c>
      <c r="AM600">
        <f t="shared" si="43"/>
        <v>0</v>
      </c>
      <c r="AN600">
        <f t="shared" si="44"/>
        <v>0</v>
      </c>
    </row>
    <row r="601" spans="1:40" x14ac:dyDescent="0.2">
      <c r="A601" s="2">
        <v>62</v>
      </c>
      <c r="B601" t="s">
        <v>1473</v>
      </c>
      <c r="C601" s="2">
        <v>0</v>
      </c>
      <c r="D601" s="2">
        <v>5.7479669339954853E-4</v>
      </c>
      <c r="E601" s="2">
        <v>0</v>
      </c>
      <c r="G601" s="2" t="s">
        <v>1186</v>
      </c>
      <c r="H601" s="2" t="s">
        <v>1191</v>
      </c>
      <c r="I601" s="2">
        <v>2</v>
      </c>
      <c r="J601" s="2" t="s">
        <v>1276</v>
      </c>
      <c r="K601">
        <v>2019</v>
      </c>
      <c r="L601" s="2" t="s">
        <v>33</v>
      </c>
      <c r="M601" t="s">
        <v>1319</v>
      </c>
      <c r="N601">
        <v>22.5</v>
      </c>
      <c r="O601">
        <v>1</v>
      </c>
      <c r="P601" t="s">
        <v>30</v>
      </c>
      <c r="R601" t="s">
        <v>89</v>
      </c>
      <c r="S601" s="4">
        <v>38.477719999999998</v>
      </c>
      <c r="T601" s="4">
        <v>-122.14245</v>
      </c>
      <c r="U601">
        <v>1096</v>
      </c>
      <c r="V601" s="6">
        <f t="shared" si="41"/>
        <v>334.06080000000003</v>
      </c>
      <c r="W601" s="2" t="s">
        <v>898</v>
      </c>
      <c r="X601" s="2" t="s">
        <v>2239</v>
      </c>
      <c r="Y601" s="2" t="s">
        <v>335</v>
      </c>
      <c r="AA601" t="s">
        <v>1774</v>
      </c>
      <c r="AJ601" s="41">
        <v>0</v>
      </c>
      <c r="AL601">
        <f t="shared" si="42"/>
        <v>0</v>
      </c>
      <c r="AM601">
        <f t="shared" si="43"/>
        <v>4.5983735471963882E-2</v>
      </c>
      <c r="AN601">
        <f t="shared" si="44"/>
        <v>0</v>
      </c>
    </row>
    <row r="602" spans="1:40" x14ac:dyDescent="0.2">
      <c r="A602" s="2">
        <v>62</v>
      </c>
      <c r="B602" t="s">
        <v>1474</v>
      </c>
      <c r="C602" s="2">
        <v>0</v>
      </c>
      <c r="D602" s="2">
        <v>0</v>
      </c>
      <c r="E602" s="2">
        <v>0</v>
      </c>
      <c r="G602" s="2" t="s">
        <v>1186</v>
      </c>
      <c r="H602" s="2" t="s">
        <v>1191</v>
      </c>
      <c r="I602" s="2">
        <v>2</v>
      </c>
      <c r="J602" s="2" t="s">
        <v>1276</v>
      </c>
      <c r="K602">
        <v>2019</v>
      </c>
      <c r="L602" s="2" t="s">
        <v>33</v>
      </c>
      <c r="M602" t="s">
        <v>1319</v>
      </c>
      <c r="N602">
        <v>16.5</v>
      </c>
      <c r="O602">
        <v>0.5</v>
      </c>
      <c r="P602" t="s">
        <v>37</v>
      </c>
      <c r="R602" t="s">
        <v>89</v>
      </c>
      <c r="S602" s="4">
        <v>38.477719999999998</v>
      </c>
      <c r="T602" s="4">
        <v>-122.14245</v>
      </c>
      <c r="U602">
        <v>1096</v>
      </c>
      <c r="V602" s="6">
        <f t="shared" si="41"/>
        <v>334.06080000000003</v>
      </c>
      <c r="W602" s="2" t="s">
        <v>898</v>
      </c>
      <c r="X602" s="2" t="s">
        <v>2239</v>
      </c>
      <c r="Y602" s="2" t="s">
        <v>440</v>
      </c>
      <c r="AA602" t="s">
        <v>1775</v>
      </c>
      <c r="AJ602" s="41">
        <v>0</v>
      </c>
      <c r="AL602">
        <f t="shared" si="42"/>
        <v>0</v>
      </c>
      <c r="AM602">
        <f t="shared" si="43"/>
        <v>0</v>
      </c>
      <c r="AN602">
        <f t="shared" si="44"/>
        <v>0</v>
      </c>
    </row>
    <row r="603" spans="1:40" x14ac:dyDescent="0.2">
      <c r="A603" s="2">
        <v>62</v>
      </c>
      <c r="B603" t="s">
        <v>1475</v>
      </c>
      <c r="C603" s="2">
        <v>0</v>
      </c>
      <c r="D603" s="2">
        <v>0</v>
      </c>
      <c r="E603" s="2">
        <v>0</v>
      </c>
      <c r="G603" s="2" t="s">
        <v>1186</v>
      </c>
      <c r="H603" s="2" t="s">
        <v>1191</v>
      </c>
      <c r="I603" s="2">
        <v>2</v>
      </c>
      <c r="J603" s="2" t="s">
        <v>1276</v>
      </c>
      <c r="K603">
        <v>2019</v>
      </c>
      <c r="L603" s="2" t="s">
        <v>33</v>
      </c>
      <c r="M603" t="s">
        <v>1319</v>
      </c>
      <c r="N603">
        <v>30</v>
      </c>
      <c r="O603">
        <v>3</v>
      </c>
      <c r="P603" t="s">
        <v>30</v>
      </c>
      <c r="R603" t="s">
        <v>89</v>
      </c>
      <c r="S603" s="4">
        <v>38.477719999999998</v>
      </c>
      <c r="T603" s="4">
        <v>-122.14245</v>
      </c>
      <c r="U603">
        <v>1096</v>
      </c>
      <c r="V603" s="6">
        <f t="shared" si="41"/>
        <v>334.06080000000003</v>
      </c>
      <c r="W603" s="2" t="s">
        <v>898</v>
      </c>
      <c r="X603" s="2" t="s">
        <v>2239</v>
      </c>
      <c r="Y603" s="2" t="s">
        <v>440</v>
      </c>
      <c r="Z603" t="s">
        <v>1777</v>
      </c>
      <c r="AA603" t="s">
        <v>1776</v>
      </c>
      <c r="AJ603" s="41">
        <v>0</v>
      </c>
      <c r="AL603">
        <f t="shared" si="42"/>
        <v>0</v>
      </c>
      <c r="AM603">
        <f t="shared" si="43"/>
        <v>0</v>
      </c>
      <c r="AN603">
        <f t="shared" si="44"/>
        <v>0</v>
      </c>
    </row>
    <row r="604" spans="1:40" x14ac:dyDescent="0.2">
      <c r="A604" s="2">
        <v>62</v>
      </c>
      <c r="B604" t="s">
        <v>1476</v>
      </c>
      <c r="C604" s="2">
        <v>2.6853733062744101</v>
      </c>
      <c r="D604" s="2">
        <v>3.6260769367218018</v>
      </c>
      <c r="E604">
        <v>3.5055248737335205</v>
      </c>
      <c r="G604" s="2" t="s">
        <v>1186</v>
      </c>
      <c r="H604" s="2" t="s">
        <v>1191</v>
      </c>
      <c r="I604" s="2">
        <v>2</v>
      </c>
      <c r="J604" s="2" t="s">
        <v>1276</v>
      </c>
      <c r="K604">
        <v>2019</v>
      </c>
      <c r="L604" s="2" t="s">
        <v>33</v>
      </c>
      <c r="M604" t="s">
        <v>1319</v>
      </c>
      <c r="N604">
        <v>22.5</v>
      </c>
      <c r="O604">
        <v>1</v>
      </c>
      <c r="P604" t="s">
        <v>37</v>
      </c>
      <c r="R604" t="s">
        <v>89</v>
      </c>
      <c r="S604" s="4">
        <v>38.477719999999998</v>
      </c>
      <c r="T604" s="4">
        <v>-122.14245</v>
      </c>
      <c r="U604">
        <v>1096</v>
      </c>
      <c r="V604" s="6">
        <f t="shared" si="41"/>
        <v>334.06080000000003</v>
      </c>
      <c r="W604" s="2" t="s">
        <v>898</v>
      </c>
      <c r="X604" s="2" t="s">
        <v>2239</v>
      </c>
      <c r="Y604" s="2" t="s">
        <v>165</v>
      </c>
      <c r="AJ604" s="41">
        <v>0</v>
      </c>
      <c r="AL604">
        <f t="shared" si="42"/>
        <v>214.82986450195281</v>
      </c>
      <c r="AM604">
        <f t="shared" si="43"/>
        <v>290.08615493774414</v>
      </c>
      <c r="AN604">
        <f t="shared" si="44"/>
        <v>280.44198989868164</v>
      </c>
    </row>
    <row r="605" spans="1:40" x14ac:dyDescent="0.2">
      <c r="A605" s="2">
        <v>62</v>
      </c>
      <c r="B605" t="s">
        <v>1477</v>
      </c>
      <c r="C605" s="2">
        <v>0</v>
      </c>
      <c r="D605" s="2">
        <v>0</v>
      </c>
      <c r="E605" s="2">
        <v>0</v>
      </c>
      <c r="G605" s="2" t="s">
        <v>1186</v>
      </c>
      <c r="H605" s="2" t="s">
        <v>1191</v>
      </c>
      <c r="I605" s="2">
        <v>2</v>
      </c>
      <c r="J605" s="2" t="s">
        <v>1276</v>
      </c>
      <c r="K605">
        <v>2019</v>
      </c>
      <c r="L605" s="2" t="s">
        <v>33</v>
      </c>
      <c r="M605" t="s">
        <v>1319</v>
      </c>
      <c r="N605">
        <v>23</v>
      </c>
      <c r="O605">
        <v>2</v>
      </c>
      <c r="P605" t="s">
        <v>37</v>
      </c>
      <c r="R605" t="s">
        <v>89</v>
      </c>
      <c r="S605" s="4">
        <v>38.477719999999998</v>
      </c>
      <c r="T605" s="4">
        <v>-122.14245</v>
      </c>
      <c r="U605">
        <v>1096</v>
      </c>
      <c r="V605" s="6">
        <f t="shared" si="41"/>
        <v>334.06080000000003</v>
      </c>
      <c r="W605" s="2" t="s">
        <v>898</v>
      </c>
      <c r="X605" s="2" t="s">
        <v>2239</v>
      </c>
      <c r="Y605" s="2" t="s">
        <v>168</v>
      </c>
      <c r="AJ605" s="41">
        <v>0</v>
      </c>
      <c r="AL605">
        <f t="shared" si="42"/>
        <v>0</v>
      </c>
      <c r="AM605">
        <f t="shared" si="43"/>
        <v>0</v>
      </c>
      <c r="AN605">
        <f t="shared" si="44"/>
        <v>0</v>
      </c>
    </row>
    <row r="606" spans="1:40" x14ac:dyDescent="0.2">
      <c r="A606" s="2">
        <v>62</v>
      </c>
      <c r="B606" t="s">
        <v>1478</v>
      </c>
      <c r="C606" s="2">
        <v>3.8926370441913605E-2</v>
      </c>
      <c r="D606" s="2">
        <v>0</v>
      </c>
      <c r="E606" s="2">
        <v>0</v>
      </c>
      <c r="G606" s="2" t="s">
        <v>1186</v>
      </c>
      <c r="H606" s="2" t="s">
        <v>1191</v>
      </c>
      <c r="I606" s="2">
        <v>2</v>
      </c>
      <c r="J606" s="2" t="s">
        <v>1276</v>
      </c>
      <c r="K606">
        <v>2019</v>
      </c>
      <c r="L606" s="2" t="s">
        <v>33</v>
      </c>
      <c r="M606" t="s">
        <v>1319</v>
      </c>
      <c r="N606">
        <v>20</v>
      </c>
      <c r="O606">
        <v>1</v>
      </c>
      <c r="P606" t="s">
        <v>37</v>
      </c>
      <c r="R606" t="s">
        <v>89</v>
      </c>
      <c r="S606" s="4">
        <v>38.477719999999998</v>
      </c>
      <c r="T606" s="4">
        <v>-122.14245</v>
      </c>
      <c r="U606">
        <v>1096</v>
      </c>
      <c r="V606" s="6">
        <f t="shared" si="41"/>
        <v>334.06080000000003</v>
      </c>
      <c r="W606" s="2" t="s">
        <v>898</v>
      </c>
      <c r="X606" s="2" t="s">
        <v>2239</v>
      </c>
      <c r="Y606" s="2" t="s">
        <v>168</v>
      </c>
      <c r="AJ606" s="41">
        <v>0</v>
      </c>
      <c r="AL606">
        <f t="shared" si="42"/>
        <v>3.1141096353530884</v>
      </c>
      <c r="AM606">
        <f t="shared" si="43"/>
        <v>0</v>
      </c>
      <c r="AN606">
        <f t="shared" si="44"/>
        <v>0</v>
      </c>
    </row>
    <row r="607" spans="1:40" x14ac:dyDescent="0.2">
      <c r="A607" s="2">
        <v>62</v>
      </c>
      <c r="B607" t="s">
        <v>1479</v>
      </c>
      <c r="C607" s="2">
        <v>2.911652518378105E-5</v>
      </c>
      <c r="D607" s="2">
        <v>0</v>
      </c>
      <c r="E607" s="2">
        <v>0</v>
      </c>
      <c r="G607" s="2" t="s">
        <v>1186</v>
      </c>
      <c r="H607" s="2" t="s">
        <v>1191</v>
      </c>
      <c r="I607" s="2">
        <v>2</v>
      </c>
      <c r="J607" s="2" t="s">
        <v>1276</v>
      </c>
      <c r="K607">
        <v>2019</v>
      </c>
      <c r="L607" s="2" t="s">
        <v>33</v>
      </c>
      <c r="M607" t="s">
        <v>1319</v>
      </c>
      <c r="N607">
        <v>22</v>
      </c>
      <c r="O607">
        <v>1</v>
      </c>
      <c r="P607" t="s">
        <v>37</v>
      </c>
      <c r="R607" t="s">
        <v>89</v>
      </c>
      <c r="S607" s="4">
        <v>38.477719999999998</v>
      </c>
      <c r="T607" s="4">
        <v>-122.14245</v>
      </c>
      <c r="U607">
        <v>1096</v>
      </c>
      <c r="V607" s="6">
        <f t="shared" si="41"/>
        <v>334.06080000000003</v>
      </c>
      <c r="W607" s="2" t="s">
        <v>898</v>
      </c>
      <c r="X607" s="2" t="s">
        <v>2239</v>
      </c>
      <c r="Y607" s="2" t="s">
        <v>168</v>
      </c>
      <c r="AJ607" s="41">
        <v>0</v>
      </c>
      <c r="AL607">
        <f t="shared" si="42"/>
        <v>2.329322014702484E-3</v>
      </c>
      <c r="AM607">
        <f t="shared" si="43"/>
        <v>0</v>
      </c>
      <c r="AN607">
        <f t="shared" si="44"/>
        <v>0</v>
      </c>
    </row>
    <row r="608" spans="1:40" x14ac:dyDescent="0.2">
      <c r="A608" s="2">
        <v>62</v>
      </c>
      <c r="B608" t="s">
        <v>1480</v>
      </c>
      <c r="C608" s="2">
        <v>0</v>
      </c>
      <c r="D608" s="2">
        <v>0</v>
      </c>
      <c r="E608" s="2">
        <v>0</v>
      </c>
      <c r="G608" s="2" t="s">
        <v>1186</v>
      </c>
      <c r="H608" s="2" t="s">
        <v>1191</v>
      </c>
      <c r="I608" s="2">
        <v>2</v>
      </c>
      <c r="J608" s="2" t="s">
        <v>1276</v>
      </c>
      <c r="K608">
        <v>2019</v>
      </c>
      <c r="L608" s="2" t="s">
        <v>33</v>
      </c>
      <c r="M608" t="s">
        <v>1319</v>
      </c>
      <c r="N608">
        <v>22</v>
      </c>
      <c r="O608">
        <v>1</v>
      </c>
      <c r="P608" t="s">
        <v>37</v>
      </c>
      <c r="R608" t="s">
        <v>89</v>
      </c>
      <c r="S608" s="4">
        <v>38.477719999999998</v>
      </c>
      <c r="T608" s="4">
        <v>-122.14245</v>
      </c>
      <c r="U608">
        <v>1096</v>
      </c>
      <c r="V608" s="6">
        <f t="shared" si="41"/>
        <v>334.06080000000003</v>
      </c>
      <c r="W608" s="2" t="s">
        <v>898</v>
      </c>
      <c r="X608" s="2" t="s">
        <v>2239</v>
      </c>
      <c r="Y608" s="2" t="s">
        <v>168</v>
      </c>
      <c r="AJ608" s="41">
        <v>0</v>
      </c>
      <c r="AL608">
        <f t="shared" si="42"/>
        <v>0</v>
      </c>
      <c r="AM608">
        <f t="shared" si="43"/>
        <v>0</v>
      </c>
      <c r="AN608">
        <f t="shared" si="44"/>
        <v>0</v>
      </c>
    </row>
    <row r="609" spans="1:40" x14ac:dyDescent="0.2">
      <c r="A609" s="2">
        <v>62</v>
      </c>
      <c r="B609" t="s">
        <v>1481</v>
      </c>
      <c r="C609" s="2">
        <v>0</v>
      </c>
      <c r="D609" s="2">
        <v>0</v>
      </c>
      <c r="E609" s="2">
        <v>0</v>
      </c>
      <c r="G609" s="2" t="s">
        <v>1186</v>
      </c>
      <c r="H609" s="2" t="s">
        <v>1191</v>
      </c>
      <c r="I609" s="2">
        <v>2</v>
      </c>
      <c r="J609" s="2" t="s">
        <v>1276</v>
      </c>
      <c r="K609">
        <v>2019</v>
      </c>
      <c r="L609" s="2" t="s">
        <v>33</v>
      </c>
      <c r="M609" t="s">
        <v>1319</v>
      </c>
      <c r="N609">
        <v>27</v>
      </c>
      <c r="O609">
        <v>2</v>
      </c>
      <c r="P609" t="s">
        <v>30</v>
      </c>
      <c r="R609" t="s">
        <v>89</v>
      </c>
      <c r="S609" s="4">
        <v>38.477719999999998</v>
      </c>
      <c r="T609" s="4">
        <v>-122.14245</v>
      </c>
      <c r="U609">
        <v>1096</v>
      </c>
      <c r="V609" s="6">
        <f t="shared" si="41"/>
        <v>334.06080000000003</v>
      </c>
      <c r="W609" s="2" t="s">
        <v>898</v>
      </c>
      <c r="X609" s="2" t="s">
        <v>2239</v>
      </c>
      <c r="Y609" s="2" t="s">
        <v>236</v>
      </c>
      <c r="Z609" t="s">
        <v>1779</v>
      </c>
      <c r="AA609" t="s">
        <v>1778</v>
      </c>
      <c r="AJ609" s="41">
        <v>0</v>
      </c>
      <c r="AL609">
        <f t="shared" si="42"/>
        <v>0</v>
      </c>
      <c r="AM609">
        <f t="shared" si="43"/>
        <v>0</v>
      </c>
      <c r="AN609">
        <f t="shared" si="44"/>
        <v>0</v>
      </c>
    </row>
    <row r="610" spans="1:40" x14ac:dyDescent="0.2">
      <c r="A610" s="2">
        <v>62</v>
      </c>
      <c r="B610" t="s">
        <v>1482</v>
      </c>
      <c r="C610" s="2">
        <v>0</v>
      </c>
      <c r="D610" s="2">
        <v>0</v>
      </c>
      <c r="E610" s="2">
        <v>0</v>
      </c>
      <c r="G610" s="2" t="s">
        <v>1186</v>
      </c>
      <c r="H610" s="2" t="s">
        <v>1191</v>
      </c>
      <c r="I610" s="2">
        <v>2</v>
      </c>
      <c r="J610" s="2" t="s">
        <v>1276</v>
      </c>
      <c r="K610">
        <v>2019</v>
      </c>
      <c r="L610" s="2" t="s">
        <v>32</v>
      </c>
      <c r="M610" t="s">
        <v>1319</v>
      </c>
      <c r="N610">
        <v>23.5</v>
      </c>
      <c r="O610">
        <v>1</v>
      </c>
      <c r="P610" t="s">
        <v>37</v>
      </c>
      <c r="R610" s="45" t="s">
        <v>39</v>
      </c>
      <c r="S610" s="4">
        <v>38.477719999999998</v>
      </c>
      <c r="T610" s="4">
        <v>-122.14245</v>
      </c>
      <c r="U610">
        <v>1096</v>
      </c>
      <c r="V610" s="6">
        <f t="shared" si="41"/>
        <v>334.06080000000003</v>
      </c>
      <c r="W610" s="2" t="s">
        <v>898</v>
      </c>
      <c r="X610" s="2" t="s">
        <v>2239</v>
      </c>
      <c r="Y610" s="2" t="s">
        <v>226</v>
      </c>
      <c r="AJ610" s="41">
        <v>0</v>
      </c>
      <c r="AL610">
        <f t="shared" si="42"/>
        <v>0</v>
      </c>
      <c r="AM610">
        <f t="shared" si="43"/>
        <v>0</v>
      </c>
      <c r="AN610">
        <f t="shared" si="44"/>
        <v>0</v>
      </c>
    </row>
    <row r="611" spans="1:40" x14ac:dyDescent="0.2">
      <c r="A611" s="2">
        <v>62</v>
      </c>
      <c r="B611" t="s">
        <v>1483</v>
      </c>
      <c r="C611" s="2">
        <v>0</v>
      </c>
      <c r="D611" s="2">
        <v>2.279425784945488E-2</v>
      </c>
      <c r="E611" s="2">
        <v>0</v>
      </c>
      <c r="G611" s="2" t="s">
        <v>1186</v>
      </c>
      <c r="H611" s="2" t="s">
        <v>1191</v>
      </c>
      <c r="I611" s="2">
        <v>2</v>
      </c>
      <c r="J611" s="2" t="s">
        <v>1276</v>
      </c>
      <c r="K611">
        <v>2019</v>
      </c>
      <c r="L611" s="2" t="s">
        <v>33</v>
      </c>
      <c r="M611" t="s">
        <v>1319</v>
      </c>
      <c r="N611">
        <v>19</v>
      </c>
      <c r="O611">
        <v>0.5</v>
      </c>
      <c r="P611" t="s">
        <v>37</v>
      </c>
      <c r="R611" t="s">
        <v>89</v>
      </c>
      <c r="S611" s="4">
        <v>38.477719999999998</v>
      </c>
      <c r="T611" s="4">
        <v>-122.14245</v>
      </c>
      <c r="U611">
        <v>1096</v>
      </c>
      <c r="V611" s="6">
        <f t="shared" si="41"/>
        <v>334.06080000000003</v>
      </c>
      <c r="W611" s="2" t="s">
        <v>898</v>
      </c>
      <c r="X611" s="2" t="s">
        <v>2239</v>
      </c>
      <c r="Y611" s="2" t="s">
        <v>243</v>
      </c>
      <c r="AJ611" s="41">
        <v>0</v>
      </c>
      <c r="AL611">
        <f t="shared" si="42"/>
        <v>0</v>
      </c>
      <c r="AM611">
        <f t="shared" si="43"/>
        <v>1.8235406279563904</v>
      </c>
      <c r="AN611">
        <f t="shared" si="44"/>
        <v>0</v>
      </c>
    </row>
    <row r="612" spans="1:40" x14ac:dyDescent="0.2">
      <c r="A612" s="2">
        <v>62</v>
      </c>
      <c r="B612" t="s">
        <v>1484</v>
      </c>
      <c r="C612" s="2">
        <v>0</v>
      </c>
      <c r="D612" s="2">
        <v>0</v>
      </c>
      <c r="E612" s="2">
        <v>0</v>
      </c>
      <c r="G612" s="2" t="s">
        <v>1186</v>
      </c>
      <c r="H612" s="2" t="s">
        <v>1191</v>
      </c>
      <c r="I612" s="2">
        <v>2</v>
      </c>
      <c r="J612" s="2" t="s">
        <v>1276</v>
      </c>
      <c r="K612">
        <v>2019</v>
      </c>
      <c r="L612" s="2" t="s">
        <v>32</v>
      </c>
      <c r="M612" t="s">
        <v>1319</v>
      </c>
      <c r="N612">
        <v>26.5</v>
      </c>
      <c r="O612">
        <v>1</v>
      </c>
      <c r="P612" t="s">
        <v>30</v>
      </c>
      <c r="Q612" t="s">
        <v>42</v>
      </c>
      <c r="R612" t="s">
        <v>39</v>
      </c>
      <c r="S612" s="4">
        <v>38.477719999999998</v>
      </c>
      <c r="T612" s="4">
        <v>-122.14245</v>
      </c>
      <c r="U612">
        <v>1096</v>
      </c>
      <c r="V612" s="6">
        <f t="shared" si="41"/>
        <v>334.06080000000003</v>
      </c>
      <c r="W612" s="2" t="s">
        <v>898</v>
      </c>
      <c r="X612" s="2" t="s">
        <v>2239</v>
      </c>
      <c r="Y612" s="2" t="s">
        <v>93</v>
      </c>
      <c r="AJ612" s="41">
        <v>0</v>
      </c>
      <c r="AL612">
        <f t="shared" si="42"/>
        <v>0</v>
      </c>
      <c r="AM612">
        <f t="shared" si="43"/>
        <v>0</v>
      </c>
      <c r="AN612">
        <f t="shared" si="44"/>
        <v>0</v>
      </c>
    </row>
    <row r="613" spans="1:40" x14ac:dyDescent="0.2">
      <c r="A613" s="2">
        <v>62</v>
      </c>
      <c r="B613" t="s">
        <v>1485</v>
      </c>
      <c r="C613" s="2">
        <v>0</v>
      </c>
      <c r="D613" s="2">
        <v>0</v>
      </c>
      <c r="E613" s="2">
        <v>0</v>
      </c>
      <c r="G613" s="2" t="s">
        <v>1186</v>
      </c>
      <c r="H613" s="2" t="s">
        <v>1191</v>
      </c>
      <c r="I613" s="2">
        <v>2</v>
      </c>
      <c r="J613" s="2" t="s">
        <v>1276</v>
      </c>
      <c r="K613">
        <v>2019</v>
      </c>
      <c r="L613" s="2" t="s">
        <v>32</v>
      </c>
      <c r="M613" t="s">
        <v>1319</v>
      </c>
      <c r="N613">
        <v>19.5</v>
      </c>
      <c r="O613">
        <v>1</v>
      </c>
      <c r="P613" t="s">
        <v>37</v>
      </c>
      <c r="R613" s="45" t="s">
        <v>39</v>
      </c>
      <c r="S613" s="4">
        <v>38.477719999999998</v>
      </c>
      <c r="T613" s="4">
        <v>-122.14245</v>
      </c>
      <c r="U613">
        <v>1096</v>
      </c>
      <c r="V613" s="6">
        <f t="shared" si="41"/>
        <v>334.06080000000003</v>
      </c>
      <c r="W613" s="2" t="s">
        <v>898</v>
      </c>
      <c r="X613" s="2" t="s">
        <v>2239</v>
      </c>
      <c r="Y613" s="2" t="s">
        <v>93</v>
      </c>
      <c r="AA613" t="s">
        <v>1780</v>
      </c>
      <c r="AJ613" s="41">
        <v>0</v>
      </c>
      <c r="AL613">
        <f t="shared" si="42"/>
        <v>0</v>
      </c>
      <c r="AM613">
        <f t="shared" si="43"/>
        <v>0</v>
      </c>
      <c r="AN613">
        <f t="shared" si="44"/>
        <v>0</v>
      </c>
    </row>
    <row r="614" spans="1:40" x14ac:dyDescent="0.2">
      <c r="A614" s="2">
        <v>62</v>
      </c>
      <c r="B614" t="s">
        <v>1486</v>
      </c>
      <c r="C614" s="2">
        <v>3.6146696656942368E-2</v>
      </c>
      <c r="D614" s="2">
        <v>3.8368374109268188E-2</v>
      </c>
      <c r="E614" s="2">
        <v>0</v>
      </c>
      <c r="G614" s="2" t="s">
        <v>1186</v>
      </c>
      <c r="H614" s="2" t="s">
        <v>1191</v>
      </c>
      <c r="I614" s="2">
        <v>2</v>
      </c>
      <c r="J614" s="2" t="s">
        <v>1276</v>
      </c>
      <c r="K614">
        <v>2019</v>
      </c>
      <c r="L614" s="2" t="s">
        <v>33</v>
      </c>
      <c r="M614" t="s">
        <v>1319</v>
      </c>
      <c r="N614">
        <v>30</v>
      </c>
      <c r="O614">
        <v>3</v>
      </c>
      <c r="P614" t="s">
        <v>30</v>
      </c>
      <c r="R614" t="s">
        <v>89</v>
      </c>
      <c r="S614" s="4">
        <v>38.477719999999998</v>
      </c>
      <c r="T614" s="4">
        <v>-122.14245</v>
      </c>
      <c r="U614">
        <v>1096</v>
      </c>
      <c r="V614" s="6">
        <f t="shared" si="41"/>
        <v>334.06080000000003</v>
      </c>
      <c r="W614" s="2" t="s">
        <v>898</v>
      </c>
      <c r="X614" s="2" t="s">
        <v>2239</v>
      </c>
      <c r="Y614" s="2" t="s">
        <v>96</v>
      </c>
      <c r="Z614" t="s">
        <v>1781</v>
      </c>
      <c r="AJ614" s="41">
        <v>0</v>
      </c>
      <c r="AL614">
        <f t="shared" si="42"/>
        <v>2.8917357325553894</v>
      </c>
      <c r="AM614">
        <f t="shared" si="43"/>
        <v>3.0694699287414551</v>
      </c>
      <c r="AN614">
        <f t="shared" si="44"/>
        <v>0</v>
      </c>
    </row>
    <row r="615" spans="1:40" x14ac:dyDescent="0.2">
      <c r="A615" s="2">
        <v>62</v>
      </c>
      <c r="B615" t="s">
        <v>1487</v>
      </c>
      <c r="C615" s="2">
        <v>0</v>
      </c>
      <c r="D615" s="2">
        <v>0</v>
      </c>
      <c r="E615" s="2">
        <v>0</v>
      </c>
      <c r="G615" s="2" t="s">
        <v>1186</v>
      </c>
      <c r="H615" s="2" t="s">
        <v>1191</v>
      </c>
      <c r="I615" s="2">
        <v>2</v>
      </c>
      <c r="J615" s="2" t="s">
        <v>1276</v>
      </c>
      <c r="K615">
        <v>2019</v>
      </c>
      <c r="L615" s="2" t="s">
        <v>33</v>
      </c>
      <c r="M615" t="s">
        <v>1319</v>
      </c>
      <c r="N615">
        <v>21</v>
      </c>
      <c r="O615">
        <v>1.5</v>
      </c>
      <c r="P615" t="s">
        <v>37</v>
      </c>
      <c r="R615" t="s">
        <v>89</v>
      </c>
      <c r="S615" s="4">
        <v>38.477719999999998</v>
      </c>
      <c r="T615" s="4">
        <v>-122.14245</v>
      </c>
      <c r="U615">
        <v>1096</v>
      </c>
      <c r="V615" s="6">
        <f t="shared" si="41"/>
        <v>334.06080000000003</v>
      </c>
      <c r="W615" s="2" t="s">
        <v>898</v>
      </c>
      <c r="X615" s="2" t="s">
        <v>2239</v>
      </c>
      <c r="Y615" s="2" t="s">
        <v>96</v>
      </c>
      <c r="AA615" t="s">
        <v>1782</v>
      </c>
      <c r="AJ615" s="41">
        <v>0</v>
      </c>
      <c r="AL615">
        <f t="shared" si="42"/>
        <v>0</v>
      </c>
      <c r="AM615">
        <f t="shared" si="43"/>
        <v>0</v>
      </c>
      <c r="AN615">
        <f t="shared" si="44"/>
        <v>0</v>
      </c>
    </row>
    <row r="616" spans="1:40" x14ac:dyDescent="0.2">
      <c r="A616" s="2">
        <v>62</v>
      </c>
      <c r="B616" t="s">
        <v>1488</v>
      </c>
      <c r="C616" s="2">
        <v>0</v>
      </c>
      <c r="D616" s="2">
        <v>0</v>
      </c>
      <c r="E616" s="2">
        <v>0</v>
      </c>
      <c r="G616" s="2" t="s">
        <v>1186</v>
      </c>
      <c r="H616" s="2" t="s">
        <v>1191</v>
      </c>
      <c r="I616" s="2">
        <v>2</v>
      </c>
      <c r="J616" s="2" t="s">
        <v>1276</v>
      </c>
      <c r="K616">
        <v>2019</v>
      </c>
      <c r="L616" s="2" t="s">
        <v>33</v>
      </c>
      <c r="M616" t="s">
        <v>1319</v>
      </c>
      <c r="N616">
        <v>25</v>
      </c>
      <c r="O616">
        <v>1.5</v>
      </c>
      <c r="P616" t="s">
        <v>37</v>
      </c>
      <c r="R616" t="s">
        <v>89</v>
      </c>
      <c r="S616" s="4">
        <v>38.477719999999998</v>
      </c>
      <c r="T616" s="4">
        <v>-122.14245</v>
      </c>
      <c r="U616">
        <v>1096</v>
      </c>
      <c r="V616" s="6">
        <f t="shared" si="41"/>
        <v>334.06080000000003</v>
      </c>
      <c r="W616" s="2" t="s">
        <v>898</v>
      </c>
      <c r="X616" s="2" t="s">
        <v>2239</v>
      </c>
      <c r="Y616" s="2" t="s">
        <v>1110</v>
      </c>
      <c r="Z616" t="s">
        <v>1300</v>
      </c>
      <c r="AA616" t="s">
        <v>1783</v>
      </c>
      <c r="AJ616" s="41">
        <v>0</v>
      </c>
      <c r="AL616">
        <f t="shared" si="42"/>
        <v>0</v>
      </c>
      <c r="AM616">
        <f t="shared" si="43"/>
        <v>0</v>
      </c>
      <c r="AN616">
        <f t="shared" si="44"/>
        <v>0</v>
      </c>
    </row>
    <row r="617" spans="1:40" x14ac:dyDescent="0.2">
      <c r="A617" s="2">
        <v>62</v>
      </c>
      <c r="B617" t="s">
        <v>1489</v>
      </c>
      <c r="C617" s="2">
        <v>0</v>
      </c>
      <c r="D617" s="2">
        <v>0</v>
      </c>
      <c r="E617" s="2">
        <v>0</v>
      </c>
      <c r="G617" s="2" t="s">
        <v>1186</v>
      </c>
      <c r="H617" s="2" t="s">
        <v>1191</v>
      </c>
      <c r="I617" s="2">
        <v>2</v>
      </c>
      <c r="J617" s="2" t="s">
        <v>1276</v>
      </c>
      <c r="K617">
        <v>2019</v>
      </c>
      <c r="L617" s="2" t="s">
        <v>33</v>
      </c>
      <c r="M617" t="s">
        <v>1319</v>
      </c>
      <c r="N617">
        <v>25.5</v>
      </c>
      <c r="O617">
        <v>2</v>
      </c>
      <c r="P617" t="s">
        <v>37</v>
      </c>
      <c r="R617" t="s">
        <v>89</v>
      </c>
      <c r="S617" s="4">
        <v>38.477719999999998</v>
      </c>
      <c r="T617" s="4">
        <v>-122.14245</v>
      </c>
      <c r="U617">
        <v>1096</v>
      </c>
      <c r="V617" s="6">
        <f t="shared" si="41"/>
        <v>334.06080000000003</v>
      </c>
      <c r="W617" s="2" t="s">
        <v>898</v>
      </c>
      <c r="X617" s="2" t="s">
        <v>2239</v>
      </c>
      <c r="Y617" s="2" t="s">
        <v>1097</v>
      </c>
      <c r="AA617" t="s">
        <v>1784</v>
      </c>
      <c r="AJ617" s="41">
        <v>0</v>
      </c>
      <c r="AL617">
        <f t="shared" si="42"/>
        <v>0</v>
      </c>
      <c r="AM617">
        <f t="shared" si="43"/>
        <v>0</v>
      </c>
      <c r="AN617">
        <f t="shared" si="44"/>
        <v>0</v>
      </c>
    </row>
    <row r="618" spans="1:40" x14ac:dyDescent="0.2">
      <c r="A618" s="2">
        <v>62</v>
      </c>
      <c r="B618" t="s">
        <v>1490</v>
      </c>
      <c r="C618" s="2">
        <v>0</v>
      </c>
      <c r="D618" s="2">
        <v>0</v>
      </c>
      <c r="E618" s="2">
        <v>0</v>
      </c>
      <c r="G618" s="2" t="s">
        <v>1186</v>
      </c>
      <c r="H618" s="2" t="s">
        <v>1191</v>
      </c>
      <c r="I618" s="2">
        <v>2</v>
      </c>
      <c r="J618" s="2" t="s">
        <v>1276</v>
      </c>
      <c r="K618">
        <v>2019</v>
      </c>
      <c r="L618" s="2" t="s">
        <v>33</v>
      </c>
      <c r="M618" t="s">
        <v>1319</v>
      </c>
      <c r="N618">
        <v>24</v>
      </c>
      <c r="O618">
        <f>51-49.5</f>
        <v>1.5</v>
      </c>
      <c r="P618" t="s">
        <v>37</v>
      </c>
      <c r="R618" t="s">
        <v>89</v>
      </c>
      <c r="S618" s="4">
        <v>38.477719999999998</v>
      </c>
      <c r="T618" s="4">
        <v>-122.14245</v>
      </c>
      <c r="U618">
        <v>1096</v>
      </c>
      <c r="V618" s="6">
        <f t="shared" si="41"/>
        <v>334.06080000000003</v>
      </c>
      <c r="W618" s="2" t="s">
        <v>898</v>
      </c>
      <c r="X618" s="2" t="s">
        <v>2239</v>
      </c>
      <c r="Y618" s="2" t="s">
        <v>878</v>
      </c>
      <c r="AA618" t="s">
        <v>1785</v>
      </c>
      <c r="AJ618" s="41">
        <v>0</v>
      </c>
      <c r="AL618">
        <f t="shared" si="42"/>
        <v>0</v>
      </c>
      <c r="AM618">
        <f t="shared" si="43"/>
        <v>0</v>
      </c>
      <c r="AN618">
        <f t="shared" si="44"/>
        <v>0</v>
      </c>
    </row>
    <row r="619" spans="1:40" x14ac:dyDescent="0.2">
      <c r="A619" s="2">
        <v>62</v>
      </c>
      <c r="B619" t="s">
        <v>1491</v>
      </c>
      <c r="C619" s="2">
        <v>0</v>
      </c>
      <c r="D619" s="2">
        <v>0</v>
      </c>
      <c r="E619" s="2">
        <v>0</v>
      </c>
      <c r="G619" s="2" t="s">
        <v>1186</v>
      </c>
      <c r="H619" s="2" t="s">
        <v>1191</v>
      </c>
      <c r="I619" s="2">
        <v>2</v>
      </c>
      <c r="J619" s="2" t="s">
        <v>1276</v>
      </c>
      <c r="K619">
        <v>2019</v>
      </c>
      <c r="L619" s="2" t="s">
        <v>32</v>
      </c>
      <c r="M619" t="s">
        <v>1319</v>
      </c>
      <c r="N619">
        <v>21.5</v>
      </c>
      <c r="O619">
        <v>1</v>
      </c>
      <c r="P619" t="s">
        <v>37</v>
      </c>
      <c r="Q619" t="s">
        <v>42</v>
      </c>
      <c r="R619" t="s">
        <v>39</v>
      </c>
      <c r="S619" s="4">
        <v>38.477719999999998</v>
      </c>
      <c r="T619" s="4">
        <v>-122.14245</v>
      </c>
      <c r="U619">
        <v>1096</v>
      </c>
      <c r="V619" s="6">
        <f t="shared" si="41"/>
        <v>334.06080000000003</v>
      </c>
      <c r="W619" s="2" t="s">
        <v>898</v>
      </c>
      <c r="X619" s="2" t="s">
        <v>2239</v>
      </c>
      <c r="Y619" s="2" t="s">
        <v>56</v>
      </c>
      <c r="Z619" t="s">
        <v>1787</v>
      </c>
      <c r="AA619" t="s">
        <v>1786</v>
      </c>
      <c r="AJ619" s="41">
        <v>0</v>
      </c>
      <c r="AL619">
        <f t="shared" si="42"/>
        <v>0</v>
      </c>
      <c r="AM619">
        <f t="shared" si="43"/>
        <v>0</v>
      </c>
      <c r="AN619">
        <f t="shared" si="44"/>
        <v>0</v>
      </c>
    </row>
    <row r="620" spans="1:40" x14ac:dyDescent="0.2">
      <c r="A620" s="2">
        <v>62</v>
      </c>
      <c r="B620" t="s">
        <v>1492</v>
      </c>
      <c r="C620" s="2">
        <v>0</v>
      </c>
      <c r="D620" s="2">
        <v>0</v>
      </c>
      <c r="E620" s="2">
        <v>0</v>
      </c>
      <c r="G620" s="2" t="s">
        <v>1186</v>
      </c>
      <c r="H620" s="2" t="s">
        <v>1191</v>
      </c>
      <c r="I620" s="2">
        <v>2</v>
      </c>
      <c r="J620" s="2" t="s">
        <v>1276</v>
      </c>
      <c r="K620">
        <v>2019</v>
      </c>
      <c r="L620" s="2" t="s">
        <v>32</v>
      </c>
      <c r="M620" t="s">
        <v>1319</v>
      </c>
      <c r="N620">
        <v>21.5</v>
      </c>
      <c r="O620">
        <v>1</v>
      </c>
      <c r="P620" t="s">
        <v>37</v>
      </c>
      <c r="R620" s="45" t="s">
        <v>39</v>
      </c>
      <c r="S620" s="4">
        <v>38.477719999999998</v>
      </c>
      <c r="T620" s="4">
        <v>-122.14245</v>
      </c>
      <c r="U620">
        <v>1096</v>
      </c>
      <c r="V620" s="6">
        <f t="shared" ref="V620:V683" si="45">U620*0.3048</f>
        <v>334.06080000000003</v>
      </c>
      <c r="W620" s="2" t="s">
        <v>898</v>
      </c>
      <c r="X620" s="2" t="s">
        <v>2239</v>
      </c>
      <c r="Y620" s="2" t="s">
        <v>1098</v>
      </c>
      <c r="AA620" t="s">
        <v>1257</v>
      </c>
      <c r="AJ620" s="41">
        <v>0</v>
      </c>
      <c r="AL620">
        <f t="shared" si="42"/>
        <v>0</v>
      </c>
      <c r="AM620">
        <f t="shared" si="43"/>
        <v>0</v>
      </c>
      <c r="AN620">
        <f t="shared" si="44"/>
        <v>0</v>
      </c>
    </row>
    <row r="621" spans="1:40" x14ac:dyDescent="0.2">
      <c r="A621" s="2">
        <v>62</v>
      </c>
      <c r="B621" t="s">
        <v>1493</v>
      </c>
      <c r="C621" s="2">
        <v>0</v>
      </c>
      <c r="D621" s="2">
        <v>0</v>
      </c>
      <c r="E621" s="2">
        <v>0</v>
      </c>
      <c r="G621" s="2" t="s">
        <v>1186</v>
      </c>
      <c r="H621" s="2" t="s">
        <v>1191</v>
      </c>
      <c r="I621" s="2">
        <v>2</v>
      </c>
      <c r="J621" s="2" t="s">
        <v>1276</v>
      </c>
      <c r="K621">
        <v>2019</v>
      </c>
      <c r="L621" s="2" t="s">
        <v>33</v>
      </c>
      <c r="M621" t="s">
        <v>1319</v>
      </c>
      <c r="N621">
        <v>22.5</v>
      </c>
      <c r="O621">
        <f>41.5-39</f>
        <v>2.5</v>
      </c>
      <c r="P621" t="s">
        <v>37</v>
      </c>
      <c r="R621" t="s">
        <v>89</v>
      </c>
      <c r="S621" s="4">
        <v>38.477719999999998</v>
      </c>
      <c r="T621" s="4">
        <v>-122.14245</v>
      </c>
      <c r="U621">
        <v>1096</v>
      </c>
      <c r="V621" s="6">
        <f t="shared" si="45"/>
        <v>334.06080000000003</v>
      </c>
      <c r="W621" s="2" t="s">
        <v>898</v>
      </c>
      <c r="X621" s="2" t="s">
        <v>2239</v>
      </c>
      <c r="Y621" s="2" t="s">
        <v>346</v>
      </c>
      <c r="AA621" t="s">
        <v>1788</v>
      </c>
      <c r="AJ621" s="41">
        <v>0</v>
      </c>
      <c r="AL621">
        <f t="shared" si="42"/>
        <v>0</v>
      </c>
      <c r="AM621">
        <f t="shared" si="43"/>
        <v>0</v>
      </c>
      <c r="AN621">
        <f t="shared" si="44"/>
        <v>0</v>
      </c>
    </row>
    <row r="622" spans="1:40" x14ac:dyDescent="0.2">
      <c r="A622" s="2">
        <v>62</v>
      </c>
      <c r="B622" t="s">
        <v>1494</v>
      </c>
      <c r="C622" s="2">
        <v>0</v>
      </c>
      <c r="D622" s="2">
        <v>0</v>
      </c>
      <c r="E622" s="2">
        <v>0</v>
      </c>
      <c r="G622" s="2" t="s">
        <v>1186</v>
      </c>
      <c r="H622" s="2" t="s">
        <v>1191</v>
      </c>
      <c r="I622" s="2">
        <v>2</v>
      </c>
      <c r="J622" s="2" t="s">
        <v>1276</v>
      </c>
      <c r="K622">
        <v>2019</v>
      </c>
      <c r="L622" s="2" t="s">
        <v>32</v>
      </c>
      <c r="M622" t="s">
        <v>1319</v>
      </c>
      <c r="N622">
        <v>25.5</v>
      </c>
      <c r="O622">
        <f>18-16.5</f>
        <v>1.5</v>
      </c>
      <c r="P622" t="s">
        <v>37</v>
      </c>
      <c r="Q622" t="s">
        <v>42</v>
      </c>
      <c r="R622" t="s">
        <v>39</v>
      </c>
      <c r="S622" s="4">
        <v>38.477719999999998</v>
      </c>
      <c r="T622" s="4">
        <v>-122.14245</v>
      </c>
      <c r="U622">
        <v>1096</v>
      </c>
      <c r="V622" s="6">
        <f t="shared" si="45"/>
        <v>334.06080000000003</v>
      </c>
      <c r="W622" s="2" t="s">
        <v>898</v>
      </c>
      <c r="X622" s="2" t="s">
        <v>2239</v>
      </c>
      <c r="Y622" s="2" t="s">
        <v>454</v>
      </c>
      <c r="AA622" t="s">
        <v>1789</v>
      </c>
      <c r="AJ622" s="41">
        <v>0</v>
      </c>
      <c r="AL622">
        <f t="shared" si="42"/>
        <v>0</v>
      </c>
      <c r="AM622">
        <f t="shared" si="43"/>
        <v>0</v>
      </c>
      <c r="AN622">
        <f t="shared" si="44"/>
        <v>0</v>
      </c>
    </row>
    <row r="623" spans="1:40" x14ac:dyDescent="0.2">
      <c r="A623" s="2">
        <v>62</v>
      </c>
      <c r="B623" t="s">
        <v>1495</v>
      </c>
      <c r="C623" s="2">
        <v>0</v>
      </c>
      <c r="D623" s="2">
        <v>0</v>
      </c>
      <c r="E623" s="2">
        <v>0</v>
      </c>
      <c r="G623" s="2" t="s">
        <v>1186</v>
      </c>
      <c r="H623" s="2" t="s">
        <v>1191</v>
      </c>
      <c r="I623" s="2">
        <v>2</v>
      </c>
      <c r="J623" s="2" t="s">
        <v>1276</v>
      </c>
      <c r="K623">
        <v>2019</v>
      </c>
      <c r="L623" s="2" t="s">
        <v>32</v>
      </c>
      <c r="M623" t="s">
        <v>1319</v>
      </c>
      <c r="N623">
        <v>21</v>
      </c>
      <c r="O623">
        <v>1</v>
      </c>
      <c r="P623" t="s">
        <v>37</v>
      </c>
      <c r="Q623" t="s">
        <v>42</v>
      </c>
      <c r="R623" t="s">
        <v>39</v>
      </c>
      <c r="S623" s="4">
        <v>38.477719999999998</v>
      </c>
      <c r="T623" s="4">
        <v>-122.14245</v>
      </c>
      <c r="U623">
        <v>1096</v>
      </c>
      <c r="V623" s="6">
        <f t="shared" si="45"/>
        <v>334.06080000000003</v>
      </c>
      <c r="W623" s="2" t="s">
        <v>898</v>
      </c>
      <c r="X623" s="2" t="s">
        <v>2239</v>
      </c>
      <c r="Y623" s="2" t="s">
        <v>254</v>
      </c>
      <c r="Z623" t="s">
        <v>1791</v>
      </c>
      <c r="AA623" t="s">
        <v>1790</v>
      </c>
      <c r="AJ623" s="41">
        <v>0</v>
      </c>
      <c r="AL623">
        <f t="shared" si="42"/>
        <v>0</v>
      </c>
      <c r="AM623">
        <f t="shared" si="43"/>
        <v>0</v>
      </c>
      <c r="AN623">
        <f t="shared" si="44"/>
        <v>0</v>
      </c>
    </row>
    <row r="624" spans="1:40" x14ac:dyDescent="0.2">
      <c r="A624" s="2">
        <v>62</v>
      </c>
      <c r="B624" t="s">
        <v>1496</v>
      </c>
      <c r="C624" s="2">
        <v>0</v>
      </c>
      <c r="D624" s="2">
        <v>0</v>
      </c>
      <c r="E624" s="2">
        <v>0</v>
      </c>
      <c r="G624" s="2" t="s">
        <v>1186</v>
      </c>
      <c r="H624" s="2" t="s">
        <v>1191</v>
      </c>
      <c r="I624" s="2">
        <v>2</v>
      </c>
      <c r="J624" s="2" t="s">
        <v>1276</v>
      </c>
      <c r="K624">
        <v>2019</v>
      </c>
      <c r="L624" s="2" t="s">
        <v>32</v>
      </c>
      <c r="M624" t="s">
        <v>1319</v>
      </c>
      <c r="N624">
        <v>22.5</v>
      </c>
      <c r="O624">
        <v>1</v>
      </c>
      <c r="P624" t="s">
        <v>37</v>
      </c>
      <c r="Q624" t="s">
        <v>42</v>
      </c>
      <c r="R624" t="s">
        <v>39</v>
      </c>
      <c r="S624" s="4">
        <v>38.477719999999998</v>
      </c>
      <c r="T624" s="4">
        <v>-122.14245</v>
      </c>
      <c r="U624">
        <v>1096</v>
      </c>
      <c r="V624" s="6">
        <f t="shared" si="45"/>
        <v>334.06080000000003</v>
      </c>
      <c r="W624" s="2" t="s">
        <v>898</v>
      </c>
      <c r="X624" s="2" t="s">
        <v>2239</v>
      </c>
      <c r="Y624" s="2" t="s">
        <v>1113</v>
      </c>
      <c r="AA624" t="s">
        <v>1255</v>
      </c>
      <c r="AJ624" s="41">
        <v>0</v>
      </c>
      <c r="AL624">
        <f t="shared" si="42"/>
        <v>0</v>
      </c>
      <c r="AM624">
        <f t="shared" si="43"/>
        <v>0</v>
      </c>
      <c r="AN624">
        <f t="shared" si="44"/>
        <v>0</v>
      </c>
    </row>
    <row r="625" spans="1:40" x14ac:dyDescent="0.2">
      <c r="A625" s="2">
        <v>62</v>
      </c>
      <c r="B625" t="s">
        <v>1497</v>
      </c>
      <c r="C625" s="2">
        <v>0</v>
      </c>
      <c r="D625" s="2">
        <v>0</v>
      </c>
      <c r="E625" s="2">
        <v>0</v>
      </c>
      <c r="G625" s="2" t="s">
        <v>1186</v>
      </c>
      <c r="H625" s="2" t="s">
        <v>1191</v>
      </c>
      <c r="I625" s="2">
        <v>2</v>
      </c>
      <c r="J625" s="2" t="s">
        <v>1276</v>
      </c>
      <c r="K625">
        <v>2019</v>
      </c>
      <c r="L625" s="2" t="s">
        <v>32</v>
      </c>
      <c r="M625" t="s">
        <v>1319</v>
      </c>
      <c r="N625">
        <v>22</v>
      </c>
      <c r="O625">
        <f>22.5-21</f>
        <v>1.5</v>
      </c>
      <c r="P625" t="s">
        <v>37</v>
      </c>
      <c r="Q625" t="s">
        <v>42</v>
      </c>
      <c r="R625" t="s">
        <v>39</v>
      </c>
      <c r="S625" s="4">
        <v>38.477719999999998</v>
      </c>
      <c r="T625" s="4">
        <v>-122.14245</v>
      </c>
      <c r="U625">
        <v>1096</v>
      </c>
      <c r="V625" s="6">
        <f t="shared" si="45"/>
        <v>334.06080000000003</v>
      </c>
      <c r="W625" s="2" t="s">
        <v>898</v>
      </c>
      <c r="X625" s="2" t="s">
        <v>2239</v>
      </c>
      <c r="Y625" s="2" t="s">
        <v>263</v>
      </c>
      <c r="AA625" t="s">
        <v>1792</v>
      </c>
      <c r="AJ625" s="41">
        <v>0</v>
      </c>
      <c r="AL625">
        <f t="shared" si="42"/>
        <v>0</v>
      </c>
      <c r="AM625">
        <f t="shared" si="43"/>
        <v>0</v>
      </c>
      <c r="AN625">
        <f t="shared" si="44"/>
        <v>0</v>
      </c>
    </row>
    <row r="626" spans="1:40" x14ac:dyDescent="0.2">
      <c r="A626" s="2">
        <v>62</v>
      </c>
      <c r="B626" t="s">
        <v>1498</v>
      </c>
      <c r="C626" s="2">
        <v>0</v>
      </c>
      <c r="D626" s="2">
        <v>0</v>
      </c>
      <c r="E626" s="2">
        <v>0</v>
      </c>
      <c r="G626" s="2" t="s">
        <v>1186</v>
      </c>
      <c r="H626" s="2" t="s">
        <v>1191</v>
      </c>
      <c r="I626" s="2">
        <v>2</v>
      </c>
      <c r="J626" s="2" t="s">
        <v>1276</v>
      </c>
      <c r="K626">
        <v>2019</v>
      </c>
      <c r="L626" s="2" t="s">
        <v>32</v>
      </c>
      <c r="M626" t="s">
        <v>1319</v>
      </c>
      <c r="N626">
        <v>22</v>
      </c>
      <c r="O626">
        <v>0.5</v>
      </c>
      <c r="P626" t="s">
        <v>37</v>
      </c>
      <c r="R626" s="45" t="s">
        <v>39</v>
      </c>
      <c r="S626" s="4">
        <v>38.477719999999998</v>
      </c>
      <c r="T626" s="4">
        <v>-122.14245</v>
      </c>
      <c r="U626">
        <v>1096</v>
      </c>
      <c r="V626" s="6">
        <f t="shared" si="45"/>
        <v>334.06080000000003</v>
      </c>
      <c r="W626" s="2" t="s">
        <v>898</v>
      </c>
      <c r="X626" s="2" t="s">
        <v>2239</v>
      </c>
      <c r="Y626" s="2" t="s">
        <v>353</v>
      </c>
      <c r="AA626" t="s">
        <v>1793</v>
      </c>
      <c r="AJ626" s="41">
        <v>0</v>
      </c>
      <c r="AL626">
        <f t="shared" si="42"/>
        <v>0</v>
      </c>
      <c r="AM626">
        <f t="shared" si="43"/>
        <v>0</v>
      </c>
      <c r="AN626">
        <f t="shared" si="44"/>
        <v>0</v>
      </c>
    </row>
    <row r="627" spans="1:40" x14ac:dyDescent="0.2">
      <c r="A627" s="2">
        <v>62</v>
      </c>
      <c r="B627" t="s">
        <v>1499</v>
      </c>
      <c r="C627" s="2">
        <v>0</v>
      </c>
      <c r="D627" s="2">
        <v>0</v>
      </c>
      <c r="E627" s="2">
        <v>0</v>
      </c>
      <c r="G627" s="2" t="s">
        <v>1186</v>
      </c>
      <c r="H627" s="2" t="s">
        <v>1191</v>
      </c>
      <c r="I627" s="2">
        <v>2</v>
      </c>
      <c r="J627" s="2" t="s">
        <v>1276</v>
      </c>
      <c r="K627">
        <v>2019</v>
      </c>
      <c r="L627" s="2" t="s">
        <v>32</v>
      </c>
      <c r="M627" t="s">
        <v>1319</v>
      </c>
      <c r="N627">
        <v>21.5</v>
      </c>
      <c r="O627">
        <v>1</v>
      </c>
      <c r="P627" t="s">
        <v>37</v>
      </c>
      <c r="R627" s="45" t="s">
        <v>39</v>
      </c>
      <c r="S627" s="4">
        <v>38.477719999999998</v>
      </c>
      <c r="T627" s="4">
        <v>-122.14245</v>
      </c>
      <c r="U627">
        <v>1096</v>
      </c>
      <c r="V627" s="6">
        <f t="shared" si="45"/>
        <v>334.06080000000003</v>
      </c>
      <c r="W627" s="2" t="s">
        <v>898</v>
      </c>
      <c r="X627" s="2" t="s">
        <v>2239</v>
      </c>
      <c r="Y627" s="2" t="s">
        <v>267</v>
      </c>
      <c r="AA627" t="s">
        <v>1794</v>
      </c>
      <c r="AJ627" s="41">
        <v>0</v>
      </c>
      <c r="AL627">
        <f t="shared" si="42"/>
        <v>0</v>
      </c>
      <c r="AM627">
        <f t="shared" si="43"/>
        <v>0</v>
      </c>
      <c r="AN627">
        <f t="shared" si="44"/>
        <v>0</v>
      </c>
    </row>
    <row r="628" spans="1:40" x14ac:dyDescent="0.2">
      <c r="A628" s="2">
        <v>62</v>
      </c>
      <c r="B628" t="s">
        <v>1500</v>
      </c>
      <c r="C628" s="2">
        <v>4.1263360999999998E-2</v>
      </c>
      <c r="D628" s="2">
        <v>5.5417500436306E-2</v>
      </c>
      <c r="E628" s="2">
        <v>3.0394481495022774E-2</v>
      </c>
      <c r="G628" s="2" t="s">
        <v>1186</v>
      </c>
      <c r="H628" s="2" t="s">
        <v>1191</v>
      </c>
      <c r="I628" s="2">
        <v>2</v>
      </c>
      <c r="J628" s="2" t="s">
        <v>1276</v>
      </c>
      <c r="K628">
        <v>2019</v>
      </c>
      <c r="L628" s="2" t="s">
        <v>32</v>
      </c>
      <c r="M628" t="s">
        <v>1319</v>
      </c>
      <c r="N628">
        <v>20</v>
      </c>
      <c r="O628">
        <v>0.5</v>
      </c>
      <c r="P628" t="s">
        <v>37</v>
      </c>
      <c r="R628" s="45" t="s">
        <v>39</v>
      </c>
      <c r="S628" s="4">
        <v>38.477719999999998</v>
      </c>
      <c r="T628" s="4">
        <v>-122.14245</v>
      </c>
      <c r="U628">
        <v>1096</v>
      </c>
      <c r="V628" s="6">
        <f t="shared" si="45"/>
        <v>334.06080000000003</v>
      </c>
      <c r="W628" s="2" t="s">
        <v>898</v>
      </c>
      <c r="X628" s="2" t="s">
        <v>2239</v>
      </c>
      <c r="Y628" s="2" t="s">
        <v>267</v>
      </c>
      <c r="AA628" t="s">
        <v>1795</v>
      </c>
      <c r="AB628" s="2"/>
      <c r="AJ628" s="41">
        <v>0</v>
      </c>
      <c r="AL628">
        <f t="shared" si="42"/>
        <v>3.3010688799999999</v>
      </c>
      <c r="AM628">
        <f t="shared" si="43"/>
        <v>4.43340003490448</v>
      </c>
      <c r="AN628">
        <f t="shared" si="44"/>
        <v>2.4315585196018219</v>
      </c>
    </row>
    <row r="629" spans="1:40" x14ac:dyDescent="0.2">
      <c r="A629" s="2">
        <v>63</v>
      </c>
      <c r="B629" t="s">
        <v>1501</v>
      </c>
      <c r="C629" s="2">
        <v>0</v>
      </c>
      <c r="D629" s="2">
        <v>0</v>
      </c>
      <c r="E629" s="2">
        <v>0</v>
      </c>
      <c r="G629" s="2" t="s">
        <v>1186</v>
      </c>
      <c r="H629" s="2" t="s">
        <v>1191</v>
      </c>
      <c r="I629" s="2">
        <v>3</v>
      </c>
      <c r="J629" s="2" t="s">
        <v>1276</v>
      </c>
      <c r="K629">
        <v>2019</v>
      </c>
      <c r="L629" s="2" t="s">
        <v>33</v>
      </c>
      <c r="M629" t="s">
        <v>1319</v>
      </c>
      <c r="N629">
        <v>44.5</v>
      </c>
      <c r="O629">
        <f>27.5-17</f>
        <v>10.5</v>
      </c>
      <c r="P629" t="s">
        <v>30</v>
      </c>
      <c r="R629" s="2" t="s">
        <v>89</v>
      </c>
      <c r="S629" s="5">
        <v>38.493189999999998</v>
      </c>
      <c r="T629" s="5">
        <v>122.14924999999999</v>
      </c>
      <c r="U629">
        <v>546</v>
      </c>
      <c r="V629" s="6">
        <f t="shared" si="45"/>
        <v>166.42080000000001</v>
      </c>
      <c r="W629" s="2" t="s">
        <v>2331</v>
      </c>
      <c r="X629" s="2" t="s">
        <v>2383</v>
      </c>
      <c r="Y629" s="2" t="s">
        <v>335</v>
      </c>
      <c r="AA629" t="s">
        <v>1796</v>
      </c>
      <c r="AJ629" s="41">
        <v>0</v>
      </c>
      <c r="AL629">
        <f t="shared" si="42"/>
        <v>0</v>
      </c>
      <c r="AM629">
        <f t="shared" si="43"/>
        <v>0</v>
      </c>
      <c r="AN629">
        <f t="shared" si="44"/>
        <v>0</v>
      </c>
    </row>
    <row r="630" spans="1:40" x14ac:dyDescent="0.2">
      <c r="A630" s="2">
        <v>63</v>
      </c>
      <c r="B630" t="s">
        <v>1502</v>
      </c>
      <c r="C630" s="2">
        <v>0</v>
      </c>
      <c r="D630" s="2">
        <v>0</v>
      </c>
      <c r="E630" s="2">
        <v>0</v>
      </c>
      <c r="G630" s="2" t="s">
        <v>1186</v>
      </c>
      <c r="H630" s="2" t="s">
        <v>1191</v>
      </c>
      <c r="I630" s="2">
        <v>3</v>
      </c>
      <c r="J630" s="2" t="s">
        <v>1276</v>
      </c>
      <c r="K630">
        <v>2019</v>
      </c>
      <c r="L630" s="2" t="s">
        <v>32</v>
      </c>
      <c r="M630" t="s">
        <v>1319</v>
      </c>
      <c r="N630">
        <v>20.5</v>
      </c>
      <c r="O630">
        <v>0.5</v>
      </c>
      <c r="P630" t="s">
        <v>37</v>
      </c>
      <c r="R630" s="45" t="s">
        <v>39</v>
      </c>
      <c r="S630" s="4">
        <v>38.513150000000003</v>
      </c>
      <c r="T630" s="4">
        <v>-122.14584000000001</v>
      </c>
      <c r="U630">
        <v>1057</v>
      </c>
      <c r="V630" s="6">
        <f t="shared" si="45"/>
        <v>322.17360000000002</v>
      </c>
      <c r="W630" s="2" t="s">
        <v>898</v>
      </c>
      <c r="X630" s="2" t="s">
        <v>2382</v>
      </c>
      <c r="Y630" s="2" t="s">
        <v>1106</v>
      </c>
      <c r="AA630" t="s">
        <v>1797</v>
      </c>
      <c r="AJ630" s="41">
        <v>0</v>
      </c>
      <c r="AL630">
        <f t="shared" si="42"/>
        <v>0</v>
      </c>
      <c r="AM630">
        <f t="shared" si="43"/>
        <v>0</v>
      </c>
      <c r="AN630">
        <f t="shared" si="44"/>
        <v>0</v>
      </c>
    </row>
    <row r="631" spans="1:40" x14ac:dyDescent="0.2">
      <c r="A631" s="2">
        <v>63</v>
      </c>
      <c r="B631" t="s">
        <v>1503</v>
      </c>
      <c r="C631" s="2">
        <v>0</v>
      </c>
      <c r="D631" s="2">
        <v>0</v>
      </c>
      <c r="E631" s="2">
        <v>0</v>
      </c>
      <c r="G631" s="2" t="s">
        <v>1186</v>
      </c>
      <c r="H631" s="2" t="s">
        <v>1191</v>
      </c>
      <c r="I631" s="2">
        <v>3</v>
      </c>
      <c r="J631" s="2" t="s">
        <v>1276</v>
      </c>
      <c r="K631">
        <v>2019</v>
      </c>
      <c r="L631" s="2" t="s">
        <v>32</v>
      </c>
      <c r="M631" t="s">
        <v>1319</v>
      </c>
      <c r="N631">
        <v>19</v>
      </c>
      <c r="O631">
        <v>0.5</v>
      </c>
      <c r="P631" t="s">
        <v>37</v>
      </c>
      <c r="R631" s="45" t="s">
        <v>39</v>
      </c>
      <c r="S631" s="4">
        <v>38.513150000000003</v>
      </c>
      <c r="T631" s="4">
        <v>-122.14584000000001</v>
      </c>
      <c r="U631">
        <v>1057</v>
      </c>
      <c r="V631" s="6">
        <f t="shared" si="45"/>
        <v>322.17360000000002</v>
      </c>
      <c r="W631" s="2" t="s">
        <v>898</v>
      </c>
      <c r="X631" s="2" t="s">
        <v>2382</v>
      </c>
      <c r="Y631" s="2" t="s">
        <v>1598</v>
      </c>
      <c r="AA631" t="s">
        <v>1798</v>
      </c>
      <c r="AJ631" s="41">
        <v>0</v>
      </c>
      <c r="AL631">
        <f t="shared" si="42"/>
        <v>0</v>
      </c>
      <c r="AM631">
        <f t="shared" si="43"/>
        <v>0</v>
      </c>
      <c r="AN631">
        <f t="shared" si="44"/>
        <v>0</v>
      </c>
    </row>
    <row r="632" spans="1:40" x14ac:dyDescent="0.2">
      <c r="A632" s="2">
        <v>63</v>
      </c>
      <c r="B632" t="s">
        <v>1504</v>
      </c>
      <c r="C632" s="2">
        <v>0</v>
      </c>
      <c r="D632" s="2">
        <v>0</v>
      </c>
      <c r="E632" s="2">
        <v>0</v>
      </c>
      <c r="G632" s="2" t="s">
        <v>1186</v>
      </c>
      <c r="H632" s="2" t="s">
        <v>1191</v>
      </c>
      <c r="I632" s="2">
        <v>3</v>
      </c>
      <c r="J632" s="2" t="s">
        <v>1276</v>
      </c>
      <c r="K632">
        <v>2019</v>
      </c>
      <c r="L632" s="2" t="s">
        <v>32</v>
      </c>
      <c r="M632" t="s">
        <v>1319</v>
      </c>
      <c r="N632">
        <v>27</v>
      </c>
      <c r="O632">
        <f>14-12.5</f>
        <v>1.5</v>
      </c>
      <c r="P632" t="s">
        <v>37</v>
      </c>
      <c r="Q632" t="s">
        <v>42</v>
      </c>
      <c r="R632" t="s">
        <v>39</v>
      </c>
      <c r="S632" s="4">
        <v>38.513150000000003</v>
      </c>
      <c r="T632" s="4">
        <v>-122.14584000000001</v>
      </c>
      <c r="U632">
        <v>1057</v>
      </c>
      <c r="V632" s="6">
        <f t="shared" si="45"/>
        <v>322.17360000000002</v>
      </c>
      <c r="W632" s="2" t="s">
        <v>898</v>
      </c>
      <c r="X632" s="2" t="s">
        <v>2382</v>
      </c>
      <c r="Y632" s="2" t="s">
        <v>1599</v>
      </c>
      <c r="AA632" t="s">
        <v>1799</v>
      </c>
      <c r="AJ632" s="41">
        <v>0</v>
      </c>
      <c r="AL632">
        <f t="shared" si="42"/>
        <v>0</v>
      </c>
      <c r="AM632">
        <f t="shared" si="43"/>
        <v>0</v>
      </c>
      <c r="AN632">
        <f t="shared" si="44"/>
        <v>0</v>
      </c>
    </row>
    <row r="633" spans="1:40" x14ac:dyDescent="0.2">
      <c r="A633" s="2">
        <v>63</v>
      </c>
      <c r="B633" t="s">
        <v>1505</v>
      </c>
      <c r="C633" s="2">
        <v>0</v>
      </c>
      <c r="D633" s="2">
        <v>0</v>
      </c>
      <c r="E633" s="2">
        <v>0</v>
      </c>
      <c r="G633" s="2" t="s">
        <v>1186</v>
      </c>
      <c r="H633" s="2" t="s">
        <v>1191</v>
      </c>
      <c r="I633" s="2">
        <v>3</v>
      </c>
      <c r="J633" s="2" t="s">
        <v>1276</v>
      </c>
      <c r="K633">
        <v>2019</v>
      </c>
      <c r="L633" s="2" t="s">
        <v>32</v>
      </c>
      <c r="M633" t="s">
        <v>1319</v>
      </c>
      <c r="N633">
        <v>18.5</v>
      </c>
      <c r="O633">
        <v>0.5</v>
      </c>
      <c r="P633" t="s">
        <v>37</v>
      </c>
      <c r="R633" t="s">
        <v>89</v>
      </c>
      <c r="S633" s="4">
        <v>38.513150000000003</v>
      </c>
      <c r="T633" s="4">
        <v>-122.14584000000001</v>
      </c>
      <c r="U633">
        <v>1057</v>
      </c>
      <c r="V633" s="6">
        <f t="shared" si="45"/>
        <v>322.17360000000002</v>
      </c>
      <c r="W633" s="2" t="s">
        <v>898</v>
      </c>
      <c r="X633" s="2" t="s">
        <v>2382</v>
      </c>
      <c r="Y633" s="2" t="s">
        <v>541</v>
      </c>
      <c r="AA633" t="s">
        <v>1800</v>
      </c>
      <c r="AJ633" s="41">
        <v>0</v>
      </c>
      <c r="AL633">
        <f t="shared" si="42"/>
        <v>0</v>
      </c>
      <c r="AM633">
        <f t="shared" si="43"/>
        <v>0</v>
      </c>
      <c r="AN633">
        <f t="shared" si="44"/>
        <v>0</v>
      </c>
    </row>
    <row r="634" spans="1:40" x14ac:dyDescent="0.2">
      <c r="A634" s="2">
        <v>63</v>
      </c>
      <c r="B634" t="s">
        <v>1506</v>
      </c>
      <c r="C634" s="2">
        <v>0</v>
      </c>
      <c r="D634" s="2">
        <v>0</v>
      </c>
      <c r="E634" s="2">
        <v>0</v>
      </c>
      <c r="G634" s="2" t="s">
        <v>1186</v>
      </c>
      <c r="H634" s="2" t="s">
        <v>1191</v>
      </c>
      <c r="I634" s="2">
        <v>3</v>
      </c>
      <c r="J634" s="2" t="s">
        <v>1276</v>
      </c>
      <c r="K634">
        <v>2019</v>
      </c>
      <c r="L634" s="2" t="s">
        <v>32</v>
      </c>
      <c r="M634" t="s">
        <v>1319</v>
      </c>
      <c r="N634">
        <v>21</v>
      </c>
      <c r="O634">
        <v>1</v>
      </c>
      <c r="P634" t="s">
        <v>37</v>
      </c>
      <c r="Q634" s="2" t="s">
        <v>42</v>
      </c>
      <c r="R634" s="45" t="s">
        <v>39</v>
      </c>
      <c r="S634" s="4">
        <v>38.513150000000003</v>
      </c>
      <c r="T634" s="4">
        <v>-122.14584000000001</v>
      </c>
      <c r="U634">
        <v>1057</v>
      </c>
      <c r="V634" s="6">
        <f t="shared" si="45"/>
        <v>322.17360000000002</v>
      </c>
      <c r="W634" s="2" t="s">
        <v>898</v>
      </c>
      <c r="X634" s="2" t="s">
        <v>2382</v>
      </c>
      <c r="Y634" s="2" t="s">
        <v>1600</v>
      </c>
      <c r="AA634" t="s">
        <v>1801</v>
      </c>
      <c r="AJ634" s="41">
        <v>0</v>
      </c>
      <c r="AL634">
        <f t="shared" si="42"/>
        <v>0</v>
      </c>
      <c r="AM634">
        <f t="shared" si="43"/>
        <v>0</v>
      </c>
      <c r="AN634">
        <f t="shared" si="44"/>
        <v>0</v>
      </c>
    </row>
    <row r="635" spans="1:40" x14ac:dyDescent="0.2">
      <c r="A635" s="2">
        <v>63</v>
      </c>
      <c r="B635" t="s">
        <v>1507</v>
      </c>
      <c r="C635" s="2">
        <v>0</v>
      </c>
      <c r="D635" s="2">
        <v>0</v>
      </c>
      <c r="E635" s="2">
        <v>0</v>
      </c>
      <c r="G635" s="2" t="s">
        <v>1186</v>
      </c>
      <c r="H635" s="2" t="s">
        <v>1191</v>
      </c>
      <c r="I635" s="2">
        <v>3</v>
      </c>
      <c r="J635" s="2" t="s">
        <v>1276</v>
      </c>
      <c r="K635">
        <v>2019</v>
      </c>
      <c r="L635" s="2" t="s">
        <v>32</v>
      </c>
      <c r="M635" t="s">
        <v>1319</v>
      </c>
      <c r="N635">
        <v>23</v>
      </c>
      <c r="O635">
        <f>27-25.5</f>
        <v>1.5</v>
      </c>
      <c r="P635" t="s">
        <v>37</v>
      </c>
      <c r="Q635" s="2" t="s">
        <v>42</v>
      </c>
      <c r="R635" s="45" t="s">
        <v>39</v>
      </c>
      <c r="S635" s="4">
        <v>38.513150000000003</v>
      </c>
      <c r="T635" s="4">
        <v>-122.14584000000001</v>
      </c>
      <c r="U635">
        <v>1057</v>
      </c>
      <c r="V635" s="6">
        <f t="shared" si="45"/>
        <v>322.17360000000002</v>
      </c>
      <c r="W635" s="2" t="s">
        <v>898</v>
      </c>
      <c r="X635" s="2" t="s">
        <v>2382</v>
      </c>
      <c r="Y635" s="2" t="s">
        <v>1601</v>
      </c>
      <c r="AA635" t="s">
        <v>1802</v>
      </c>
      <c r="AJ635" s="41">
        <v>0</v>
      </c>
      <c r="AL635">
        <f t="shared" si="42"/>
        <v>0</v>
      </c>
      <c r="AM635">
        <f t="shared" si="43"/>
        <v>0</v>
      </c>
      <c r="AN635">
        <f t="shared" si="44"/>
        <v>0</v>
      </c>
    </row>
    <row r="636" spans="1:40" x14ac:dyDescent="0.2">
      <c r="A636" s="2">
        <v>63</v>
      </c>
      <c r="B636" t="s">
        <v>1508</v>
      </c>
      <c r="C636" s="2">
        <v>0</v>
      </c>
      <c r="D636" s="2">
        <v>0</v>
      </c>
      <c r="E636" s="2">
        <v>0</v>
      </c>
      <c r="G636" s="2" t="s">
        <v>1186</v>
      </c>
      <c r="H636" s="2" t="s">
        <v>1191</v>
      </c>
      <c r="I636" s="2">
        <v>3</v>
      </c>
      <c r="J636" s="2" t="s">
        <v>1276</v>
      </c>
      <c r="K636">
        <v>2019</v>
      </c>
      <c r="L636" s="2" t="s">
        <v>32</v>
      </c>
      <c r="M636" t="s">
        <v>1319</v>
      </c>
      <c r="N636">
        <v>23</v>
      </c>
      <c r="O636">
        <f>24-22.5</f>
        <v>1.5</v>
      </c>
      <c r="P636" t="s">
        <v>37</v>
      </c>
      <c r="Q636" s="2" t="s">
        <v>38</v>
      </c>
      <c r="R636" s="45" t="s">
        <v>39</v>
      </c>
      <c r="S636" s="4">
        <v>38.513150000000003</v>
      </c>
      <c r="T636" s="4">
        <v>-122.14584000000001</v>
      </c>
      <c r="U636">
        <v>1057</v>
      </c>
      <c r="V636" s="6">
        <f t="shared" si="45"/>
        <v>322.17360000000002</v>
      </c>
      <c r="W636" s="2" t="s">
        <v>898</v>
      </c>
      <c r="X636" s="2" t="s">
        <v>2382</v>
      </c>
      <c r="Y636" s="2" t="s">
        <v>1601</v>
      </c>
      <c r="Z636" t="s">
        <v>1804</v>
      </c>
      <c r="AA636" t="s">
        <v>1803</v>
      </c>
      <c r="AJ636" s="41">
        <v>0</v>
      </c>
      <c r="AL636">
        <f t="shared" si="42"/>
        <v>0</v>
      </c>
      <c r="AM636">
        <f t="shared" si="43"/>
        <v>0</v>
      </c>
      <c r="AN636">
        <f t="shared" si="44"/>
        <v>0</v>
      </c>
    </row>
    <row r="637" spans="1:40" x14ac:dyDescent="0.2">
      <c r="A637" s="2">
        <v>63</v>
      </c>
      <c r="B637" t="s">
        <v>1509</v>
      </c>
      <c r="C637" s="2">
        <v>0</v>
      </c>
      <c r="D637" s="2">
        <v>0</v>
      </c>
      <c r="E637" s="2">
        <v>0</v>
      </c>
      <c r="G637" s="2" t="s">
        <v>1186</v>
      </c>
      <c r="H637" s="2" t="s">
        <v>1191</v>
      </c>
      <c r="I637" s="2">
        <v>3</v>
      </c>
      <c r="J637" s="2" t="s">
        <v>1276</v>
      </c>
      <c r="K637">
        <v>2019</v>
      </c>
      <c r="L637" s="2" t="s">
        <v>32</v>
      </c>
      <c r="M637" t="s">
        <v>1319</v>
      </c>
      <c r="N637">
        <v>22.5</v>
      </c>
      <c r="O637">
        <f>23-21.5</f>
        <v>1.5</v>
      </c>
      <c r="P637" t="s">
        <v>37</v>
      </c>
      <c r="Q637" s="2" t="s">
        <v>42</v>
      </c>
      <c r="R637" t="s">
        <v>39</v>
      </c>
      <c r="S637" s="4">
        <v>38.513150000000003</v>
      </c>
      <c r="T637" s="4">
        <v>-122.14584000000001</v>
      </c>
      <c r="U637">
        <v>1057</v>
      </c>
      <c r="V637" s="6">
        <f t="shared" si="45"/>
        <v>322.17360000000002</v>
      </c>
      <c r="W637" s="2" t="s">
        <v>898</v>
      </c>
      <c r="X637" s="2" t="s">
        <v>2382</v>
      </c>
      <c r="Y637" s="2" t="s">
        <v>1602</v>
      </c>
      <c r="AA637" t="s">
        <v>1805</v>
      </c>
      <c r="AJ637" s="41">
        <v>0</v>
      </c>
      <c r="AL637">
        <f t="shared" si="42"/>
        <v>0</v>
      </c>
      <c r="AM637">
        <f t="shared" si="43"/>
        <v>0</v>
      </c>
      <c r="AN637">
        <f t="shared" si="44"/>
        <v>0</v>
      </c>
    </row>
    <row r="638" spans="1:40" x14ac:dyDescent="0.2">
      <c r="A638" s="2">
        <v>63</v>
      </c>
      <c r="B638" t="s">
        <v>1510</v>
      </c>
      <c r="C638" s="2">
        <v>0</v>
      </c>
      <c r="D638" s="2">
        <v>0</v>
      </c>
      <c r="E638" s="2">
        <v>0</v>
      </c>
      <c r="G638" s="2" t="s">
        <v>1186</v>
      </c>
      <c r="H638" s="2" t="s">
        <v>1191</v>
      </c>
      <c r="I638" s="2">
        <v>3</v>
      </c>
      <c r="J638" s="2" t="s">
        <v>1276</v>
      </c>
      <c r="K638">
        <v>2019</v>
      </c>
      <c r="L638" s="2" t="s">
        <v>32</v>
      </c>
      <c r="M638" t="s">
        <v>1319</v>
      </c>
      <c r="N638">
        <v>21.5</v>
      </c>
      <c r="O638">
        <v>1</v>
      </c>
      <c r="P638" t="s">
        <v>37</v>
      </c>
      <c r="Q638" s="2" t="s">
        <v>42</v>
      </c>
      <c r="R638" s="2" t="s">
        <v>39</v>
      </c>
      <c r="S638" s="4">
        <v>38.513150000000003</v>
      </c>
      <c r="T638" s="4">
        <v>-122.14584000000001</v>
      </c>
      <c r="U638">
        <v>1057</v>
      </c>
      <c r="V638" s="6">
        <f t="shared" si="45"/>
        <v>322.17360000000002</v>
      </c>
      <c r="W638" s="2" t="s">
        <v>898</v>
      </c>
      <c r="X638" s="2" t="s">
        <v>2382</v>
      </c>
      <c r="Y638" s="2" t="s">
        <v>1602</v>
      </c>
      <c r="AA638" t="s">
        <v>1806</v>
      </c>
      <c r="AJ638" s="41">
        <v>0</v>
      </c>
      <c r="AL638">
        <f t="shared" si="42"/>
        <v>0</v>
      </c>
      <c r="AM638">
        <f t="shared" si="43"/>
        <v>0</v>
      </c>
      <c r="AN638">
        <f t="shared" si="44"/>
        <v>0</v>
      </c>
    </row>
    <row r="639" spans="1:40" x14ac:dyDescent="0.2">
      <c r="A639" s="2">
        <v>63</v>
      </c>
      <c r="B639" t="s">
        <v>1511</v>
      </c>
      <c r="C639" s="2">
        <v>0</v>
      </c>
      <c r="D639" s="2">
        <v>0</v>
      </c>
      <c r="E639" s="2">
        <v>0</v>
      </c>
      <c r="G639" s="2" t="s">
        <v>1186</v>
      </c>
      <c r="H639" s="2" t="s">
        <v>1191</v>
      </c>
      <c r="I639" s="2">
        <v>3</v>
      </c>
      <c r="J639" s="2" t="s">
        <v>1276</v>
      </c>
      <c r="K639">
        <v>2019</v>
      </c>
      <c r="L639" s="2" t="s">
        <v>32</v>
      </c>
      <c r="M639" t="s">
        <v>1319</v>
      </c>
      <c r="N639">
        <v>23</v>
      </c>
      <c r="O639">
        <v>1</v>
      </c>
      <c r="P639" t="s">
        <v>37</v>
      </c>
      <c r="Q639" s="2" t="s">
        <v>38</v>
      </c>
      <c r="R639" s="2" t="s">
        <v>39</v>
      </c>
      <c r="S639" s="4">
        <v>38.513150000000003</v>
      </c>
      <c r="T639" s="4">
        <v>-122.14584000000001</v>
      </c>
      <c r="U639">
        <v>1057</v>
      </c>
      <c r="V639" s="6">
        <f t="shared" si="45"/>
        <v>322.17360000000002</v>
      </c>
      <c r="W639" s="2" t="s">
        <v>898</v>
      </c>
      <c r="X639" s="2" t="s">
        <v>2382</v>
      </c>
      <c r="Y639" s="2" t="s">
        <v>1595</v>
      </c>
      <c r="Z639" t="s">
        <v>1808</v>
      </c>
      <c r="AA639" t="s">
        <v>1807</v>
      </c>
      <c r="AJ639" s="41">
        <v>0</v>
      </c>
      <c r="AL639">
        <f t="shared" si="42"/>
        <v>0</v>
      </c>
      <c r="AM639">
        <f t="shared" si="43"/>
        <v>0</v>
      </c>
      <c r="AN639">
        <f t="shared" si="44"/>
        <v>0</v>
      </c>
    </row>
    <row r="640" spans="1:40" x14ac:dyDescent="0.2">
      <c r="A640" s="2">
        <v>63</v>
      </c>
      <c r="B640" t="s">
        <v>1512</v>
      </c>
      <c r="C640" s="2">
        <v>0</v>
      </c>
      <c r="D640" s="2">
        <v>0</v>
      </c>
      <c r="E640" s="2">
        <v>0</v>
      </c>
      <c r="G640" s="2" t="s">
        <v>1186</v>
      </c>
      <c r="H640" s="2" t="s">
        <v>1191</v>
      </c>
      <c r="I640" s="2">
        <v>3</v>
      </c>
      <c r="J640" s="2" t="s">
        <v>1276</v>
      </c>
      <c r="K640">
        <v>2019</v>
      </c>
      <c r="L640" s="2" t="s">
        <v>32</v>
      </c>
      <c r="M640" t="s">
        <v>1319</v>
      </c>
      <c r="N640">
        <v>23</v>
      </c>
      <c r="O640">
        <v>2</v>
      </c>
      <c r="P640" t="s">
        <v>37</v>
      </c>
      <c r="Q640" s="2" t="s">
        <v>42</v>
      </c>
      <c r="R640" s="2" t="s">
        <v>39</v>
      </c>
      <c r="S640" s="4">
        <v>38.513150000000003</v>
      </c>
      <c r="T640" s="4">
        <v>-122.14584000000001</v>
      </c>
      <c r="U640">
        <v>1057</v>
      </c>
      <c r="V640" s="6">
        <f t="shared" si="45"/>
        <v>322.17360000000002</v>
      </c>
      <c r="W640" s="2" t="s">
        <v>898</v>
      </c>
      <c r="X640" s="2" t="s">
        <v>2382</v>
      </c>
      <c r="Y640" s="2" t="s">
        <v>128</v>
      </c>
      <c r="AA640" t="s">
        <v>1809</v>
      </c>
      <c r="AJ640" s="41">
        <v>0</v>
      </c>
      <c r="AL640">
        <f t="shared" si="42"/>
        <v>0</v>
      </c>
      <c r="AM640">
        <f t="shared" si="43"/>
        <v>0</v>
      </c>
      <c r="AN640">
        <f t="shared" si="44"/>
        <v>0</v>
      </c>
    </row>
    <row r="641" spans="1:40" x14ac:dyDescent="0.2">
      <c r="A641" s="2">
        <v>63</v>
      </c>
      <c r="B641" t="s">
        <v>1513</v>
      </c>
      <c r="C641" s="2">
        <v>0</v>
      </c>
      <c r="D641" s="2">
        <v>0</v>
      </c>
      <c r="E641" s="2">
        <v>0</v>
      </c>
      <c r="G641" s="2" t="s">
        <v>1186</v>
      </c>
      <c r="H641" s="2" t="s">
        <v>1191</v>
      </c>
      <c r="I641" s="2">
        <v>3</v>
      </c>
      <c r="J641" s="2" t="s">
        <v>1276</v>
      </c>
      <c r="K641">
        <v>2019</v>
      </c>
      <c r="L641" s="2" t="s">
        <v>32</v>
      </c>
      <c r="M641" t="s">
        <v>1319</v>
      </c>
      <c r="N641">
        <v>21</v>
      </c>
      <c r="O641">
        <f>23.5-23</f>
        <v>0.5</v>
      </c>
      <c r="P641" t="s">
        <v>37</v>
      </c>
      <c r="Q641" s="2"/>
      <c r="R641" s="45" t="s">
        <v>39</v>
      </c>
      <c r="S641" s="4">
        <v>38.513150000000003</v>
      </c>
      <c r="T641" s="4">
        <v>-122.14584000000001</v>
      </c>
      <c r="U641">
        <v>1057</v>
      </c>
      <c r="V641" s="6">
        <f t="shared" si="45"/>
        <v>322.17360000000002</v>
      </c>
      <c r="W641" s="2" t="s">
        <v>898</v>
      </c>
      <c r="X641" s="2" t="s">
        <v>2382</v>
      </c>
      <c r="Y641" s="2" t="s">
        <v>1603</v>
      </c>
      <c r="AJ641" s="41">
        <v>0</v>
      </c>
      <c r="AL641">
        <f t="shared" si="42"/>
        <v>0</v>
      </c>
      <c r="AM641">
        <f t="shared" si="43"/>
        <v>0</v>
      </c>
      <c r="AN641">
        <f t="shared" si="44"/>
        <v>0</v>
      </c>
    </row>
    <row r="642" spans="1:40" x14ac:dyDescent="0.2">
      <c r="A642" s="2">
        <v>63</v>
      </c>
      <c r="B642" t="s">
        <v>1514</v>
      </c>
      <c r="C642" s="2">
        <v>0</v>
      </c>
      <c r="D642" s="2">
        <v>0</v>
      </c>
      <c r="E642" s="2">
        <v>0</v>
      </c>
      <c r="G642" s="2" t="s">
        <v>1186</v>
      </c>
      <c r="H642" s="2" t="s">
        <v>1191</v>
      </c>
      <c r="I642" s="2">
        <v>3</v>
      </c>
      <c r="J642" s="2" t="s">
        <v>1276</v>
      </c>
      <c r="K642">
        <v>2019</v>
      </c>
      <c r="L642" s="2" t="s">
        <v>32</v>
      </c>
      <c r="M642" t="s">
        <v>1319</v>
      </c>
      <c r="N642">
        <v>22</v>
      </c>
      <c r="O642">
        <f>15-13.5</f>
        <v>1.5</v>
      </c>
      <c r="P642" t="s">
        <v>37</v>
      </c>
      <c r="Q642" s="2" t="s">
        <v>42</v>
      </c>
      <c r="R642" s="2" t="s">
        <v>39</v>
      </c>
      <c r="S642" s="4">
        <v>38.513150000000003</v>
      </c>
      <c r="T642" s="4">
        <v>-122.14584000000001</v>
      </c>
      <c r="U642">
        <v>1057</v>
      </c>
      <c r="V642" s="6">
        <f t="shared" si="45"/>
        <v>322.17360000000002</v>
      </c>
      <c r="W642" s="2" t="s">
        <v>898</v>
      </c>
      <c r="X642" s="2" t="s">
        <v>2382</v>
      </c>
      <c r="Y642" s="2" t="s">
        <v>1603</v>
      </c>
      <c r="AA642" t="s">
        <v>1810</v>
      </c>
      <c r="AJ642" s="41">
        <v>0</v>
      </c>
      <c r="AL642">
        <f t="shared" si="42"/>
        <v>0</v>
      </c>
      <c r="AM642">
        <f t="shared" si="43"/>
        <v>0</v>
      </c>
      <c r="AN642">
        <f t="shared" si="44"/>
        <v>0</v>
      </c>
    </row>
    <row r="643" spans="1:40" x14ac:dyDescent="0.2">
      <c r="A643" s="2">
        <v>67</v>
      </c>
      <c r="B643" t="s">
        <v>1515</v>
      </c>
      <c r="C643" s="2">
        <v>0</v>
      </c>
      <c r="D643" s="2">
        <v>0</v>
      </c>
      <c r="E643" s="2">
        <v>0</v>
      </c>
      <c r="G643" s="2" t="s">
        <v>1186</v>
      </c>
      <c r="H643" s="2" t="s">
        <v>1191</v>
      </c>
      <c r="I643" s="2">
        <v>5</v>
      </c>
      <c r="J643" s="2" t="s">
        <v>1276</v>
      </c>
      <c r="K643">
        <v>2019</v>
      </c>
      <c r="L643" s="2" t="s">
        <v>758</v>
      </c>
      <c r="M643" t="s">
        <v>1326</v>
      </c>
      <c r="N643">
        <v>25.5</v>
      </c>
      <c r="O643">
        <v>3</v>
      </c>
      <c r="P643" t="s">
        <v>37</v>
      </c>
      <c r="R643" s="2" t="s">
        <v>89</v>
      </c>
      <c r="S643" s="4">
        <v>38.495190000000001</v>
      </c>
      <c r="T643" s="4">
        <v>-122.1006</v>
      </c>
      <c r="U643">
        <v>718</v>
      </c>
      <c r="V643" s="6">
        <f t="shared" si="45"/>
        <v>218.84640000000002</v>
      </c>
      <c r="W643" s="2" t="s">
        <v>2015</v>
      </c>
      <c r="X643" s="2" t="s">
        <v>2384</v>
      </c>
      <c r="Y643" s="2" t="s">
        <v>820</v>
      </c>
      <c r="AA643" t="s">
        <v>1811</v>
      </c>
      <c r="AJ643" s="41">
        <v>0</v>
      </c>
      <c r="AL643">
        <f t="shared" si="42"/>
        <v>0</v>
      </c>
      <c r="AM643">
        <f t="shared" si="43"/>
        <v>0</v>
      </c>
      <c r="AN643">
        <f t="shared" si="44"/>
        <v>0</v>
      </c>
    </row>
    <row r="644" spans="1:40" x14ac:dyDescent="0.2">
      <c r="A644" s="2">
        <v>67</v>
      </c>
      <c r="B644" t="s">
        <v>1516</v>
      </c>
      <c r="C644" s="2">
        <v>0</v>
      </c>
      <c r="D644" s="2">
        <v>0</v>
      </c>
      <c r="E644" s="2">
        <v>0</v>
      </c>
      <c r="G644" s="2" t="s">
        <v>1186</v>
      </c>
      <c r="H644" s="2" t="s">
        <v>1191</v>
      </c>
      <c r="I644" s="2">
        <v>5</v>
      </c>
      <c r="J644" s="2" t="s">
        <v>1276</v>
      </c>
      <c r="K644">
        <v>2019</v>
      </c>
      <c r="L644" s="2" t="s">
        <v>758</v>
      </c>
      <c r="M644" t="s">
        <v>1326</v>
      </c>
      <c r="N644">
        <v>25</v>
      </c>
      <c r="O644">
        <f>26.5-23</f>
        <v>3.5</v>
      </c>
      <c r="P644" t="s">
        <v>37</v>
      </c>
      <c r="R644" s="2" t="s">
        <v>89</v>
      </c>
      <c r="S644" s="4">
        <v>38.495190000000001</v>
      </c>
      <c r="T644" s="4">
        <v>-122.1006</v>
      </c>
      <c r="U644">
        <v>718</v>
      </c>
      <c r="V644" s="6">
        <f t="shared" si="45"/>
        <v>218.84640000000002</v>
      </c>
      <c r="W644" s="2" t="s">
        <v>2015</v>
      </c>
      <c r="X644" s="2" t="s">
        <v>2384</v>
      </c>
      <c r="Y644" s="2" t="s">
        <v>1604</v>
      </c>
      <c r="AA644" t="s">
        <v>1812</v>
      </c>
      <c r="AJ644" s="41">
        <v>0</v>
      </c>
      <c r="AL644">
        <f t="shared" si="42"/>
        <v>0</v>
      </c>
      <c r="AM644">
        <f t="shared" si="43"/>
        <v>0</v>
      </c>
      <c r="AN644">
        <f t="shared" si="44"/>
        <v>0</v>
      </c>
    </row>
    <row r="645" spans="1:40" x14ac:dyDescent="0.2">
      <c r="A645" s="2">
        <v>67</v>
      </c>
      <c r="B645" t="s">
        <v>1517</v>
      </c>
      <c r="C645" s="2">
        <v>0</v>
      </c>
      <c r="D645" s="2">
        <v>0</v>
      </c>
      <c r="E645" s="18">
        <v>7.6350000000000003E-3</v>
      </c>
      <c r="G645" s="2" t="s">
        <v>1186</v>
      </c>
      <c r="H645" s="2" t="s">
        <v>1191</v>
      </c>
      <c r="I645" s="2">
        <v>5</v>
      </c>
      <c r="J645" s="2" t="s">
        <v>1276</v>
      </c>
      <c r="K645">
        <v>2019</v>
      </c>
      <c r="L645" s="2" t="s">
        <v>758</v>
      </c>
      <c r="M645" t="s">
        <v>1326</v>
      </c>
      <c r="N645">
        <v>27.5</v>
      </c>
      <c r="O645">
        <f>35.5-33</f>
        <v>2.5</v>
      </c>
      <c r="P645" t="s">
        <v>37</v>
      </c>
      <c r="R645" s="2" t="s">
        <v>89</v>
      </c>
      <c r="S645" s="4">
        <v>38.495379999999997</v>
      </c>
      <c r="T645" s="4">
        <v>-122.1003</v>
      </c>
      <c r="U645">
        <v>700</v>
      </c>
      <c r="V645" s="6">
        <f t="shared" si="45"/>
        <v>213.36</v>
      </c>
      <c r="W645" s="2" t="s">
        <v>2015</v>
      </c>
      <c r="X645" s="2" t="s">
        <v>2384</v>
      </c>
      <c r="Y645" s="2" t="s">
        <v>140</v>
      </c>
      <c r="AA645" t="s">
        <v>1813</v>
      </c>
      <c r="AJ645" s="41">
        <v>0</v>
      </c>
      <c r="AL645">
        <f t="shared" si="42"/>
        <v>0</v>
      </c>
      <c r="AM645">
        <f t="shared" si="43"/>
        <v>0</v>
      </c>
      <c r="AN645">
        <f t="shared" si="44"/>
        <v>0.61080000000000001</v>
      </c>
    </row>
    <row r="646" spans="1:40" x14ac:dyDescent="0.2">
      <c r="A646" s="2">
        <v>67</v>
      </c>
      <c r="B646" t="s">
        <v>1518</v>
      </c>
      <c r="C646" s="2">
        <v>0</v>
      </c>
      <c r="D646" s="2">
        <v>0</v>
      </c>
      <c r="E646" s="2">
        <v>0</v>
      </c>
      <c r="G646" s="2" t="s">
        <v>1186</v>
      </c>
      <c r="H646" s="2" t="s">
        <v>1191</v>
      </c>
      <c r="I646" s="2">
        <v>5</v>
      </c>
      <c r="J646" s="2" t="s">
        <v>1276</v>
      </c>
      <c r="K646">
        <v>2019</v>
      </c>
      <c r="L646" s="2" t="s">
        <v>758</v>
      </c>
      <c r="M646" t="s">
        <v>1326</v>
      </c>
      <c r="N646">
        <v>25.5</v>
      </c>
      <c r="O646">
        <f>54-51.5</f>
        <v>2.5</v>
      </c>
      <c r="P646" t="s">
        <v>37</v>
      </c>
      <c r="R646" s="2" t="s">
        <v>89</v>
      </c>
      <c r="S646" s="4">
        <v>38.495379999999997</v>
      </c>
      <c r="T646" s="4">
        <v>-122.1003</v>
      </c>
      <c r="U646">
        <v>700</v>
      </c>
      <c r="V646" s="6">
        <f t="shared" si="45"/>
        <v>213.36</v>
      </c>
      <c r="W646" s="2" t="s">
        <v>2015</v>
      </c>
      <c r="X646" s="2" t="s">
        <v>2384</v>
      </c>
      <c r="Y646" s="2" t="s">
        <v>893</v>
      </c>
      <c r="AA646" t="s">
        <v>1814</v>
      </c>
      <c r="AJ646" s="41">
        <v>0</v>
      </c>
      <c r="AL646">
        <f t="shared" si="42"/>
        <v>0</v>
      </c>
      <c r="AM646">
        <f t="shared" si="43"/>
        <v>0</v>
      </c>
      <c r="AN646">
        <f t="shared" si="44"/>
        <v>0</v>
      </c>
    </row>
    <row r="647" spans="1:40" x14ac:dyDescent="0.2">
      <c r="A647" s="2">
        <v>67</v>
      </c>
      <c r="B647" t="s">
        <v>1519</v>
      </c>
      <c r="C647" s="2">
        <v>0</v>
      </c>
      <c r="D647" s="2">
        <v>0</v>
      </c>
      <c r="E647" s="2">
        <v>0</v>
      </c>
      <c r="G647" s="2" t="s">
        <v>1186</v>
      </c>
      <c r="H647" s="2" t="s">
        <v>1191</v>
      </c>
      <c r="I647" s="2">
        <v>5</v>
      </c>
      <c r="J647" s="2" t="s">
        <v>1276</v>
      </c>
      <c r="K647">
        <v>2019</v>
      </c>
      <c r="L647" s="2" t="s">
        <v>32</v>
      </c>
      <c r="M647" t="s">
        <v>1326</v>
      </c>
      <c r="N647">
        <v>24.5</v>
      </c>
      <c r="O647">
        <v>2</v>
      </c>
      <c r="P647" t="s">
        <v>30</v>
      </c>
      <c r="Q647" s="2" t="s">
        <v>42</v>
      </c>
      <c r="R647" s="2" t="s">
        <v>39</v>
      </c>
      <c r="S647" s="4">
        <v>38.495379999999997</v>
      </c>
      <c r="T647" s="4">
        <v>-122.1003</v>
      </c>
      <c r="U647">
        <v>700</v>
      </c>
      <c r="V647" s="6">
        <f t="shared" si="45"/>
        <v>213.36</v>
      </c>
      <c r="W647" s="2" t="s">
        <v>2015</v>
      </c>
      <c r="X647" s="2" t="s">
        <v>2384</v>
      </c>
      <c r="Y647" s="2" t="s">
        <v>802</v>
      </c>
      <c r="AA647" t="s">
        <v>1815</v>
      </c>
      <c r="AJ647" s="41">
        <v>0</v>
      </c>
      <c r="AL647">
        <f t="shared" si="42"/>
        <v>0</v>
      </c>
      <c r="AM647">
        <f t="shared" si="43"/>
        <v>0</v>
      </c>
      <c r="AN647">
        <f t="shared" si="44"/>
        <v>0</v>
      </c>
    </row>
    <row r="648" spans="1:40" x14ac:dyDescent="0.2">
      <c r="A648" s="2">
        <v>67</v>
      </c>
      <c r="B648" t="s">
        <v>1520</v>
      </c>
      <c r="C648" s="2">
        <v>0</v>
      </c>
      <c r="D648" s="2">
        <v>0</v>
      </c>
      <c r="E648" s="2">
        <v>0</v>
      </c>
      <c r="G648" s="2" t="s">
        <v>1186</v>
      </c>
      <c r="H648" s="2" t="s">
        <v>1191</v>
      </c>
      <c r="I648" s="2">
        <v>5</v>
      </c>
      <c r="J648" s="2" t="s">
        <v>1276</v>
      </c>
      <c r="K648">
        <v>2019</v>
      </c>
      <c r="L648" s="2" t="s">
        <v>758</v>
      </c>
      <c r="M648" t="s">
        <v>1326</v>
      </c>
      <c r="N648">
        <v>29</v>
      </c>
      <c r="O648">
        <f>32.5-31</f>
        <v>1.5</v>
      </c>
      <c r="P648" t="s">
        <v>37</v>
      </c>
      <c r="R648" s="2" t="s">
        <v>89</v>
      </c>
      <c r="S648" s="4">
        <v>38.495429999999999</v>
      </c>
      <c r="T648" s="4">
        <v>-122.10026000000001</v>
      </c>
      <c r="U648">
        <v>700</v>
      </c>
      <c r="V648" s="6">
        <f t="shared" si="45"/>
        <v>213.36</v>
      </c>
      <c r="W648" s="2" t="s">
        <v>2015</v>
      </c>
      <c r="X648" s="2" t="s">
        <v>2384</v>
      </c>
      <c r="Y648" s="2" t="s">
        <v>149</v>
      </c>
      <c r="AA648" t="s">
        <v>1816</v>
      </c>
      <c r="AJ648" s="41">
        <v>0</v>
      </c>
      <c r="AL648">
        <f t="shared" si="42"/>
        <v>0</v>
      </c>
      <c r="AM648">
        <f t="shared" si="43"/>
        <v>0</v>
      </c>
      <c r="AN648">
        <f t="shared" si="44"/>
        <v>0</v>
      </c>
    </row>
    <row r="649" spans="1:40" x14ac:dyDescent="0.2">
      <c r="A649" s="2">
        <v>67</v>
      </c>
      <c r="B649" t="s">
        <v>1521</v>
      </c>
      <c r="C649" s="2">
        <v>0</v>
      </c>
      <c r="D649" s="2">
        <v>0</v>
      </c>
      <c r="E649" s="2">
        <v>0</v>
      </c>
      <c r="G649" s="2" t="s">
        <v>1186</v>
      </c>
      <c r="H649" s="2" t="s">
        <v>1191</v>
      </c>
      <c r="I649" s="2">
        <v>5</v>
      </c>
      <c r="J649" s="2" t="s">
        <v>1276</v>
      </c>
      <c r="K649">
        <v>2019</v>
      </c>
      <c r="L649" s="2" t="s">
        <v>758</v>
      </c>
      <c r="M649" t="s">
        <v>1326</v>
      </c>
      <c r="N649">
        <v>26</v>
      </c>
      <c r="O649">
        <v>3</v>
      </c>
      <c r="P649" t="s">
        <v>30</v>
      </c>
      <c r="R649" s="2" t="s">
        <v>89</v>
      </c>
      <c r="S649" s="4">
        <v>38.495440000000002</v>
      </c>
      <c r="T649" s="4">
        <v>-122.10016</v>
      </c>
      <c r="U649">
        <v>694</v>
      </c>
      <c r="V649" s="6">
        <f t="shared" si="45"/>
        <v>211.53120000000001</v>
      </c>
      <c r="W649" s="2" t="s">
        <v>2015</v>
      </c>
      <c r="X649" s="2" t="s">
        <v>2384</v>
      </c>
      <c r="Y649" s="2" t="s">
        <v>335</v>
      </c>
      <c r="AA649" t="s">
        <v>1817</v>
      </c>
      <c r="AJ649" s="41">
        <v>0</v>
      </c>
      <c r="AL649">
        <f t="shared" si="42"/>
        <v>0</v>
      </c>
      <c r="AM649">
        <f t="shared" si="43"/>
        <v>0</v>
      </c>
      <c r="AN649">
        <f t="shared" si="44"/>
        <v>0</v>
      </c>
    </row>
    <row r="650" spans="1:40" x14ac:dyDescent="0.2">
      <c r="A650" s="2">
        <v>67</v>
      </c>
      <c r="B650" t="s">
        <v>1522</v>
      </c>
      <c r="C650" s="2">
        <v>0</v>
      </c>
      <c r="D650" s="2">
        <v>0</v>
      </c>
      <c r="E650" s="2">
        <v>0</v>
      </c>
      <c r="G650" s="2" t="s">
        <v>1186</v>
      </c>
      <c r="H650" s="2" t="s">
        <v>1191</v>
      </c>
      <c r="I650" s="2">
        <v>5</v>
      </c>
      <c r="J650" s="2" t="s">
        <v>1276</v>
      </c>
      <c r="K650">
        <v>2019</v>
      </c>
      <c r="L650" s="2" t="s">
        <v>758</v>
      </c>
      <c r="M650" t="s">
        <v>1326</v>
      </c>
      <c r="N650">
        <v>25.5</v>
      </c>
      <c r="O650">
        <f>36.5-34</f>
        <v>2.5</v>
      </c>
      <c r="P650" t="s">
        <v>37</v>
      </c>
      <c r="R650" s="2" t="s">
        <v>89</v>
      </c>
      <c r="S650" s="4">
        <v>38.495489999999997</v>
      </c>
      <c r="T650" s="4">
        <v>-122.10012</v>
      </c>
      <c r="U650">
        <v>692</v>
      </c>
      <c r="V650" s="6">
        <f t="shared" si="45"/>
        <v>210.92160000000001</v>
      </c>
      <c r="W650" s="2" t="s">
        <v>2015</v>
      </c>
      <c r="X650" s="2" t="s">
        <v>2384</v>
      </c>
      <c r="Y650" s="2" t="s">
        <v>218</v>
      </c>
      <c r="AA650" t="s">
        <v>1818</v>
      </c>
      <c r="AJ650" s="41">
        <v>0</v>
      </c>
      <c r="AL650">
        <f t="shared" si="42"/>
        <v>0</v>
      </c>
      <c r="AM650">
        <f t="shared" si="43"/>
        <v>0</v>
      </c>
      <c r="AN650">
        <f t="shared" si="44"/>
        <v>0</v>
      </c>
    </row>
    <row r="651" spans="1:40" x14ac:dyDescent="0.2">
      <c r="A651" s="2">
        <v>67</v>
      </c>
      <c r="B651" t="s">
        <v>1523</v>
      </c>
      <c r="C651" s="2">
        <v>0</v>
      </c>
      <c r="D651" s="2">
        <v>0</v>
      </c>
      <c r="E651" s="2">
        <v>0</v>
      </c>
      <c r="G651" s="2" t="s">
        <v>1186</v>
      </c>
      <c r="H651" s="2" t="s">
        <v>1191</v>
      </c>
      <c r="I651" s="2">
        <v>5</v>
      </c>
      <c r="J651" s="2" t="s">
        <v>1276</v>
      </c>
      <c r="K651">
        <v>2019</v>
      </c>
      <c r="L651" s="2" t="s">
        <v>758</v>
      </c>
      <c r="M651" t="s">
        <v>1326</v>
      </c>
      <c r="N651">
        <v>23.5</v>
      </c>
      <c r="O651">
        <v>2</v>
      </c>
      <c r="P651" t="s">
        <v>37</v>
      </c>
      <c r="R651" s="2" t="s">
        <v>89</v>
      </c>
      <c r="S651" s="4">
        <v>38.495489999999997</v>
      </c>
      <c r="T651" s="4">
        <v>-122.10012</v>
      </c>
      <c r="U651">
        <v>692</v>
      </c>
      <c r="V651" s="6">
        <f t="shared" si="45"/>
        <v>210.92160000000001</v>
      </c>
      <c r="W651" s="2" t="s">
        <v>2015</v>
      </c>
      <c r="X651" s="2" t="s">
        <v>2384</v>
      </c>
      <c r="Y651" s="2" t="s">
        <v>47</v>
      </c>
      <c r="AA651" t="s">
        <v>1819</v>
      </c>
      <c r="AJ651" s="41">
        <v>0</v>
      </c>
      <c r="AL651">
        <f t="shared" si="42"/>
        <v>0</v>
      </c>
      <c r="AM651">
        <f t="shared" si="43"/>
        <v>0</v>
      </c>
      <c r="AN651">
        <f t="shared" si="44"/>
        <v>0</v>
      </c>
    </row>
    <row r="652" spans="1:40" x14ac:dyDescent="0.2">
      <c r="A652" s="2">
        <v>67</v>
      </c>
      <c r="B652" t="s">
        <v>1524</v>
      </c>
      <c r="C652" s="2">
        <v>0</v>
      </c>
      <c r="D652" s="2">
        <v>0</v>
      </c>
      <c r="E652" s="2">
        <v>0</v>
      </c>
      <c r="G652" s="2" t="s">
        <v>1186</v>
      </c>
      <c r="H652" s="2" t="s">
        <v>1191</v>
      </c>
      <c r="I652" s="2">
        <v>5</v>
      </c>
      <c r="J652" s="2" t="s">
        <v>1276</v>
      </c>
      <c r="K652">
        <v>2019</v>
      </c>
      <c r="L652" s="2" t="s">
        <v>758</v>
      </c>
      <c r="M652" t="s">
        <v>1326</v>
      </c>
      <c r="N652">
        <v>25.5</v>
      </c>
      <c r="O652">
        <f>44.5-41.5</f>
        <v>3</v>
      </c>
      <c r="P652" t="s">
        <v>37</v>
      </c>
      <c r="R652" s="2" t="s">
        <v>89</v>
      </c>
      <c r="S652" s="4">
        <v>38.495570000000001</v>
      </c>
      <c r="T652" s="4">
        <v>-122.10008000000001</v>
      </c>
      <c r="U652">
        <v>686</v>
      </c>
      <c r="V652" s="6">
        <f t="shared" si="45"/>
        <v>209.09280000000001</v>
      </c>
      <c r="W652" s="2" t="s">
        <v>2015</v>
      </c>
      <c r="X652" s="2" t="s">
        <v>2384</v>
      </c>
      <c r="Y652" s="2" t="s">
        <v>236</v>
      </c>
      <c r="AA652" t="s">
        <v>1661</v>
      </c>
      <c r="AJ652" s="41">
        <v>0</v>
      </c>
      <c r="AL652">
        <f t="shared" si="42"/>
        <v>0</v>
      </c>
      <c r="AM652">
        <f t="shared" si="43"/>
        <v>0</v>
      </c>
      <c r="AN652">
        <f t="shared" si="44"/>
        <v>0</v>
      </c>
    </row>
    <row r="653" spans="1:40" x14ac:dyDescent="0.2">
      <c r="A653" s="2">
        <v>67</v>
      </c>
      <c r="B653" t="s">
        <v>1525</v>
      </c>
      <c r="C653" s="2">
        <v>0</v>
      </c>
      <c r="D653" s="2">
        <v>0</v>
      </c>
      <c r="E653" s="2">
        <v>0</v>
      </c>
      <c r="G653" s="2" t="s">
        <v>1186</v>
      </c>
      <c r="H653" s="2" t="s">
        <v>1191</v>
      </c>
      <c r="I653" s="2">
        <v>5</v>
      </c>
      <c r="J653" s="2" t="s">
        <v>1276</v>
      </c>
      <c r="K653">
        <v>2019</v>
      </c>
      <c r="L653" s="2" t="s">
        <v>758</v>
      </c>
      <c r="M653" t="s">
        <v>1326</v>
      </c>
      <c r="N653">
        <v>24</v>
      </c>
      <c r="O653">
        <f>21.5-20</f>
        <v>1.5</v>
      </c>
      <c r="P653" t="s">
        <v>37</v>
      </c>
      <c r="R653" s="2" t="s">
        <v>89</v>
      </c>
      <c r="S653" s="4">
        <v>38.495539999999998</v>
      </c>
      <c r="T653" s="4">
        <v>-122.10004000000001</v>
      </c>
      <c r="U653">
        <v>688</v>
      </c>
      <c r="V653" s="6">
        <f t="shared" si="45"/>
        <v>209.70240000000001</v>
      </c>
      <c r="W653" s="2" t="s">
        <v>2015</v>
      </c>
      <c r="X653" s="2" t="s">
        <v>2384</v>
      </c>
      <c r="Y653" s="2" t="s">
        <v>236</v>
      </c>
      <c r="AA653" t="s">
        <v>1820</v>
      </c>
      <c r="AJ653" s="41">
        <v>0</v>
      </c>
      <c r="AL653">
        <f t="shared" ref="AL653:AL716" si="46">C653*80</f>
        <v>0</v>
      </c>
      <c r="AM653">
        <f t="shared" ref="AM653:AM716" si="47">D653*80</f>
        <v>0</v>
      </c>
      <c r="AN653">
        <f t="shared" ref="AN653:AN716" si="48">E653*80</f>
        <v>0</v>
      </c>
    </row>
    <row r="654" spans="1:40" x14ac:dyDescent="0.2">
      <c r="A654" s="2">
        <v>67</v>
      </c>
      <c r="B654" t="s">
        <v>1526</v>
      </c>
      <c r="C654" s="2">
        <v>0</v>
      </c>
      <c r="D654" s="2">
        <v>0</v>
      </c>
      <c r="E654" s="2">
        <v>0</v>
      </c>
      <c r="G654" s="2" t="s">
        <v>1186</v>
      </c>
      <c r="H654" s="2" t="s">
        <v>1191</v>
      </c>
      <c r="I654" s="2">
        <v>5</v>
      </c>
      <c r="J654" s="2" t="s">
        <v>1276</v>
      </c>
      <c r="K654">
        <v>2019</v>
      </c>
      <c r="L654" s="2" t="s">
        <v>32</v>
      </c>
      <c r="M654" t="s">
        <v>1326</v>
      </c>
      <c r="N654">
        <v>21</v>
      </c>
      <c r="O654">
        <v>1</v>
      </c>
      <c r="P654" t="s">
        <v>37</v>
      </c>
      <c r="R654" s="45" t="s">
        <v>39</v>
      </c>
      <c r="S654" s="4">
        <v>38.495570000000001</v>
      </c>
      <c r="T654" s="4">
        <v>-122.10008000000001</v>
      </c>
      <c r="U654">
        <v>686</v>
      </c>
      <c r="V654" s="6">
        <f t="shared" si="45"/>
        <v>209.09280000000001</v>
      </c>
      <c r="W654" s="2" t="s">
        <v>2015</v>
      </c>
      <c r="X654" s="2" t="s">
        <v>2384</v>
      </c>
      <c r="Y654" s="2" t="s">
        <v>243</v>
      </c>
      <c r="AA654" t="s">
        <v>1821</v>
      </c>
      <c r="AJ654" s="41">
        <v>0</v>
      </c>
      <c r="AL654">
        <f t="shared" si="46"/>
        <v>0</v>
      </c>
      <c r="AM654">
        <f t="shared" si="47"/>
        <v>0</v>
      </c>
      <c r="AN654">
        <f t="shared" si="48"/>
        <v>0</v>
      </c>
    </row>
    <row r="655" spans="1:40" x14ac:dyDescent="0.2">
      <c r="A655" s="2">
        <v>67</v>
      </c>
      <c r="B655" t="s">
        <v>1527</v>
      </c>
      <c r="C655" s="2">
        <v>0</v>
      </c>
      <c r="D655" s="2">
        <v>0</v>
      </c>
      <c r="E655" s="2">
        <v>0</v>
      </c>
      <c r="G655" s="2" t="s">
        <v>1186</v>
      </c>
      <c r="H655" s="2" t="s">
        <v>1191</v>
      </c>
      <c r="I655" s="2">
        <v>5</v>
      </c>
      <c r="J655" s="2" t="s">
        <v>1276</v>
      </c>
      <c r="K655">
        <v>2019</v>
      </c>
      <c r="L655" s="2" t="s">
        <v>758</v>
      </c>
      <c r="M655" t="s">
        <v>1326</v>
      </c>
      <c r="N655">
        <v>21.5</v>
      </c>
      <c r="O655">
        <v>1</v>
      </c>
      <c r="P655" t="s">
        <v>37</v>
      </c>
      <c r="R655" s="2" t="s">
        <v>89</v>
      </c>
      <c r="S655" s="4">
        <v>38.495600000000003</v>
      </c>
      <c r="T655" s="4">
        <v>-122.10006</v>
      </c>
      <c r="U655">
        <v>687</v>
      </c>
      <c r="V655" s="6">
        <f t="shared" si="45"/>
        <v>209.39760000000001</v>
      </c>
      <c r="W655" s="2" t="s">
        <v>2015</v>
      </c>
      <c r="X655" s="2" t="s">
        <v>2384</v>
      </c>
      <c r="Y655" s="2" t="s">
        <v>447</v>
      </c>
      <c r="AA655" t="s">
        <v>1822</v>
      </c>
      <c r="AJ655" s="41">
        <v>0</v>
      </c>
      <c r="AL655">
        <f t="shared" si="46"/>
        <v>0</v>
      </c>
      <c r="AM655">
        <f t="shared" si="47"/>
        <v>0</v>
      </c>
      <c r="AN655">
        <f t="shared" si="48"/>
        <v>0</v>
      </c>
    </row>
    <row r="656" spans="1:40" x14ac:dyDescent="0.2">
      <c r="A656" s="2">
        <v>67</v>
      </c>
      <c r="B656" t="s">
        <v>1528</v>
      </c>
      <c r="C656" s="2">
        <v>0</v>
      </c>
      <c r="D656" s="2">
        <v>0</v>
      </c>
      <c r="E656" s="2">
        <v>0</v>
      </c>
      <c r="G656" s="2" t="s">
        <v>1186</v>
      </c>
      <c r="H656" s="2" t="s">
        <v>1191</v>
      </c>
      <c r="I656" s="2">
        <v>5</v>
      </c>
      <c r="J656" s="2" t="s">
        <v>1276</v>
      </c>
      <c r="K656">
        <v>2019</v>
      </c>
      <c r="L656" s="2" t="s">
        <v>758</v>
      </c>
      <c r="M656" t="s">
        <v>1326</v>
      </c>
      <c r="N656">
        <v>27</v>
      </c>
      <c r="O656">
        <f>24-21.5</f>
        <v>2.5</v>
      </c>
      <c r="P656" t="s">
        <v>37</v>
      </c>
      <c r="R656" s="2" t="s">
        <v>89</v>
      </c>
      <c r="S656" s="4">
        <v>38.495489999999997</v>
      </c>
      <c r="T656" s="4">
        <v>-122.10012</v>
      </c>
      <c r="U656">
        <v>692</v>
      </c>
      <c r="V656" s="6">
        <f t="shared" si="45"/>
        <v>210.92160000000001</v>
      </c>
      <c r="W656" s="2" t="s">
        <v>2015</v>
      </c>
      <c r="X656" s="2" t="s">
        <v>2384</v>
      </c>
      <c r="Y656" s="2" t="s">
        <v>96</v>
      </c>
      <c r="AA656" t="s">
        <v>1823</v>
      </c>
      <c r="AJ656" s="41">
        <v>0</v>
      </c>
      <c r="AL656">
        <f t="shared" si="46"/>
        <v>0</v>
      </c>
      <c r="AM656">
        <f t="shared" si="47"/>
        <v>0</v>
      </c>
      <c r="AN656">
        <f t="shared" si="48"/>
        <v>0</v>
      </c>
    </row>
    <row r="657" spans="1:40" x14ac:dyDescent="0.2">
      <c r="A657" s="2">
        <v>67</v>
      </c>
      <c r="B657" t="s">
        <v>1529</v>
      </c>
      <c r="C657" s="2">
        <v>0</v>
      </c>
      <c r="D657" s="2">
        <v>0</v>
      </c>
      <c r="E657" s="2">
        <v>0</v>
      </c>
      <c r="G657" s="2" t="s">
        <v>1186</v>
      </c>
      <c r="H657" s="2" t="s">
        <v>1191</v>
      </c>
      <c r="I657" s="2">
        <v>5</v>
      </c>
      <c r="J657" s="2" t="s">
        <v>1276</v>
      </c>
      <c r="K657">
        <v>2019</v>
      </c>
      <c r="L657" s="2" t="s">
        <v>758</v>
      </c>
      <c r="M657" t="s">
        <v>1326</v>
      </c>
      <c r="N657">
        <v>25</v>
      </c>
      <c r="O657">
        <v>2</v>
      </c>
      <c r="P657" t="s">
        <v>37</v>
      </c>
      <c r="R657" s="2" t="s">
        <v>89</v>
      </c>
      <c r="S657" s="4">
        <v>38.495429999999999</v>
      </c>
      <c r="T657" s="4">
        <v>-122.10026000000001</v>
      </c>
      <c r="U657">
        <v>700</v>
      </c>
      <c r="V657" s="6">
        <f t="shared" si="45"/>
        <v>213.36</v>
      </c>
      <c r="W657" s="2" t="s">
        <v>2015</v>
      </c>
      <c r="X657" s="2" t="s">
        <v>2384</v>
      </c>
      <c r="Y657" s="2" t="s">
        <v>56</v>
      </c>
      <c r="AA657" t="s">
        <v>1824</v>
      </c>
      <c r="AJ657" s="41">
        <v>0</v>
      </c>
      <c r="AL657">
        <f t="shared" si="46"/>
        <v>0</v>
      </c>
      <c r="AM657">
        <f t="shared" si="47"/>
        <v>0</v>
      </c>
      <c r="AN657">
        <f t="shared" si="48"/>
        <v>0</v>
      </c>
    </row>
    <row r="658" spans="1:40" x14ac:dyDescent="0.2">
      <c r="A658" s="2">
        <v>67</v>
      </c>
      <c r="B658" t="s">
        <v>1530</v>
      </c>
      <c r="C658" s="2">
        <v>0</v>
      </c>
      <c r="D658" s="2">
        <v>0</v>
      </c>
      <c r="E658" s="2">
        <v>0</v>
      </c>
      <c r="G658" s="2" t="s">
        <v>1186</v>
      </c>
      <c r="H658" s="2" t="s">
        <v>1191</v>
      </c>
      <c r="I658" s="2">
        <v>5</v>
      </c>
      <c r="J658" s="2" t="s">
        <v>1276</v>
      </c>
      <c r="K658">
        <v>2019</v>
      </c>
      <c r="L658" s="2" t="s">
        <v>758</v>
      </c>
      <c r="M658" t="s">
        <v>1326</v>
      </c>
      <c r="N658">
        <v>25.5</v>
      </c>
      <c r="O658">
        <v>2</v>
      </c>
      <c r="P658" t="s">
        <v>37</v>
      </c>
      <c r="R658" s="2" t="s">
        <v>89</v>
      </c>
      <c r="S658" s="4">
        <v>38.495449999999998</v>
      </c>
      <c r="T658" s="4">
        <v>-122.10017000000001</v>
      </c>
      <c r="U658">
        <v>695</v>
      </c>
      <c r="V658" s="6">
        <f t="shared" si="45"/>
        <v>211.83600000000001</v>
      </c>
      <c r="W658" s="2" t="s">
        <v>2015</v>
      </c>
      <c r="X658" s="2" t="s">
        <v>2384</v>
      </c>
      <c r="Y658" s="2" t="s">
        <v>456</v>
      </c>
      <c r="AA658" t="s">
        <v>475</v>
      </c>
      <c r="AJ658" s="41">
        <v>0</v>
      </c>
      <c r="AL658">
        <f t="shared" si="46"/>
        <v>0</v>
      </c>
      <c r="AM658">
        <f t="shared" si="47"/>
        <v>0</v>
      </c>
      <c r="AN658">
        <f t="shared" si="48"/>
        <v>0</v>
      </c>
    </row>
    <row r="659" spans="1:40" x14ac:dyDescent="0.2">
      <c r="A659" s="2">
        <v>67</v>
      </c>
      <c r="B659" t="s">
        <v>1531</v>
      </c>
      <c r="C659" s="2">
        <v>0</v>
      </c>
      <c r="D659" s="2">
        <v>0</v>
      </c>
      <c r="E659" s="2">
        <v>0</v>
      </c>
      <c r="G659" s="2" t="s">
        <v>1186</v>
      </c>
      <c r="H659" s="2" t="s">
        <v>1191</v>
      </c>
      <c r="I659" s="2">
        <v>5</v>
      </c>
      <c r="J659" s="2" t="s">
        <v>1276</v>
      </c>
      <c r="K659">
        <v>2019</v>
      </c>
      <c r="L659" s="2" t="s">
        <v>758</v>
      </c>
      <c r="M659" t="s">
        <v>1326</v>
      </c>
      <c r="N659">
        <v>62</v>
      </c>
      <c r="O659">
        <f>55-19</f>
        <v>36</v>
      </c>
      <c r="P659" t="s">
        <v>30</v>
      </c>
      <c r="Q659" t="s">
        <v>42</v>
      </c>
      <c r="R659" s="2" t="s">
        <v>39</v>
      </c>
      <c r="S659" s="4">
        <v>38.495449999999998</v>
      </c>
      <c r="T659" s="4">
        <v>-122.10017000000001</v>
      </c>
      <c r="U659">
        <v>695</v>
      </c>
      <c r="V659" s="6">
        <f t="shared" si="45"/>
        <v>211.83600000000001</v>
      </c>
      <c r="W659" s="2" t="s">
        <v>2015</v>
      </c>
      <c r="X659" s="2" t="s">
        <v>2384</v>
      </c>
      <c r="Y659" s="2" t="s">
        <v>456</v>
      </c>
      <c r="Z659" t="s">
        <v>1825</v>
      </c>
      <c r="AA659" t="s">
        <v>1669</v>
      </c>
      <c r="AJ659" s="41">
        <v>0</v>
      </c>
      <c r="AL659">
        <f t="shared" si="46"/>
        <v>0</v>
      </c>
      <c r="AM659">
        <f t="shared" si="47"/>
        <v>0</v>
      </c>
      <c r="AN659">
        <f t="shared" si="48"/>
        <v>0</v>
      </c>
    </row>
    <row r="660" spans="1:40" x14ac:dyDescent="0.2">
      <c r="A660" s="2">
        <v>68</v>
      </c>
      <c r="B660" t="s">
        <v>1532</v>
      </c>
      <c r="C660" s="2">
        <v>0</v>
      </c>
      <c r="D660" s="2">
        <v>0</v>
      </c>
      <c r="E660" s="2">
        <v>0</v>
      </c>
      <c r="G660" s="2" t="s">
        <v>1186</v>
      </c>
      <c r="H660" s="2" t="s">
        <v>1191</v>
      </c>
      <c r="I660" s="2">
        <v>8</v>
      </c>
      <c r="J660" s="2" t="s">
        <v>1276</v>
      </c>
      <c r="K660">
        <v>2019</v>
      </c>
      <c r="L660" s="2" t="s">
        <v>33</v>
      </c>
      <c r="M660" t="s">
        <v>897</v>
      </c>
      <c r="N660">
        <v>90</v>
      </c>
      <c r="O660" t="s">
        <v>43</v>
      </c>
      <c r="P660" t="s">
        <v>30</v>
      </c>
      <c r="Q660" t="s">
        <v>42</v>
      </c>
      <c r="R660" s="2" t="s">
        <v>39</v>
      </c>
      <c r="S660" s="4">
        <v>37.38964</v>
      </c>
      <c r="T660" s="4">
        <v>-121.73273</v>
      </c>
      <c r="U660">
        <v>2353</v>
      </c>
      <c r="V660" s="6">
        <f t="shared" si="45"/>
        <v>717.19440000000009</v>
      </c>
      <c r="W660" s="2" t="s">
        <v>898</v>
      </c>
      <c r="X660" s="2" t="s">
        <v>2209</v>
      </c>
      <c r="Y660" s="2" t="s">
        <v>236</v>
      </c>
      <c r="AA660" t="s">
        <v>1674</v>
      </c>
      <c r="AB660" s="2">
        <v>23.5</v>
      </c>
      <c r="AC660" s="2">
        <v>8.3000000000000007</v>
      </c>
      <c r="AF660">
        <v>96</v>
      </c>
      <c r="AG660">
        <v>41</v>
      </c>
      <c r="AJ660" s="41">
        <v>0</v>
      </c>
      <c r="AL660">
        <f t="shared" si="46"/>
        <v>0</v>
      </c>
      <c r="AM660">
        <f t="shared" si="47"/>
        <v>0</v>
      </c>
      <c r="AN660">
        <f t="shared" si="48"/>
        <v>0</v>
      </c>
    </row>
    <row r="661" spans="1:40" x14ac:dyDescent="0.2">
      <c r="A661" s="2">
        <v>68</v>
      </c>
      <c r="B661" t="s">
        <v>1533</v>
      </c>
      <c r="C661" s="2">
        <v>0</v>
      </c>
      <c r="D661" s="2">
        <v>0</v>
      </c>
      <c r="E661" s="2">
        <v>0</v>
      </c>
      <c r="G661" s="2" t="s">
        <v>1186</v>
      </c>
      <c r="H661" s="2" t="s">
        <v>1191</v>
      </c>
      <c r="I661" s="2">
        <v>8</v>
      </c>
      <c r="J661" s="2" t="s">
        <v>1276</v>
      </c>
      <c r="K661">
        <v>2019</v>
      </c>
      <c r="L661" s="2" t="s">
        <v>33</v>
      </c>
      <c r="M661" t="s">
        <v>897</v>
      </c>
      <c r="N661">
        <v>34</v>
      </c>
      <c r="O661">
        <f>35-29</f>
        <v>6</v>
      </c>
      <c r="P661" t="s">
        <v>37</v>
      </c>
      <c r="R661" s="2" t="s">
        <v>89</v>
      </c>
      <c r="S661" s="4">
        <v>37.38964</v>
      </c>
      <c r="T661" s="4">
        <v>-121.73273</v>
      </c>
      <c r="U661">
        <v>2353</v>
      </c>
      <c r="V661" s="6">
        <f t="shared" si="45"/>
        <v>717.19440000000009</v>
      </c>
      <c r="W661" s="2" t="s">
        <v>898</v>
      </c>
      <c r="X661" s="2" t="s">
        <v>2209</v>
      </c>
      <c r="Y661" s="2" t="s">
        <v>447</v>
      </c>
      <c r="AA661" t="s">
        <v>1826</v>
      </c>
      <c r="AB661" s="2">
        <v>23.5</v>
      </c>
      <c r="AC661" s="2">
        <v>8.3000000000000007</v>
      </c>
      <c r="AF661">
        <v>96</v>
      </c>
      <c r="AG661">
        <v>41</v>
      </c>
      <c r="AJ661" s="41">
        <v>0</v>
      </c>
      <c r="AL661">
        <f t="shared" si="46"/>
        <v>0</v>
      </c>
      <c r="AM661">
        <f t="shared" si="47"/>
        <v>0</v>
      </c>
      <c r="AN661">
        <f t="shared" si="48"/>
        <v>0</v>
      </c>
    </row>
    <row r="662" spans="1:40" x14ac:dyDescent="0.2">
      <c r="A662" s="2">
        <v>68</v>
      </c>
      <c r="B662" t="s">
        <v>1534</v>
      </c>
      <c r="C662" s="2">
        <v>0</v>
      </c>
      <c r="D662" s="2">
        <v>0</v>
      </c>
      <c r="E662" s="2">
        <v>0</v>
      </c>
      <c r="G662" s="2" t="s">
        <v>1186</v>
      </c>
      <c r="H662" s="2" t="s">
        <v>1191</v>
      </c>
      <c r="I662" s="2">
        <v>8</v>
      </c>
      <c r="J662" s="2" t="s">
        <v>1276</v>
      </c>
      <c r="K662">
        <v>2019</v>
      </c>
      <c r="L662" s="2" t="s">
        <v>32</v>
      </c>
      <c r="M662" t="s">
        <v>897</v>
      </c>
      <c r="N662">
        <v>20.5</v>
      </c>
      <c r="O662">
        <v>1</v>
      </c>
      <c r="P662" t="s">
        <v>37</v>
      </c>
      <c r="Q662" t="s">
        <v>42</v>
      </c>
      <c r="R662" s="2" t="s">
        <v>39</v>
      </c>
      <c r="S662" s="4">
        <v>37.38964</v>
      </c>
      <c r="T662" s="4">
        <v>-121.73273</v>
      </c>
      <c r="U662">
        <v>2353</v>
      </c>
      <c r="V662" s="6">
        <f t="shared" si="45"/>
        <v>717.19440000000009</v>
      </c>
      <c r="W662" s="2" t="s">
        <v>898</v>
      </c>
      <c r="X662" s="2" t="s">
        <v>2209</v>
      </c>
      <c r="Y662" s="2" t="s">
        <v>1097</v>
      </c>
      <c r="AB662" s="2">
        <v>23.5</v>
      </c>
      <c r="AC662" s="2">
        <v>8.3000000000000007</v>
      </c>
      <c r="AF662">
        <v>96</v>
      </c>
      <c r="AG662">
        <v>41</v>
      </c>
      <c r="AJ662" s="41">
        <v>0</v>
      </c>
      <c r="AL662">
        <f t="shared" si="46"/>
        <v>0</v>
      </c>
      <c r="AM662">
        <f t="shared" si="47"/>
        <v>0</v>
      </c>
      <c r="AN662">
        <f t="shared" si="48"/>
        <v>0</v>
      </c>
    </row>
    <row r="663" spans="1:40" x14ac:dyDescent="0.2">
      <c r="A663" s="2">
        <v>68</v>
      </c>
      <c r="B663" t="s">
        <v>1535</v>
      </c>
      <c r="C663" s="2">
        <v>0</v>
      </c>
      <c r="D663" s="2">
        <v>0</v>
      </c>
      <c r="E663" s="2">
        <v>0</v>
      </c>
      <c r="G663" s="2" t="s">
        <v>1186</v>
      </c>
      <c r="H663" s="2" t="s">
        <v>1191</v>
      </c>
      <c r="I663" s="2">
        <v>8</v>
      </c>
      <c r="J663" s="2" t="s">
        <v>1276</v>
      </c>
      <c r="K663">
        <v>2019</v>
      </c>
      <c r="L663" s="2" t="s">
        <v>32</v>
      </c>
      <c r="M663" t="s">
        <v>897</v>
      </c>
      <c r="N663">
        <v>18</v>
      </c>
      <c r="O663">
        <v>1</v>
      </c>
      <c r="P663" t="s">
        <v>37</v>
      </c>
      <c r="R663" t="s">
        <v>89</v>
      </c>
      <c r="S663" s="4">
        <v>37.38964</v>
      </c>
      <c r="T663" s="4">
        <v>-121.73273</v>
      </c>
      <c r="U663">
        <v>2353</v>
      </c>
      <c r="V663" s="6">
        <f t="shared" si="45"/>
        <v>717.19440000000009</v>
      </c>
      <c r="W663" s="2" t="s">
        <v>898</v>
      </c>
      <c r="X663" s="2" t="s">
        <v>2209</v>
      </c>
      <c r="Y663" s="2" t="s">
        <v>1097</v>
      </c>
      <c r="AB663" s="2">
        <v>23.5</v>
      </c>
      <c r="AC663" s="2">
        <v>8.3000000000000007</v>
      </c>
      <c r="AF663">
        <v>96</v>
      </c>
      <c r="AG663">
        <v>41</v>
      </c>
      <c r="AJ663" s="41">
        <v>0</v>
      </c>
      <c r="AL663">
        <f t="shared" si="46"/>
        <v>0</v>
      </c>
      <c r="AM663">
        <f t="shared" si="47"/>
        <v>0</v>
      </c>
      <c r="AN663">
        <f t="shared" si="48"/>
        <v>0</v>
      </c>
    </row>
    <row r="664" spans="1:40" x14ac:dyDescent="0.2">
      <c r="A664" s="2">
        <v>68</v>
      </c>
      <c r="B664" t="s">
        <v>1536</v>
      </c>
      <c r="C664" s="2">
        <v>0</v>
      </c>
      <c r="D664" s="2">
        <v>0</v>
      </c>
      <c r="E664" s="2">
        <v>0</v>
      </c>
      <c r="G664" s="2" t="s">
        <v>1186</v>
      </c>
      <c r="H664" s="2" t="s">
        <v>1191</v>
      </c>
      <c r="I664" s="2">
        <v>8</v>
      </c>
      <c r="J664" s="2" t="s">
        <v>1276</v>
      </c>
      <c r="K664">
        <v>2019</v>
      </c>
      <c r="L664" s="2" t="s">
        <v>32</v>
      </c>
      <c r="M664" t="s">
        <v>897</v>
      </c>
      <c r="N664">
        <v>21</v>
      </c>
      <c r="O664">
        <v>1</v>
      </c>
      <c r="P664" t="s">
        <v>37</v>
      </c>
      <c r="Q664" t="s">
        <v>42</v>
      </c>
      <c r="R664" t="s">
        <v>39</v>
      </c>
      <c r="S664" s="4">
        <v>37.38964</v>
      </c>
      <c r="T664" s="4">
        <v>-121.73273</v>
      </c>
      <c r="U664">
        <v>2353</v>
      </c>
      <c r="V664" s="6">
        <f t="shared" si="45"/>
        <v>717.19440000000009</v>
      </c>
      <c r="W664" s="2" t="s">
        <v>898</v>
      </c>
      <c r="X664" s="2" t="s">
        <v>2209</v>
      </c>
      <c r="Y664" s="2" t="s">
        <v>1098</v>
      </c>
      <c r="AB664" s="2">
        <v>23.5</v>
      </c>
      <c r="AC664" s="2">
        <v>8.3000000000000007</v>
      </c>
      <c r="AF664">
        <v>96</v>
      </c>
      <c r="AG664">
        <v>41</v>
      </c>
      <c r="AJ664" s="41">
        <v>0</v>
      </c>
      <c r="AL664">
        <f t="shared" si="46"/>
        <v>0</v>
      </c>
      <c r="AM664">
        <f t="shared" si="47"/>
        <v>0</v>
      </c>
      <c r="AN664">
        <f t="shared" si="48"/>
        <v>0</v>
      </c>
    </row>
    <row r="665" spans="1:40" x14ac:dyDescent="0.2">
      <c r="A665" s="2">
        <v>68</v>
      </c>
      <c r="B665" t="s">
        <v>1537</v>
      </c>
      <c r="C665" s="2">
        <v>0</v>
      </c>
      <c r="D665" s="2">
        <v>0</v>
      </c>
      <c r="E665" s="2">
        <v>0</v>
      </c>
      <c r="G665" s="2" t="s">
        <v>1186</v>
      </c>
      <c r="H665" s="2" t="s">
        <v>1191</v>
      </c>
      <c r="I665" s="2">
        <v>8</v>
      </c>
      <c r="J665" s="2" t="s">
        <v>1276</v>
      </c>
      <c r="K665">
        <v>2019</v>
      </c>
      <c r="L665" s="2" t="s">
        <v>32</v>
      </c>
      <c r="M665" t="s">
        <v>897</v>
      </c>
      <c r="N665">
        <v>21.5</v>
      </c>
      <c r="O665">
        <v>1</v>
      </c>
      <c r="P665" t="s">
        <v>37</v>
      </c>
      <c r="Q665" t="s">
        <v>42</v>
      </c>
      <c r="R665" t="s">
        <v>39</v>
      </c>
      <c r="S665" s="4">
        <v>37.38964</v>
      </c>
      <c r="T665" s="4">
        <v>-121.73273</v>
      </c>
      <c r="U665">
        <v>2353</v>
      </c>
      <c r="V665" s="6">
        <f t="shared" si="45"/>
        <v>717.19440000000009</v>
      </c>
      <c r="W665" s="2" t="s">
        <v>898</v>
      </c>
      <c r="X665" s="2" t="s">
        <v>2209</v>
      </c>
      <c r="Y665" s="2" t="s">
        <v>257</v>
      </c>
      <c r="AB665" s="2">
        <v>23.5</v>
      </c>
      <c r="AC665" s="2">
        <v>8.3000000000000007</v>
      </c>
      <c r="AF665">
        <v>96</v>
      </c>
      <c r="AG665">
        <v>41</v>
      </c>
      <c r="AJ665" s="41">
        <v>0</v>
      </c>
      <c r="AL665">
        <f t="shared" si="46"/>
        <v>0</v>
      </c>
      <c r="AM665">
        <f t="shared" si="47"/>
        <v>0</v>
      </c>
      <c r="AN665">
        <f t="shared" si="48"/>
        <v>0</v>
      </c>
    </row>
    <row r="666" spans="1:40" x14ac:dyDescent="0.2">
      <c r="A666" s="2">
        <v>68</v>
      </c>
      <c r="B666" t="s">
        <v>1538</v>
      </c>
      <c r="C666" s="2">
        <v>0</v>
      </c>
      <c r="D666" s="2">
        <v>0</v>
      </c>
      <c r="E666" s="2">
        <v>0</v>
      </c>
      <c r="G666" s="2" t="s">
        <v>1186</v>
      </c>
      <c r="H666" s="2" t="s">
        <v>1191</v>
      </c>
      <c r="I666" s="2">
        <v>8</v>
      </c>
      <c r="J666" s="2" t="s">
        <v>1276</v>
      </c>
      <c r="K666">
        <v>2019</v>
      </c>
      <c r="L666" s="2" t="s">
        <v>32</v>
      </c>
      <c r="M666" t="s">
        <v>897</v>
      </c>
      <c r="N666">
        <v>23</v>
      </c>
      <c r="O666">
        <f>30.5-28</f>
        <v>2.5</v>
      </c>
      <c r="P666" t="s">
        <v>37</v>
      </c>
      <c r="Q666" t="s">
        <v>42</v>
      </c>
      <c r="R666" t="s">
        <v>39</v>
      </c>
      <c r="S666" s="4">
        <v>37.38964</v>
      </c>
      <c r="T666" s="4">
        <v>-121.73273</v>
      </c>
      <c r="U666">
        <v>2353</v>
      </c>
      <c r="V666" s="6">
        <f t="shared" si="45"/>
        <v>717.19440000000009</v>
      </c>
      <c r="W666" s="2" t="s">
        <v>898</v>
      </c>
      <c r="X666" s="2" t="s">
        <v>2209</v>
      </c>
      <c r="Y666" s="2" t="s">
        <v>263</v>
      </c>
      <c r="Z666" t="s">
        <v>1828</v>
      </c>
      <c r="AA666" t="s">
        <v>1827</v>
      </c>
      <c r="AB666" s="2">
        <v>23.5</v>
      </c>
      <c r="AC666" s="2">
        <v>8.3000000000000007</v>
      </c>
      <c r="AF666">
        <v>96</v>
      </c>
      <c r="AG666">
        <v>41</v>
      </c>
      <c r="AJ666" s="41">
        <v>0</v>
      </c>
      <c r="AL666">
        <f t="shared" si="46"/>
        <v>0</v>
      </c>
      <c r="AM666">
        <f t="shared" si="47"/>
        <v>0</v>
      </c>
      <c r="AN666">
        <f t="shared" si="48"/>
        <v>0</v>
      </c>
    </row>
    <row r="667" spans="1:40" x14ac:dyDescent="0.2">
      <c r="A667" s="2">
        <v>68</v>
      </c>
      <c r="B667" t="s">
        <v>1539</v>
      </c>
      <c r="C667" s="2">
        <v>0</v>
      </c>
      <c r="D667" s="2">
        <v>0</v>
      </c>
      <c r="E667" s="2">
        <v>0</v>
      </c>
      <c r="G667" s="2" t="s">
        <v>1186</v>
      </c>
      <c r="H667" s="2" t="s">
        <v>1191</v>
      </c>
      <c r="I667" s="2">
        <v>8</v>
      </c>
      <c r="J667" s="2" t="s">
        <v>1276</v>
      </c>
      <c r="K667">
        <v>2019</v>
      </c>
      <c r="L667" s="2" t="s">
        <v>32</v>
      </c>
      <c r="M667" t="s">
        <v>897</v>
      </c>
      <c r="N667">
        <v>20</v>
      </c>
      <c r="O667">
        <v>1</v>
      </c>
      <c r="P667" t="s">
        <v>37</v>
      </c>
      <c r="R667" s="45" t="s">
        <v>39</v>
      </c>
      <c r="S667" s="4">
        <v>37.38964</v>
      </c>
      <c r="T667" s="4">
        <v>-121.73273</v>
      </c>
      <c r="U667">
        <v>2353</v>
      </c>
      <c r="V667" s="6">
        <f t="shared" si="45"/>
        <v>717.19440000000009</v>
      </c>
      <c r="W667" s="2" t="s">
        <v>898</v>
      </c>
      <c r="X667" s="2" t="s">
        <v>2209</v>
      </c>
      <c r="Y667" s="2" t="s">
        <v>357</v>
      </c>
      <c r="Z667" t="s">
        <v>1829</v>
      </c>
      <c r="AB667" s="2">
        <v>23.5</v>
      </c>
      <c r="AC667" s="2">
        <v>8.3000000000000007</v>
      </c>
      <c r="AF667">
        <v>96</v>
      </c>
      <c r="AG667">
        <v>41</v>
      </c>
      <c r="AJ667" s="41">
        <v>0</v>
      </c>
      <c r="AL667">
        <f t="shared" si="46"/>
        <v>0</v>
      </c>
      <c r="AM667">
        <f t="shared" si="47"/>
        <v>0</v>
      </c>
      <c r="AN667">
        <f t="shared" si="48"/>
        <v>0</v>
      </c>
    </row>
    <row r="668" spans="1:40" x14ac:dyDescent="0.2">
      <c r="A668" s="2">
        <v>68</v>
      </c>
      <c r="B668" t="s">
        <v>1540</v>
      </c>
      <c r="C668" s="2">
        <v>0</v>
      </c>
      <c r="D668" s="2">
        <v>0</v>
      </c>
      <c r="E668" s="2">
        <v>0</v>
      </c>
      <c r="G668" s="2" t="s">
        <v>1186</v>
      </c>
      <c r="H668" s="2" t="s">
        <v>1191</v>
      </c>
      <c r="I668" s="2">
        <v>8</v>
      </c>
      <c r="J668" s="2" t="s">
        <v>1276</v>
      </c>
      <c r="K668">
        <v>2019</v>
      </c>
      <c r="L668" s="2" t="s">
        <v>33</v>
      </c>
      <c r="M668" t="s">
        <v>897</v>
      </c>
      <c r="N668">
        <v>81</v>
      </c>
      <c r="O668">
        <f>67-8.5</f>
        <v>58.5</v>
      </c>
      <c r="P668" t="s">
        <v>30</v>
      </c>
      <c r="Q668" s="45" t="s">
        <v>42</v>
      </c>
      <c r="R668" s="25" t="s">
        <v>39</v>
      </c>
      <c r="S668" s="4">
        <v>37.38964</v>
      </c>
      <c r="T668" s="4">
        <v>-121.73273</v>
      </c>
      <c r="U668">
        <v>2353</v>
      </c>
      <c r="V668" s="6">
        <f t="shared" si="45"/>
        <v>717.19440000000009</v>
      </c>
      <c r="W668" s="2" t="s">
        <v>898</v>
      </c>
      <c r="X668" s="2" t="s">
        <v>2209</v>
      </c>
      <c r="Y668" s="2" t="s">
        <v>891</v>
      </c>
      <c r="AA668" t="s">
        <v>1830</v>
      </c>
      <c r="AB668" s="2">
        <v>23.5</v>
      </c>
      <c r="AC668" s="2">
        <v>8.3000000000000007</v>
      </c>
      <c r="AF668">
        <v>96</v>
      </c>
      <c r="AG668">
        <v>41</v>
      </c>
      <c r="AJ668" s="41">
        <v>0</v>
      </c>
      <c r="AL668">
        <f t="shared" si="46"/>
        <v>0</v>
      </c>
      <c r="AM668">
        <f t="shared" si="47"/>
        <v>0</v>
      </c>
      <c r="AN668">
        <f t="shared" si="48"/>
        <v>0</v>
      </c>
    </row>
    <row r="669" spans="1:40" x14ac:dyDescent="0.2">
      <c r="A669" s="2">
        <v>68</v>
      </c>
      <c r="B669" t="s">
        <v>1541</v>
      </c>
      <c r="C669" s="2">
        <v>0</v>
      </c>
      <c r="D669" s="2">
        <v>0</v>
      </c>
      <c r="E669" s="2">
        <v>0</v>
      </c>
      <c r="G669" s="2" t="s">
        <v>1186</v>
      </c>
      <c r="H669" s="2" t="s">
        <v>1191</v>
      </c>
      <c r="I669" s="2">
        <v>8</v>
      </c>
      <c r="J669" s="2" t="s">
        <v>1276</v>
      </c>
      <c r="K669">
        <v>2019</v>
      </c>
      <c r="L669" s="2" t="s">
        <v>32</v>
      </c>
      <c r="M669" t="s">
        <v>897</v>
      </c>
      <c r="N669">
        <v>20</v>
      </c>
      <c r="O669">
        <v>1.5</v>
      </c>
      <c r="P669" t="s">
        <v>37</v>
      </c>
      <c r="Q669" t="s">
        <v>42</v>
      </c>
      <c r="R669" t="s">
        <v>39</v>
      </c>
      <c r="S669" s="4">
        <v>37.38964</v>
      </c>
      <c r="T669" s="4">
        <v>-121.73273</v>
      </c>
      <c r="U669">
        <v>2353</v>
      </c>
      <c r="V669" s="6">
        <f t="shared" si="45"/>
        <v>717.19440000000009</v>
      </c>
      <c r="W669" s="2" t="s">
        <v>898</v>
      </c>
      <c r="X669" s="2" t="s">
        <v>2209</v>
      </c>
      <c r="Y669" s="2" t="s">
        <v>363</v>
      </c>
      <c r="AB669" s="2">
        <v>23.5</v>
      </c>
      <c r="AC669" s="2">
        <v>8.3000000000000007</v>
      </c>
      <c r="AF669">
        <v>96</v>
      </c>
      <c r="AG669">
        <v>41</v>
      </c>
      <c r="AJ669" s="41">
        <v>0</v>
      </c>
      <c r="AL669">
        <f t="shared" si="46"/>
        <v>0</v>
      </c>
      <c r="AM669">
        <f t="shared" si="47"/>
        <v>0</v>
      </c>
      <c r="AN669">
        <f t="shared" si="48"/>
        <v>0</v>
      </c>
    </row>
    <row r="670" spans="1:40" x14ac:dyDescent="0.2">
      <c r="A670" s="2">
        <v>68</v>
      </c>
      <c r="B670" t="s">
        <v>1542</v>
      </c>
      <c r="C670" s="2">
        <v>0</v>
      </c>
      <c r="D670" s="2">
        <v>0</v>
      </c>
      <c r="E670" s="2">
        <v>0</v>
      </c>
      <c r="G670" s="2" t="s">
        <v>1186</v>
      </c>
      <c r="H670" s="2" t="s">
        <v>1191</v>
      </c>
      <c r="I670" s="2">
        <v>8</v>
      </c>
      <c r="J670" s="2" t="s">
        <v>1276</v>
      </c>
      <c r="K670">
        <v>2019</v>
      </c>
      <c r="L670" s="2" t="s">
        <v>32</v>
      </c>
      <c r="M670" t="s">
        <v>897</v>
      </c>
      <c r="N670">
        <v>21</v>
      </c>
      <c r="O670">
        <f>25-22.5</f>
        <v>2.5</v>
      </c>
      <c r="P670" t="s">
        <v>37</v>
      </c>
      <c r="Q670" t="s">
        <v>42</v>
      </c>
      <c r="R670" t="s">
        <v>39</v>
      </c>
      <c r="S670" s="4">
        <v>37.38964</v>
      </c>
      <c r="T670" s="4">
        <v>-121.73273</v>
      </c>
      <c r="U670">
        <v>2353</v>
      </c>
      <c r="V670" s="6">
        <f t="shared" si="45"/>
        <v>717.19440000000009</v>
      </c>
      <c r="W670" s="2" t="s">
        <v>898</v>
      </c>
      <c r="X670" s="2" t="s">
        <v>2209</v>
      </c>
      <c r="Y670" s="2" t="s">
        <v>1115</v>
      </c>
      <c r="Z670" t="s">
        <v>1832</v>
      </c>
      <c r="AB670" s="2">
        <v>23.5</v>
      </c>
      <c r="AC670" s="2">
        <v>8.3000000000000007</v>
      </c>
      <c r="AF670">
        <v>96</v>
      </c>
      <c r="AG670">
        <v>41</v>
      </c>
      <c r="AJ670" s="41">
        <v>0</v>
      </c>
      <c r="AL670">
        <f t="shared" si="46"/>
        <v>0</v>
      </c>
      <c r="AM670">
        <f t="shared" si="47"/>
        <v>0</v>
      </c>
      <c r="AN670">
        <f t="shared" si="48"/>
        <v>0</v>
      </c>
    </row>
    <row r="671" spans="1:40" x14ac:dyDescent="0.2">
      <c r="A671" s="2">
        <v>69</v>
      </c>
      <c r="B671" t="s">
        <v>1543</v>
      </c>
      <c r="C671" s="2">
        <v>0</v>
      </c>
      <c r="D671" s="2">
        <v>0</v>
      </c>
      <c r="E671" s="2">
        <v>0</v>
      </c>
      <c r="G671" s="2" t="s">
        <v>1186</v>
      </c>
      <c r="H671" s="2" t="s">
        <v>1191</v>
      </c>
      <c r="I671" s="2">
        <v>9</v>
      </c>
      <c r="J671" s="2" t="s">
        <v>1276</v>
      </c>
      <c r="K671">
        <v>2019</v>
      </c>
      <c r="L671" s="2" t="s">
        <v>33</v>
      </c>
      <c r="M671" t="s">
        <v>897</v>
      </c>
      <c r="N671">
        <v>18.5</v>
      </c>
      <c r="O671">
        <v>1</v>
      </c>
      <c r="P671" t="s">
        <v>37</v>
      </c>
      <c r="R671" t="s">
        <v>89</v>
      </c>
      <c r="S671" s="4">
        <v>37.379849999999998</v>
      </c>
      <c r="T671" s="4">
        <v>-121.74673</v>
      </c>
      <c r="U671">
        <v>2353</v>
      </c>
      <c r="V671" s="6">
        <f t="shared" si="45"/>
        <v>717.19440000000009</v>
      </c>
      <c r="W671" s="2" t="s">
        <v>898</v>
      </c>
      <c r="X671" s="2" t="s">
        <v>2161</v>
      </c>
      <c r="Y671" s="2" t="s">
        <v>1315</v>
      </c>
      <c r="Z671" t="s">
        <v>1832</v>
      </c>
      <c r="AA671" t="s">
        <v>1831</v>
      </c>
      <c r="AB671" s="2">
        <v>22.4</v>
      </c>
      <c r="AC671" s="2">
        <v>8</v>
      </c>
      <c r="AF671">
        <v>95</v>
      </c>
      <c r="AG671">
        <v>41</v>
      </c>
      <c r="AJ671" s="41">
        <v>0</v>
      </c>
      <c r="AL671">
        <f t="shared" si="46"/>
        <v>0</v>
      </c>
      <c r="AM671">
        <f t="shared" si="47"/>
        <v>0</v>
      </c>
      <c r="AN671">
        <f t="shared" si="48"/>
        <v>0</v>
      </c>
    </row>
    <row r="672" spans="1:40" x14ac:dyDescent="0.2">
      <c r="A672" s="2">
        <v>69</v>
      </c>
      <c r="B672" t="s">
        <v>1544</v>
      </c>
      <c r="C672" s="2">
        <v>0</v>
      </c>
      <c r="D672" s="2">
        <v>0</v>
      </c>
      <c r="E672" s="2">
        <v>0</v>
      </c>
      <c r="G672" s="2" t="s">
        <v>1186</v>
      </c>
      <c r="H672" s="2" t="s">
        <v>1191</v>
      </c>
      <c r="I672" s="2">
        <v>9</v>
      </c>
      <c r="J672" s="2" t="s">
        <v>1276</v>
      </c>
      <c r="K672">
        <v>2019</v>
      </c>
      <c r="L672" s="2" t="s">
        <v>33</v>
      </c>
      <c r="M672" t="s">
        <v>897</v>
      </c>
      <c r="N672">
        <v>22</v>
      </c>
      <c r="O672">
        <f>21.5-19.5</f>
        <v>2</v>
      </c>
      <c r="P672" t="s">
        <v>37</v>
      </c>
      <c r="R672" t="s">
        <v>89</v>
      </c>
      <c r="S672" s="4">
        <v>37.379849999999998</v>
      </c>
      <c r="T672" s="4">
        <v>-121.74673</v>
      </c>
      <c r="U672">
        <v>2353</v>
      </c>
      <c r="V672" s="6">
        <f t="shared" si="45"/>
        <v>717.19440000000009</v>
      </c>
      <c r="W672" s="2" t="s">
        <v>898</v>
      </c>
      <c r="X672" s="2" t="s">
        <v>2161</v>
      </c>
      <c r="Y672" s="2" t="s">
        <v>1315</v>
      </c>
      <c r="AA672" t="s">
        <v>1833</v>
      </c>
      <c r="AB672" s="2">
        <v>22.4</v>
      </c>
      <c r="AC672" s="2">
        <v>8</v>
      </c>
      <c r="AF672">
        <v>95</v>
      </c>
      <c r="AG672">
        <v>41</v>
      </c>
      <c r="AJ672" s="41">
        <v>0</v>
      </c>
      <c r="AL672">
        <f t="shared" si="46"/>
        <v>0</v>
      </c>
      <c r="AM672">
        <f t="shared" si="47"/>
        <v>0</v>
      </c>
      <c r="AN672">
        <f t="shared" si="48"/>
        <v>0</v>
      </c>
    </row>
    <row r="673" spans="1:40" x14ac:dyDescent="0.2">
      <c r="A673" s="2">
        <v>69</v>
      </c>
      <c r="B673" t="s">
        <v>1545</v>
      </c>
      <c r="C673" s="2">
        <v>0</v>
      </c>
      <c r="D673" s="2">
        <v>0</v>
      </c>
      <c r="E673" s="2">
        <v>0</v>
      </c>
      <c r="G673" s="2" t="s">
        <v>1186</v>
      </c>
      <c r="H673" s="2" t="s">
        <v>1191</v>
      </c>
      <c r="I673" s="2">
        <v>9</v>
      </c>
      <c r="J673" s="2" t="s">
        <v>1276</v>
      </c>
      <c r="K673">
        <v>2019</v>
      </c>
      <c r="L673" s="2" t="s">
        <v>33</v>
      </c>
      <c r="M673" t="s">
        <v>897</v>
      </c>
      <c r="N673">
        <v>22</v>
      </c>
      <c r="O673">
        <v>1.5</v>
      </c>
      <c r="P673" t="s">
        <v>37</v>
      </c>
      <c r="R673" t="s">
        <v>89</v>
      </c>
      <c r="S673" s="4">
        <v>37.379849999999998</v>
      </c>
      <c r="T673" s="4">
        <v>-121.74673</v>
      </c>
      <c r="U673">
        <v>2353</v>
      </c>
      <c r="V673" s="6">
        <f t="shared" si="45"/>
        <v>717.19440000000009</v>
      </c>
      <c r="W673" s="2" t="s">
        <v>898</v>
      </c>
      <c r="X673" s="2" t="s">
        <v>2161</v>
      </c>
      <c r="Y673" s="2" t="s">
        <v>363</v>
      </c>
      <c r="AA673" t="s">
        <v>1834</v>
      </c>
      <c r="AB673" s="2">
        <v>22.4</v>
      </c>
      <c r="AC673" s="2">
        <v>8</v>
      </c>
      <c r="AF673">
        <v>95</v>
      </c>
      <c r="AG673">
        <v>41</v>
      </c>
      <c r="AJ673" s="41">
        <v>0</v>
      </c>
      <c r="AL673">
        <f t="shared" si="46"/>
        <v>0</v>
      </c>
      <c r="AM673">
        <f t="shared" si="47"/>
        <v>0</v>
      </c>
      <c r="AN673">
        <f t="shared" si="48"/>
        <v>0</v>
      </c>
    </row>
    <row r="674" spans="1:40" x14ac:dyDescent="0.2">
      <c r="A674" s="2">
        <v>69</v>
      </c>
      <c r="B674" t="s">
        <v>1546</v>
      </c>
      <c r="C674">
        <v>3.5013161599636078E-2</v>
      </c>
      <c r="D674">
        <v>2.8987878933548927E-2</v>
      </c>
      <c r="E674" s="18">
        <v>7.2561E-2</v>
      </c>
      <c r="G674" s="2" t="s">
        <v>1186</v>
      </c>
      <c r="H674" s="2" t="s">
        <v>1191</v>
      </c>
      <c r="I674" s="2">
        <v>9</v>
      </c>
      <c r="J674" s="2" t="s">
        <v>1276</v>
      </c>
      <c r="K674">
        <v>2019</v>
      </c>
      <c r="L674" s="2" t="s">
        <v>691</v>
      </c>
      <c r="M674" t="s">
        <v>897</v>
      </c>
      <c r="N674">
        <v>119</v>
      </c>
      <c r="O674" t="s">
        <v>43</v>
      </c>
      <c r="P674" t="s">
        <v>30</v>
      </c>
      <c r="Q674" t="s">
        <v>38</v>
      </c>
      <c r="R674" t="s">
        <v>39</v>
      </c>
      <c r="S674" s="4">
        <v>37.379849999999998</v>
      </c>
      <c r="T674" s="4">
        <v>-121.74673</v>
      </c>
      <c r="U674">
        <v>2353</v>
      </c>
      <c r="V674" s="6">
        <f t="shared" si="45"/>
        <v>717.19440000000009</v>
      </c>
      <c r="W674" s="2" t="s">
        <v>898</v>
      </c>
      <c r="X674" s="2" t="s">
        <v>2161</v>
      </c>
      <c r="Y674" s="2" t="s">
        <v>1115</v>
      </c>
      <c r="AA674" t="s">
        <v>1835</v>
      </c>
      <c r="AB674" s="2">
        <v>22.4</v>
      </c>
      <c r="AC674" s="2">
        <v>8</v>
      </c>
      <c r="AF674">
        <v>95</v>
      </c>
      <c r="AG674">
        <v>41</v>
      </c>
      <c r="AJ674" s="41">
        <v>0</v>
      </c>
      <c r="AL674">
        <f t="shared" si="46"/>
        <v>2.8010529279708862</v>
      </c>
      <c r="AM674">
        <f t="shared" si="47"/>
        <v>2.3190303146839142</v>
      </c>
      <c r="AN674">
        <f t="shared" si="48"/>
        <v>5.8048799999999998</v>
      </c>
    </row>
    <row r="675" spans="1:40" x14ac:dyDescent="0.2">
      <c r="A675" s="2">
        <v>69</v>
      </c>
      <c r="B675" t="s">
        <v>1547</v>
      </c>
      <c r="C675">
        <v>0</v>
      </c>
      <c r="D675">
        <v>0</v>
      </c>
      <c r="E675">
        <v>0</v>
      </c>
      <c r="G675" s="2" t="s">
        <v>1186</v>
      </c>
      <c r="H675" s="2" t="s">
        <v>1191</v>
      </c>
      <c r="I675" s="2">
        <v>9</v>
      </c>
      <c r="J675" s="2" t="s">
        <v>1276</v>
      </c>
      <c r="K675">
        <v>2019</v>
      </c>
      <c r="L675" s="2" t="s">
        <v>691</v>
      </c>
      <c r="M675" t="s">
        <v>897</v>
      </c>
      <c r="N675">
        <v>70</v>
      </c>
      <c r="O675">
        <f>58-22.5</f>
        <v>35.5</v>
      </c>
      <c r="P675" t="s">
        <v>37</v>
      </c>
      <c r="Q675" s="2"/>
      <c r="R675" s="2" t="s">
        <v>89</v>
      </c>
      <c r="S675" s="4">
        <v>37.379849999999998</v>
      </c>
      <c r="T675" s="4">
        <v>-121.74673</v>
      </c>
      <c r="U675">
        <v>2353</v>
      </c>
      <c r="V675" s="6">
        <f t="shared" si="45"/>
        <v>717.19440000000009</v>
      </c>
      <c r="W675" s="2" t="s">
        <v>898</v>
      </c>
      <c r="X675" s="2" t="s">
        <v>2161</v>
      </c>
      <c r="Y675" s="2" t="s">
        <v>307</v>
      </c>
      <c r="AA675" t="s">
        <v>1836</v>
      </c>
      <c r="AB675" s="2">
        <v>22.4</v>
      </c>
      <c r="AC675" s="2">
        <v>8</v>
      </c>
      <c r="AF675">
        <v>95</v>
      </c>
      <c r="AG675">
        <v>41</v>
      </c>
      <c r="AJ675" s="41">
        <v>0</v>
      </c>
      <c r="AL675">
        <f t="shared" si="46"/>
        <v>0</v>
      </c>
      <c r="AM675">
        <f t="shared" si="47"/>
        <v>0</v>
      </c>
      <c r="AN675">
        <f t="shared" si="48"/>
        <v>0</v>
      </c>
    </row>
    <row r="676" spans="1:40" x14ac:dyDescent="0.2">
      <c r="A676" s="2">
        <v>69</v>
      </c>
      <c r="B676" t="s">
        <v>1548</v>
      </c>
      <c r="C676">
        <v>0</v>
      </c>
      <c r="D676">
        <v>0</v>
      </c>
      <c r="E676">
        <v>0</v>
      </c>
      <c r="G676" s="2" t="s">
        <v>1186</v>
      </c>
      <c r="H676" s="2" t="s">
        <v>1191</v>
      </c>
      <c r="I676" s="2">
        <v>9</v>
      </c>
      <c r="J676" s="2" t="s">
        <v>1276</v>
      </c>
      <c r="K676">
        <v>2019</v>
      </c>
      <c r="L676" s="2" t="s">
        <v>32</v>
      </c>
      <c r="M676" t="s">
        <v>897</v>
      </c>
      <c r="N676">
        <v>19.5</v>
      </c>
      <c r="O676">
        <f>17-16</f>
        <v>1</v>
      </c>
      <c r="P676" t="s">
        <v>37</v>
      </c>
      <c r="R676" s="45" t="s">
        <v>39</v>
      </c>
      <c r="S676" s="4">
        <v>37.379849999999998</v>
      </c>
      <c r="T676" s="4">
        <v>-121.74673</v>
      </c>
      <c r="U676">
        <v>2353</v>
      </c>
      <c r="V676" s="6">
        <f t="shared" si="45"/>
        <v>717.19440000000009</v>
      </c>
      <c r="W676" s="2" t="s">
        <v>898</v>
      </c>
      <c r="X676" s="2" t="s">
        <v>2161</v>
      </c>
      <c r="Y676" s="2" t="s">
        <v>63</v>
      </c>
      <c r="AA676" t="s">
        <v>1837</v>
      </c>
      <c r="AB676" s="2">
        <v>22.4</v>
      </c>
      <c r="AC676" s="2">
        <v>8</v>
      </c>
      <c r="AF676">
        <v>95</v>
      </c>
      <c r="AG676">
        <v>41</v>
      </c>
      <c r="AJ676" s="41">
        <v>0</v>
      </c>
      <c r="AL676">
        <f t="shared" si="46"/>
        <v>0</v>
      </c>
      <c r="AM676">
        <f t="shared" si="47"/>
        <v>0</v>
      </c>
      <c r="AN676">
        <f t="shared" si="48"/>
        <v>0</v>
      </c>
    </row>
    <row r="677" spans="1:40" x14ac:dyDescent="0.2">
      <c r="A677" s="2">
        <v>69</v>
      </c>
      <c r="B677" t="s">
        <v>1549</v>
      </c>
      <c r="C677">
        <v>0</v>
      </c>
      <c r="D677">
        <v>0</v>
      </c>
      <c r="E677">
        <v>0</v>
      </c>
      <c r="G677" s="2" t="s">
        <v>1186</v>
      </c>
      <c r="H677" s="2" t="s">
        <v>1191</v>
      </c>
      <c r="I677" s="2">
        <v>9</v>
      </c>
      <c r="J677" s="2" t="s">
        <v>1276</v>
      </c>
      <c r="K677">
        <v>2019</v>
      </c>
      <c r="L677" s="2" t="s">
        <v>691</v>
      </c>
      <c r="M677" t="s">
        <v>897</v>
      </c>
      <c r="N677">
        <v>114</v>
      </c>
      <c r="O677" t="s">
        <v>43</v>
      </c>
      <c r="P677" t="s">
        <v>30</v>
      </c>
      <c r="Q677" t="s">
        <v>38</v>
      </c>
      <c r="R677" t="s">
        <v>39</v>
      </c>
      <c r="S677" s="4">
        <v>37.379849999999998</v>
      </c>
      <c r="T677" s="4">
        <v>-121.74673</v>
      </c>
      <c r="U677">
        <v>2353</v>
      </c>
      <c r="V677" s="6">
        <f t="shared" si="45"/>
        <v>717.19440000000009</v>
      </c>
      <c r="W677" s="2" t="s">
        <v>898</v>
      </c>
      <c r="X677" s="2" t="s">
        <v>2161</v>
      </c>
      <c r="Y677" s="2" t="s">
        <v>692</v>
      </c>
      <c r="AA677" t="s">
        <v>1838</v>
      </c>
      <c r="AB677" s="2">
        <v>22.4</v>
      </c>
      <c r="AC677" s="2">
        <v>8</v>
      </c>
      <c r="AF677">
        <v>95</v>
      </c>
      <c r="AG677">
        <v>41</v>
      </c>
      <c r="AJ677" s="41">
        <v>0</v>
      </c>
      <c r="AL677">
        <f t="shared" si="46"/>
        <v>0</v>
      </c>
      <c r="AM677">
        <f t="shared" si="47"/>
        <v>0</v>
      </c>
      <c r="AN677">
        <f t="shared" si="48"/>
        <v>0</v>
      </c>
    </row>
    <row r="678" spans="1:40" x14ac:dyDescent="0.2">
      <c r="A678" s="2">
        <v>69</v>
      </c>
      <c r="B678" t="s">
        <v>1550</v>
      </c>
      <c r="C678">
        <v>0</v>
      </c>
      <c r="D678">
        <v>0</v>
      </c>
      <c r="E678">
        <v>0</v>
      </c>
      <c r="G678" s="2" t="s">
        <v>1186</v>
      </c>
      <c r="H678" s="2" t="s">
        <v>1191</v>
      </c>
      <c r="I678" s="2">
        <v>9</v>
      </c>
      <c r="J678" s="2" t="s">
        <v>1276</v>
      </c>
      <c r="K678">
        <v>2019</v>
      </c>
      <c r="L678" s="2" t="s">
        <v>33</v>
      </c>
      <c r="M678" t="s">
        <v>897</v>
      </c>
      <c r="N678">
        <v>18</v>
      </c>
      <c r="O678">
        <v>1</v>
      </c>
      <c r="P678" t="s">
        <v>37</v>
      </c>
      <c r="R678" t="s">
        <v>89</v>
      </c>
      <c r="S678" s="4">
        <v>37.379849999999998</v>
      </c>
      <c r="T678" s="4">
        <v>-121.74673</v>
      </c>
      <c r="U678">
        <v>2353</v>
      </c>
      <c r="V678" s="6">
        <f t="shared" si="45"/>
        <v>717.19440000000009</v>
      </c>
      <c r="W678" s="2" t="s">
        <v>898</v>
      </c>
      <c r="X678" s="2" t="s">
        <v>2161</v>
      </c>
      <c r="Y678" s="2" t="s">
        <v>805</v>
      </c>
      <c r="AA678" t="s">
        <v>1839</v>
      </c>
      <c r="AB678" s="2">
        <v>22.4</v>
      </c>
      <c r="AC678" s="2">
        <v>8</v>
      </c>
      <c r="AF678">
        <v>95</v>
      </c>
      <c r="AG678">
        <v>41</v>
      </c>
      <c r="AJ678" s="41">
        <v>0</v>
      </c>
      <c r="AL678">
        <f t="shared" si="46"/>
        <v>0</v>
      </c>
      <c r="AM678">
        <f t="shared" si="47"/>
        <v>0</v>
      </c>
      <c r="AN678">
        <f t="shared" si="48"/>
        <v>0</v>
      </c>
    </row>
    <row r="679" spans="1:40" x14ac:dyDescent="0.2">
      <c r="A679" s="2">
        <v>69</v>
      </c>
      <c r="B679" t="s">
        <v>1551</v>
      </c>
      <c r="C679">
        <v>0</v>
      </c>
      <c r="D679">
        <v>0</v>
      </c>
      <c r="E679">
        <v>0</v>
      </c>
      <c r="G679" s="2" t="s">
        <v>1186</v>
      </c>
      <c r="H679" s="2" t="s">
        <v>1191</v>
      </c>
      <c r="I679" s="2">
        <v>9</v>
      </c>
      <c r="J679" s="2" t="s">
        <v>1276</v>
      </c>
      <c r="K679">
        <v>2019</v>
      </c>
      <c r="L679" s="2" t="s">
        <v>32</v>
      </c>
      <c r="M679" t="s">
        <v>897</v>
      </c>
      <c r="N679">
        <v>18.5</v>
      </c>
      <c r="O679">
        <v>1</v>
      </c>
      <c r="P679" t="s">
        <v>37</v>
      </c>
      <c r="R679" s="45" t="s">
        <v>39</v>
      </c>
      <c r="S679" s="4">
        <v>37.379849999999998</v>
      </c>
      <c r="T679" s="4">
        <v>-121.74673</v>
      </c>
      <c r="U679">
        <v>2353</v>
      </c>
      <c r="V679" s="6">
        <f t="shared" si="45"/>
        <v>717.19440000000009</v>
      </c>
      <c r="W679" s="2" t="s">
        <v>898</v>
      </c>
      <c r="X679" s="2" t="s">
        <v>2161</v>
      </c>
      <c r="Y679" s="2" t="s">
        <v>118</v>
      </c>
      <c r="AA679" t="s">
        <v>1840</v>
      </c>
      <c r="AB679" s="2">
        <v>22.4</v>
      </c>
      <c r="AC679" s="2">
        <v>8</v>
      </c>
      <c r="AF679">
        <v>95</v>
      </c>
      <c r="AG679">
        <v>41</v>
      </c>
      <c r="AJ679" s="41">
        <v>0</v>
      </c>
      <c r="AL679">
        <f t="shared" si="46"/>
        <v>0</v>
      </c>
      <c r="AM679">
        <f t="shared" si="47"/>
        <v>0</v>
      </c>
      <c r="AN679">
        <f t="shared" si="48"/>
        <v>0</v>
      </c>
    </row>
    <row r="680" spans="1:40" x14ac:dyDescent="0.2">
      <c r="A680" s="2">
        <v>69</v>
      </c>
      <c r="B680" t="s">
        <v>1552</v>
      </c>
      <c r="C680">
        <v>3.8193724155426025</v>
      </c>
      <c r="D680">
        <v>4.5166568756103516</v>
      </c>
      <c r="E680" s="18">
        <v>4.9842300000000002</v>
      </c>
      <c r="G680" s="2" t="s">
        <v>1186</v>
      </c>
      <c r="H680" s="2" t="s">
        <v>1191</v>
      </c>
      <c r="I680" s="2">
        <v>9</v>
      </c>
      <c r="J680" s="2" t="s">
        <v>1276</v>
      </c>
      <c r="K680">
        <v>2019</v>
      </c>
      <c r="L680" s="2" t="s">
        <v>33</v>
      </c>
      <c r="M680" t="s">
        <v>897</v>
      </c>
      <c r="N680">
        <v>27.5</v>
      </c>
      <c r="O680">
        <v>3</v>
      </c>
      <c r="P680" t="s">
        <v>37</v>
      </c>
      <c r="R680" t="s">
        <v>89</v>
      </c>
      <c r="S680" s="4">
        <v>37.379849999999998</v>
      </c>
      <c r="T680" s="4">
        <v>-121.74673</v>
      </c>
      <c r="U680">
        <v>2353</v>
      </c>
      <c r="V680" s="6">
        <f t="shared" si="45"/>
        <v>717.19440000000009</v>
      </c>
      <c r="W680" s="2" t="s">
        <v>898</v>
      </c>
      <c r="X680" s="2" t="s">
        <v>2161</v>
      </c>
      <c r="Y680" s="2" t="s">
        <v>580</v>
      </c>
      <c r="AA680" t="s">
        <v>1841</v>
      </c>
      <c r="AB680" s="2">
        <v>22.4</v>
      </c>
      <c r="AC680" s="2">
        <v>8</v>
      </c>
      <c r="AF680">
        <v>95</v>
      </c>
      <c r="AG680">
        <v>41</v>
      </c>
      <c r="AJ680" s="41">
        <v>0</v>
      </c>
      <c r="AL680">
        <f t="shared" si="46"/>
        <v>305.5497932434082</v>
      </c>
      <c r="AM680">
        <f t="shared" si="47"/>
        <v>361.33255004882812</v>
      </c>
      <c r="AN680">
        <f t="shared" si="48"/>
        <v>398.73840000000001</v>
      </c>
    </row>
    <row r="681" spans="1:40" x14ac:dyDescent="0.2">
      <c r="A681" s="2">
        <v>69</v>
      </c>
      <c r="B681" t="s">
        <v>1553</v>
      </c>
      <c r="C681">
        <v>0</v>
      </c>
      <c r="D681">
        <v>0</v>
      </c>
      <c r="E681">
        <v>0</v>
      </c>
      <c r="G681" s="2" t="s">
        <v>1186</v>
      </c>
      <c r="H681" s="2" t="s">
        <v>1191</v>
      </c>
      <c r="I681" s="2">
        <v>9</v>
      </c>
      <c r="J681" s="2" t="s">
        <v>1276</v>
      </c>
      <c r="K681">
        <v>2019</v>
      </c>
      <c r="L681" s="2" t="s">
        <v>32</v>
      </c>
      <c r="M681" t="s">
        <v>897</v>
      </c>
      <c r="N681">
        <v>19</v>
      </c>
      <c r="O681">
        <v>1.5</v>
      </c>
      <c r="P681" t="s">
        <v>37</v>
      </c>
      <c r="Q681" s="2" t="s">
        <v>42</v>
      </c>
      <c r="R681" s="2" t="s">
        <v>39</v>
      </c>
      <c r="S681" s="4">
        <v>37.379849999999998</v>
      </c>
      <c r="T681" s="4">
        <v>-121.74673</v>
      </c>
      <c r="U681">
        <v>2353</v>
      </c>
      <c r="V681" s="6">
        <f t="shared" si="45"/>
        <v>717.19440000000009</v>
      </c>
      <c r="W681" s="2" t="s">
        <v>898</v>
      </c>
      <c r="X681" s="2" t="s">
        <v>2161</v>
      </c>
      <c r="Y681" s="2" t="s">
        <v>1109</v>
      </c>
      <c r="AA681" t="s">
        <v>1842</v>
      </c>
      <c r="AB681" s="2">
        <v>22.4</v>
      </c>
      <c r="AC681" s="2">
        <v>8</v>
      </c>
      <c r="AF681">
        <v>95</v>
      </c>
      <c r="AG681">
        <v>41</v>
      </c>
      <c r="AJ681" s="41">
        <v>0</v>
      </c>
      <c r="AL681">
        <f t="shared" si="46"/>
        <v>0</v>
      </c>
      <c r="AM681">
        <f t="shared" si="47"/>
        <v>0</v>
      </c>
      <c r="AN681">
        <f t="shared" si="48"/>
        <v>0</v>
      </c>
    </row>
    <row r="682" spans="1:40" x14ac:dyDescent="0.2">
      <c r="A682" s="2">
        <v>70</v>
      </c>
      <c r="B682" t="s">
        <v>1554</v>
      </c>
      <c r="C682">
        <v>3.4963493347167969</v>
      </c>
      <c r="D682">
        <v>4.0386857986450195</v>
      </c>
      <c r="E682" s="18">
        <v>5.976896</v>
      </c>
      <c r="G682" s="2" t="s">
        <v>1186</v>
      </c>
      <c r="H682" s="2" t="s">
        <v>1191</v>
      </c>
      <c r="I682" s="2">
        <v>11</v>
      </c>
      <c r="J682" s="2" t="s">
        <v>1276</v>
      </c>
      <c r="K682">
        <v>2019</v>
      </c>
      <c r="L682" s="2" t="s">
        <v>691</v>
      </c>
      <c r="M682" t="s">
        <v>897</v>
      </c>
      <c r="N682">
        <v>42</v>
      </c>
      <c r="O682">
        <f>25.5-16.5</f>
        <v>9</v>
      </c>
      <c r="P682" t="s">
        <v>37</v>
      </c>
      <c r="R682" t="s">
        <v>89</v>
      </c>
      <c r="S682" s="4">
        <v>37.379309999999997</v>
      </c>
      <c r="T682" s="4">
        <v>-121.73188</v>
      </c>
      <c r="U682">
        <v>1868</v>
      </c>
      <c r="V682" s="6">
        <f t="shared" si="45"/>
        <v>569.3664</v>
      </c>
      <c r="W682" s="2" t="s">
        <v>898</v>
      </c>
      <c r="X682" s="2" t="s">
        <v>2160</v>
      </c>
      <c r="Y682" s="2" t="s">
        <v>328</v>
      </c>
      <c r="AA682" t="s">
        <v>1843</v>
      </c>
      <c r="AB682" s="2">
        <v>27.5</v>
      </c>
      <c r="AC682" s="2">
        <v>8.3000000000000007</v>
      </c>
      <c r="AF682">
        <v>91</v>
      </c>
      <c r="AG682">
        <v>29</v>
      </c>
      <c r="AJ682" s="41">
        <v>0</v>
      </c>
      <c r="AL682">
        <f t="shared" si="46"/>
        <v>279.70794677734375</v>
      </c>
      <c r="AM682">
        <f t="shared" si="47"/>
        <v>323.09486389160156</v>
      </c>
      <c r="AN682">
        <f t="shared" si="48"/>
        <v>478.15168</v>
      </c>
    </row>
    <row r="683" spans="1:40" x14ac:dyDescent="0.2">
      <c r="A683" s="2">
        <v>70</v>
      </c>
      <c r="B683" t="s">
        <v>1555</v>
      </c>
      <c r="C683">
        <v>0.11993065476417542</v>
      </c>
      <c r="D683">
        <v>0.1802985817193985</v>
      </c>
      <c r="E683" s="18">
        <v>0.13466700000000001</v>
      </c>
      <c r="G683" s="2" t="s">
        <v>1186</v>
      </c>
      <c r="H683" s="2" t="s">
        <v>1191</v>
      </c>
      <c r="I683" s="2">
        <v>11</v>
      </c>
      <c r="J683" s="2" t="s">
        <v>1276</v>
      </c>
      <c r="K683">
        <v>2019</v>
      </c>
      <c r="L683" s="2" t="s">
        <v>691</v>
      </c>
      <c r="M683" t="s">
        <v>897</v>
      </c>
      <c r="N683">
        <v>51.5</v>
      </c>
      <c r="O683">
        <f>51.5-37</f>
        <v>14.5</v>
      </c>
      <c r="P683" t="s">
        <v>30</v>
      </c>
      <c r="R683" t="s">
        <v>89</v>
      </c>
      <c r="S683" s="4">
        <v>37.379309999999997</v>
      </c>
      <c r="T683" s="4">
        <v>-121.73188</v>
      </c>
      <c r="U683">
        <v>1868</v>
      </c>
      <c r="V683" s="6">
        <f t="shared" si="45"/>
        <v>569.3664</v>
      </c>
      <c r="W683" s="2" t="s">
        <v>898</v>
      </c>
      <c r="X683" s="2" t="s">
        <v>2160</v>
      </c>
      <c r="Y683" s="2" t="s">
        <v>335</v>
      </c>
      <c r="AA683" t="s">
        <v>1844</v>
      </c>
      <c r="AB683" s="2">
        <v>27.5</v>
      </c>
      <c r="AC683" s="2">
        <v>8.3000000000000007</v>
      </c>
      <c r="AF683">
        <v>91</v>
      </c>
      <c r="AG683">
        <v>29</v>
      </c>
      <c r="AJ683" s="41">
        <v>0</v>
      </c>
      <c r="AL683">
        <f t="shared" si="46"/>
        <v>9.5944523811340332</v>
      </c>
      <c r="AM683">
        <f t="shared" si="47"/>
        <v>14.42388653755188</v>
      </c>
      <c r="AN683">
        <f t="shared" si="48"/>
        <v>10.77336</v>
      </c>
    </row>
    <row r="684" spans="1:40" x14ac:dyDescent="0.2">
      <c r="A684" s="2">
        <v>70</v>
      </c>
      <c r="B684" t="s">
        <v>1556</v>
      </c>
      <c r="C684">
        <v>0</v>
      </c>
      <c r="D684">
        <v>0</v>
      </c>
      <c r="E684">
        <v>0</v>
      </c>
      <c r="G684" s="2" t="s">
        <v>1186</v>
      </c>
      <c r="H684" s="2" t="s">
        <v>1191</v>
      </c>
      <c r="I684" s="2">
        <v>11</v>
      </c>
      <c r="J684" s="2" t="s">
        <v>1276</v>
      </c>
      <c r="K684">
        <v>2019</v>
      </c>
      <c r="L684" s="2" t="s">
        <v>32</v>
      </c>
      <c r="M684" t="s">
        <v>897</v>
      </c>
      <c r="N684">
        <v>20</v>
      </c>
      <c r="O684">
        <v>1</v>
      </c>
      <c r="P684" t="s">
        <v>37</v>
      </c>
      <c r="R684" s="45" t="s">
        <v>39</v>
      </c>
      <c r="S684" s="4">
        <v>37.379309999999997</v>
      </c>
      <c r="T684" s="4">
        <v>-121.73188</v>
      </c>
      <c r="U684">
        <v>1868</v>
      </c>
      <c r="V684" s="6">
        <f t="shared" ref="V684:V747" si="49">U684*0.3048</f>
        <v>569.3664</v>
      </c>
      <c r="W684" s="2" t="s">
        <v>898</v>
      </c>
      <c r="X684" s="2" t="s">
        <v>2160</v>
      </c>
      <c r="Y684" s="2" t="s">
        <v>440</v>
      </c>
      <c r="AA684" t="s">
        <v>1845</v>
      </c>
      <c r="AB684" s="2">
        <v>27.5</v>
      </c>
      <c r="AC684" s="2">
        <v>8.3000000000000007</v>
      </c>
      <c r="AF684">
        <v>91</v>
      </c>
      <c r="AG684">
        <v>29</v>
      </c>
      <c r="AJ684" s="41">
        <v>0</v>
      </c>
      <c r="AL684">
        <f t="shared" si="46"/>
        <v>0</v>
      </c>
      <c r="AM684">
        <f t="shared" si="47"/>
        <v>0</v>
      </c>
      <c r="AN684">
        <f t="shared" si="48"/>
        <v>0</v>
      </c>
    </row>
    <row r="685" spans="1:40" x14ac:dyDescent="0.2">
      <c r="A685" s="2">
        <v>70</v>
      </c>
      <c r="B685" t="s">
        <v>1557</v>
      </c>
      <c r="C685">
        <v>0</v>
      </c>
      <c r="D685">
        <v>2.4953393265604973E-2</v>
      </c>
      <c r="E685" s="18">
        <v>8.9150999999999994E-2</v>
      </c>
      <c r="G685" s="2" t="s">
        <v>1186</v>
      </c>
      <c r="H685" s="2" t="s">
        <v>1191</v>
      </c>
      <c r="I685" s="2">
        <v>11</v>
      </c>
      <c r="J685" s="2" t="s">
        <v>1276</v>
      </c>
      <c r="K685">
        <v>2019</v>
      </c>
      <c r="L685" s="2" t="s">
        <v>691</v>
      </c>
      <c r="M685" t="s">
        <v>897</v>
      </c>
      <c r="N685">
        <v>42</v>
      </c>
      <c r="O685">
        <f>46-35</f>
        <v>11</v>
      </c>
      <c r="P685" t="s">
        <v>37</v>
      </c>
      <c r="R685" t="s">
        <v>89</v>
      </c>
      <c r="S685" s="4">
        <v>37.379309999999997</v>
      </c>
      <c r="T685" s="4">
        <v>-121.73188</v>
      </c>
      <c r="U685">
        <v>1868</v>
      </c>
      <c r="V685" s="6">
        <f t="shared" si="49"/>
        <v>569.3664</v>
      </c>
      <c r="W685" s="2" t="s">
        <v>898</v>
      </c>
      <c r="X685" s="2" t="s">
        <v>2160</v>
      </c>
      <c r="Y685" s="2" t="s">
        <v>96</v>
      </c>
      <c r="AA685" t="s">
        <v>1846</v>
      </c>
      <c r="AB685" s="2">
        <v>27.5</v>
      </c>
      <c r="AC685" s="2">
        <v>8.3000000000000007</v>
      </c>
      <c r="AF685">
        <v>91</v>
      </c>
      <c r="AG685">
        <v>29</v>
      </c>
      <c r="AJ685" s="41">
        <v>0</v>
      </c>
      <c r="AL685">
        <f t="shared" si="46"/>
        <v>0</v>
      </c>
      <c r="AM685">
        <f t="shared" si="47"/>
        <v>1.9962714612483978</v>
      </c>
      <c r="AN685">
        <f t="shared" si="48"/>
        <v>7.1320799999999993</v>
      </c>
    </row>
    <row r="686" spans="1:40" x14ac:dyDescent="0.2">
      <c r="A686" s="2">
        <v>70</v>
      </c>
      <c r="B686" t="s">
        <v>1558</v>
      </c>
      <c r="C686">
        <v>1.6864980459213257</v>
      </c>
      <c r="D686">
        <v>2.201542854309082</v>
      </c>
      <c r="E686" s="18">
        <v>2.9772310000000002</v>
      </c>
      <c r="G686" s="2" t="s">
        <v>1186</v>
      </c>
      <c r="H686" s="2" t="s">
        <v>1191</v>
      </c>
      <c r="I686" s="2">
        <v>11</v>
      </c>
      <c r="J686" s="2" t="s">
        <v>1276</v>
      </c>
      <c r="K686">
        <v>2019</v>
      </c>
      <c r="L686" s="2" t="s">
        <v>691</v>
      </c>
      <c r="M686" t="s">
        <v>897</v>
      </c>
      <c r="N686">
        <v>60</v>
      </c>
      <c r="O686">
        <f>50.5-23.5</f>
        <v>27</v>
      </c>
      <c r="P686" t="s">
        <v>37</v>
      </c>
      <c r="Q686" s="2" t="s">
        <v>42</v>
      </c>
      <c r="R686" s="2" t="s">
        <v>39</v>
      </c>
      <c r="S686" s="4">
        <v>37.379309999999997</v>
      </c>
      <c r="T686" s="4">
        <v>-121.73188</v>
      </c>
      <c r="U686">
        <v>1868</v>
      </c>
      <c r="V686" s="6">
        <f t="shared" si="49"/>
        <v>569.3664</v>
      </c>
      <c r="W686" s="2" t="s">
        <v>898</v>
      </c>
      <c r="X686" s="2" t="s">
        <v>2160</v>
      </c>
      <c r="Y686" s="2" t="s">
        <v>878</v>
      </c>
      <c r="AA686" t="s">
        <v>1847</v>
      </c>
      <c r="AB686" s="2">
        <v>27.5</v>
      </c>
      <c r="AC686" s="2">
        <v>8.3000000000000007</v>
      </c>
      <c r="AF686">
        <v>91</v>
      </c>
      <c r="AG686">
        <v>29</v>
      </c>
      <c r="AJ686" s="41">
        <v>0</v>
      </c>
      <c r="AL686">
        <f t="shared" si="46"/>
        <v>134.91984367370605</v>
      </c>
      <c r="AM686">
        <f t="shared" si="47"/>
        <v>176.12342834472656</v>
      </c>
      <c r="AN686">
        <f t="shared" si="48"/>
        <v>238.17848000000001</v>
      </c>
    </row>
    <row r="687" spans="1:40" x14ac:dyDescent="0.2">
      <c r="A687" s="2">
        <v>70</v>
      </c>
      <c r="B687" t="s">
        <v>1559</v>
      </c>
      <c r="C687">
        <v>24.160314559936523</v>
      </c>
      <c r="D687">
        <v>23.57966423034668</v>
      </c>
      <c r="E687" s="18">
        <v>26.00478</v>
      </c>
      <c r="G687" s="2" t="s">
        <v>1186</v>
      </c>
      <c r="H687" s="2" t="s">
        <v>1191</v>
      </c>
      <c r="I687" s="2">
        <v>11</v>
      </c>
      <c r="J687" s="2" t="s">
        <v>1276</v>
      </c>
      <c r="K687">
        <v>2019</v>
      </c>
      <c r="L687" s="2" t="s">
        <v>691</v>
      </c>
      <c r="M687" t="s">
        <v>897</v>
      </c>
      <c r="N687">
        <v>140</v>
      </c>
      <c r="O687" t="s">
        <v>43</v>
      </c>
      <c r="P687" t="s">
        <v>30</v>
      </c>
      <c r="Q687" t="s">
        <v>38</v>
      </c>
      <c r="R687" t="s">
        <v>39</v>
      </c>
      <c r="S687" s="4">
        <v>37.379309999999997</v>
      </c>
      <c r="T687" s="4">
        <v>-121.73188</v>
      </c>
      <c r="U687">
        <v>1868</v>
      </c>
      <c r="V687" s="6">
        <f t="shared" si="49"/>
        <v>569.3664</v>
      </c>
      <c r="W687" s="2" t="s">
        <v>898</v>
      </c>
      <c r="X687" s="2" t="s">
        <v>2160</v>
      </c>
      <c r="Y687" s="2" t="s">
        <v>254</v>
      </c>
      <c r="AA687" t="s">
        <v>1848</v>
      </c>
      <c r="AB687" s="2">
        <v>27.5</v>
      </c>
      <c r="AC687" s="2">
        <v>8.3000000000000007</v>
      </c>
      <c r="AF687">
        <v>91</v>
      </c>
      <c r="AG687">
        <v>29</v>
      </c>
      <c r="AJ687" s="41">
        <v>0</v>
      </c>
      <c r="AL687">
        <f t="shared" si="46"/>
        <v>1932.8251647949219</v>
      </c>
      <c r="AM687">
        <f t="shared" si="47"/>
        <v>1886.3731384277344</v>
      </c>
      <c r="AN687">
        <f t="shared" si="48"/>
        <v>2080.3824</v>
      </c>
    </row>
    <row r="688" spans="1:40" x14ac:dyDescent="0.2">
      <c r="A688" s="2">
        <v>70</v>
      </c>
      <c r="B688" t="s">
        <v>1560</v>
      </c>
      <c r="C688">
        <v>2.3371951580047607</v>
      </c>
      <c r="D688">
        <v>1.8220562934875488</v>
      </c>
      <c r="E688" s="18">
        <v>3.111561</v>
      </c>
      <c r="G688" s="2" t="s">
        <v>1186</v>
      </c>
      <c r="H688" s="2" t="s">
        <v>1191</v>
      </c>
      <c r="I688" s="2">
        <v>11</v>
      </c>
      <c r="J688" s="2" t="s">
        <v>1276</v>
      </c>
      <c r="K688">
        <v>2019</v>
      </c>
      <c r="L688" s="2" t="s">
        <v>32</v>
      </c>
      <c r="M688" t="s">
        <v>897</v>
      </c>
      <c r="N688">
        <v>17</v>
      </c>
      <c r="O688">
        <v>1</v>
      </c>
      <c r="P688" t="s">
        <v>37</v>
      </c>
      <c r="R688" t="s">
        <v>89</v>
      </c>
      <c r="S688" s="4">
        <v>37.379309999999997</v>
      </c>
      <c r="T688" s="4">
        <v>-121.73188</v>
      </c>
      <c r="U688">
        <v>1868</v>
      </c>
      <c r="V688" s="6">
        <f t="shared" si="49"/>
        <v>569.3664</v>
      </c>
      <c r="W688" s="2" t="s">
        <v>898</v>
      </c>
      <c r="X688" s="2" t="s">
        <v>2160</v>
      </c>
      <c r="Y688" s="2" t="s">
        <v>353</v>
      </c>
      <c r="AA688" t="s">
        <v>1700</v>
      </c>
      <c r="AB688" s="2">
        <v>27.5</v>
      </c>
      <c r="AC688" s="2">
        <v>8.3000000000000007</v>
      </c>
      <c r="AF688">
        <v>91</v>
      </c>
      <c r="AG688">
        <v>29</v>
      </c>
      <c r="AJ688" s="41">
        <v>0</v>
      </c>
      <c r="AL688">
        <f t="shared" si="46"/>
        <v>186.97561264038086</v>
      </c>
      <c r="AM688">
        <f t="shared" si="47"/>
        <v>145.76450347900391</v>
      </c>
      <c r="AN688">
        <f t="shared" si="48"/>
        <v>248.92488</v>
      </c>
    </row>
    <row r="689" spans="1:40" x14ac:dyDescent="0.2">
      <c r="A689" s="2">
        <v>70</v>
      </c>
      <c r="B689" t="s">
        <v>1561</v>
      </c>
      <c r="C689">
        <v>0</v>
      </c>
      <c r="D689">
        <v>0</v>
      </c>
      <c r="E689" s="18">
        <v>5.6690000000000004E-3</v>
      </c>
      <c r="G689" s="2" t="s">
        <v>1186</v>
      </c>
      <c r="H689" s="2" t="s">
        <v>1191</v>
      </c>
      <c r="I689" s="2">
        <v>11</v>
      </c>
      <c r="J689" s="2" t="s">
        <v>1276</v>
      </c>
      <c r="K689">
        <v>2019</v>
      </c>
      <c r="L689" s="2" t="s">
        <v>32</v>
      </c>
      <c r="M689" t="s">
        <v>897</v>
      </c>
      <c r="N689">
        <v>18</v>
      </c>
      <c r="O689">
        <v>1</v>
      </c>
      <c r="P689" t="s">
        <v>37</v>
      </c>
      <c r="R689" t="s">
        <v>89</v>
      </c>
      <c r="S689" s="4">
        <v>37.379309999999997</v>
      </c>
      <c r="T689" s="4">
        <v>-121.73188</v>
      </c>
      <c r="U689">
        <v>1868</v>
      </c>
      <c r="V689" s="6">
        <f t="shared" si="49"/>
        <v>569.3664</v>
      </c>
      <c r="W689" s="2" t="s">
        <v>898</v>
      </c>
      <c r="X689" s="2" t="s">
        <v>2160</v>
      </c>
      <c r="Y689" s="2" t="s">
        <v>357</v>
      </c>
      <c r="AA689" t="s">
        <v>1849</v>
      </c>
      <c r="AB689" s="2">
        <v>27.5</v>
      </c>
      <c r="AC689" s="2">
        <v>8.3000000000000007</v>
      </c>
      <c r="AF689">
        <v>91</v>
      </c>
      <c r="AG689">
        <v>29</v>
      </c>
      <c r="AJ689" s="41">
        <v>0</v>
      </c>
      <c r="AL689">
        <f t="shared" si="46"/>
        <v>0</v>
      </c>
      <c r="AM689">
        <f t="shared" si="47"/>
        <v>0</v>
      </c>
      <c r="AN689">
        <f t="shared" si="48"/>
        <v>0.45352000000000003</v>
      </c>
    </row>
    <row r="690" spans="1:40" x14ac:dyDescent="0.2">
      <c r="A690" s="2">
        <v>70</v>
      </c>
      <c r="B690" t="s">
        <v>1562</v>
      </c>
      <c r="C690">
        <v>0.37062609195709229</v>
      </c>
      <c r="D690">
        <v>0.38868036866188049</v>
      </c>
      <c r="E690" s="18">
        <v>0.48858600000000002</v>
      </c>
      <c r="G690" s="2" t="s">
        <v>1186</v>
      </c>
      <c r="H690" s="2" t="s">
        <v>1191</v>
      </c>
      <c r="I690" s="2">
        <v>11</v>
      </c>
      <c r="J690" s="2" t="s">
        <v>1276</v>
      </c>
      <c r="K690">
        <v>2019</v>
      </c>
      <c r="L690" s="2" t="s">
        <v>32</v>
      </c>
      <c r="M690" t="s">
        <v>897</v>
      </c>
      <c r="N690">
        <v>17</v>
      </c>
      <c r="O690">
        <v>0.5</v>
      </c>
      <c r="P690" t="s">
        <v>37</v>
      </c>
      <c r="R690" t="s">
        <v>89</v>
      </c>
      <c r="S690" s="4">
        <v>37.379309999999997</v>
      </c>
      <c r="T690" s="4">
        <v>-121.73188</v>
      </c>
      <c r="U690">
        <v>1868</v>
      </c>
      <c r="V690" s="6">
        <f t="shared" si="49"/>
        <v>569.3664</v>
      </c>
      <c r="W690" s="2" t="s">
        <v>898</v>
      </c>
      <c r="X690" s="2" t="s">
        <v>2160</v>
      </c>
      <c r="Y690" s="2" t="s">
        <v>357</v>
      </c>
      <c r="AA690" t="s">
        <v>1850</v>
      </c>
      <c r="AB690" s="2">
        <v>27.5</v>
      </c>
      <c r="AC690" s="2">
        <v>8.3000000000000007</v>
      </c>
      <c r="AF690">
        <v>91</v>
      </c>
      <c r="AG690">
        <v>29</v>
      </c>
      <c r="AJ690" s="41">
        <v>0</v>
      </c>
      <c r="AL690">
        <f t="shared" si="46"/>
        <v>29.650087356567383</v>
      </c>
      <c r="AM690">
        <f t="shared" si="47"/>
        <v>31.094429492950439</v>
      </c>
      <c r="AN690">
        <f t="shared" si="48"/>
        <v>39.086880000000001</v>
      </c>
    </row>
    <row r="691" spans="1:40" x14ac:dyDescent="0.2">
      <c r="A691" s="2">
        <v>70</v>
      </c>
      <c r="B691" t="s">
        <v>1563</v>
      </c>
      <c r="C691">
        <v>0.10754887014627457</v>
      </c>
      <c r="D691">
        <v>0.18029317259788513</v>
      </c>
      <c r="E691" s="18">
        <v>0.32759100000000002</v>
      </c>
      <c r="G691" s="2" t="s">
        <v>1186</v>
      </c>
      <c r="H691" s="2" t="s">
        <v>1191</v>
      </c>
      <c r="I691" s="2">
        <v>11</v>
      </c>
      <c r="J691" s="2" t="s">
        <v>1276</v>
      </c>
      <c r="K691">
        <v>2019</v>
      </c>
      <c r="L691" s="2" t="s">
        <v>691</v>
      </c>
      <c r="M691" t="s">
        <v>897</v>
      </c>
      <c r="N691">
        <v>51</v>
      </c>
      <c r="O691">
        <f>36.5-23</f>
        <v>13.5</v>
      </c>
      <c r="P691" t="s">
        <v>37</v>
      </c>
      <c r="R691" t="s">
        <v>89</v>
      </c>
      <c r="S691" s="4">
        <v>37.379309999999997</v>
      </c>
      <c r="T691" s="4">
        <v>-121.73188</v>
      </c>
      <c r="U691">
        <v>1868</v>
      </c>
      <c r="V691" s="6">
        <f t="shared" si="49"/>
        <v>569.3664</v>
      </c>
      <c r="W691" s="2" t="s">
        <v>898</v>
      </c>
      <c r="X691" s="2" t="s">
        <v>2160</v>
      </c>
      <c r="Y691" s="2" t="s">
        <v>754</v>
      </c>
      <c r="AA691" t="s">
        <v>1851</v>
      </c>
      <c r="AB691" s="2">
        <v>27.5</v>
      </c>
      <c r="AC691" s="2">
        <v>8.3000000000000007</v>
      </c>
      <c r="AF691">
        <v>91</v>
      </c>
      <c r="AG691">
        <v>29</v>
      </c>
      <c r="AJ691" s="41">
        <v>0</v>
      </c>
      <c r="AL691">
        <f t="shared" si="46"/>
        <v>8.6039096117019653</v>
      </c>
      <c r="AM691">
        <f t="shared" si="47"/>
        <v>14.423453807830811</v>
      </c>
      <c r="AN691">
        <f t="shared" si="48"/>
        <v>26.207280000000001</v>
      </c>
    </row>
    <row r="692" spans="1:40" x14ac:dyDescent="0.2">
      <c r="A692" s="2">
        <v>71</v>
      </c>
      <c r="B692" t="s">
        <v>1564</v>
      </c>
      <c r="C692">
        <v>0</v>
      </c>
      <c r="D692">
        <v>0</v>
      </c>
      <c r="E692">
        <v>0</v>
      </c>
      <c r="G692" s="2" t="s">
        <v>1186</v>
      </c>
      <c r="H692" s="2" t="s">
        <v>1191</v>
      </c>
      <c r="I692" s="2">
        <v>12</v>
      </c>
      <c r="J692" s="2" t="s">
        <v>1276</v>
      </c>
      <c r="K692">
        <v>2019</v>
      </c>
      <c r="L692" s="2" t="s">
        <v>32</v>
      </c>
      <c r="M692" t="s">
        <v>897</v>
      </c>
      <c r="N692">
        <v>21</v>
      </c>
      <c r="O692">
        <v>1</v>
      </c>
      <c r="P692" t="s">
        <v>37</v>
      </c>
      <c r="R692" s="45" t="s">
        <v>39</v>
      </c>
      <c r="S692" s="4">
        <v>37.396090000000001</v>
      </c>
      <c r="T692" s="4">
        <v>-121.73437</v>
      </c>
      <c r="U692">
        <v>2447</v>
      </c>
      <c r="V692" s="6">
        <f t="shared" si="49"/>
        <v>745.84559999999999</v>
      </c>
      <c r="W692" s="2" t="s">
        <v>898</v>
      </c>
      <c r="X692" s="2" t="s">
        <v>2385</v>
      </c>
      <c r="Y692" s="2" t="s">
        <v>149</v>
      </c>
      <c r="AA692" t="s">
        <v>1852</v>
      </c>
      <c r="AB692" s="2">
        <v>32.6</v>
      </c>
      <c r="AC692" s="2">
        <v>12.3</v>
      </c>
      <c r="AF692">
        <v>71</v>
      </c>
      <c r="AG692">
        <v>19</v>
      </c>
      <c r="AJ692" s="41">
        <v>0</v>
      </c>
      <c r="AL692">
        <f t="shared" si="46"/>
        <v>0</v>
      </c>
      <c r="AM692">
        <f t="shared" si="47"/>
        <v>0</v>
      </c>
      <c r="AN692">
        <f t="shared" si="48"/>
        <v>0</v>
      </c>
    </row>
    <row r="693" spans="1:40" x14ac:dyDescent="0.2">
      <c r="A693" s="2">
        <v>71</v>
      </c>
      <c r="B693" t="s">
        <v>1565</v>
      </c>
      <c r="C693">
        <v>0</v>
      </c>
      <c r="D693">
        <v>0</v>
      </c>
      <c r="E693">
        <v>0</v>
      </c>
      <c r="G693" s="2" t="s">
        <v>1186</v>
      </c>
      <c r="H693" s="2" t="s">
        <v>1191</v>
      </c>
      <c r="I693" s="2">
        <v>12</v>
      </c>
      <c r="J693" s="2" t="s">
        <v>1276</v>
      </c>
      <c r="K693">
        <v>2019</v>
      </c>
      <c r="L693" s="2" t="s">
        <v>32</v>
      </c>
      <c r="M693" t="s">
        <v>897</v>
      </c>
      <c r="N693">
        <v>21</v>
      </c>
      <c r="O693">
        <v>1</v>
      </c>
      <c r="P693" t="s">
        <v>37</v>
      </c>
      <c r="R693" s="45" t="s">
        <v>39</v>
      </c>
      <c r="S693" s="4">
        <v>37.396090000000001</v>
      </c>
      <c r="T693" s="4">
        <v>-121.73437</v>
      </c>
      <c r="U693">
        <v>2447</v>
      </c>
      <c r="V693" s="6">
        <f t="shared" si="49"/>
        <v>745.84559999999999</v>
      </c>
      <c r="W693" s="2" t="s">
        <v>898</v>
      </c>
      <c r="X693" s="2" t="s">
        <v>2385</v>
      </c>
      <c r="Y693" s="2" t="s">
        <v>159</v>
      </c>
      <c r="AA693" t="s">
        <v>1853</v>
      </c>
      <c r="AB693" s="2">
        <v>32.6</v>
      </c>
      <c r="AC693" s="2">
        <v>12.3</v>
      </c>
      <c r="AF693">
        <v>71</v>
      </c>
      <c r="AG693">
        <v>19</v>
      </c>
      <c r="AJ693" s="41">
        <v>0</v>
      </c>
      <c r="AL693">
        <f t="shared" si="46"/>
        <v>0</v>
      </c>
      <c r="AM693">
        <f t="shared" si="47"/>
        <v>0</v>
      </c>
      <c r="AN693">
        <f t="shared" si="48"/>
        <v>0</v>
      </c>
    </row>
    <row r="694" spans="1:40" x14ac:dyDescent="0.2">
      <c r="A694" s="2">
        <v>71</v>
      </c>
      <c r="B694" t="s">
        <v>1566</v>
      </c>
      <c r="C694">
        <v>1.0308041572570801</v>
      </c>
      <c r="D694">
        <v>1.1965811252593994</v>
      </c>
      <c r="E694" s="18">
        <v>1.651988</v>
      </c>
      <c r="G694" s="2" t="s">
        <v>1186</v>
      </c>
      <c r="H694" s="2" t="s">
        <v>1191</v>
      </c>
      <c r="I694" s="2">
        <v>12</v>
      </c>
      <c r="J694" s="2" t="s">
        <v>1276</v>
      </c>
      <c r="K694">
        <v>2019</v>
      </c>
      <c r="L694" s="2" t="s">
        <v>32</v>
      </c>
      <c r="M694" t="s">
        <v>897</v>
      </c>
      <c r="N694">
        <v>19.5</v>
      </c>
      <c r="O694">
        <v>1</v>
      </c>
      <c r="P694" t="s">
        <v>37</v>
      </c>
      <c r="R694" s="45" t="s">
        <v>39</v>
      </c>
      <c r="S694" s="4">
        <v>37.396090000000001</v>
      </c>
      <c r="T694" s="4">
        <v>-121.73437</v>
      </c>
      <c r="U694">
        <v>2447</v>
      </c>
      <c r="V694" s="6">
        <f t="shared" si="49"/>
        <v>745.84559999999999</v>
      </c>
      <c r="W694" s="2" t="s">
        <v>898</v>
      </c>
      <c r="X694" s="2" t="s">
        <v>2385</v>
      </c>
      <c r="Y694" s="2" t="s">
        <v>159</v>
      </c>
      <c r="AA694" t="s">
        <v>1854</v>
      </c>
      <c r="AB694" s="2">
        <v>32.6</v>
      </c>
      <c r="AC694" s="2">
        <v>12.3</v>
      </c>
      <c r="AF694">
        <v>71</v>
      </c>
      <c r="AG694">
        <v>19</v>
      </c>
      <c r="AJ694" s="41">
        <v>0</v>
      </c>
      <c r="AL694">
        <f t="shared" si="46"/>
        <v>82.464332580566406</v>
      </c>
      <c r="AM694">
        <f t="shared" si="47"/>
        <v>95.726490020751953</v>
      </c>
      <c r="AN694">
        <f t="shared" si="48"/>
        <v>132.15904</v>
      </c>
    </row>
    <row r="695" spans="1:40" x14ac:dyDescent="0.2">
      <c r="A695" s="2">
        <v>71</v>
      </c>
      <c r="B695" t="s">
        <v>1567</v>
      </c>
      <c r="C695">
        <v>0.96546518802642822</v>
      </c>
      <c r="D695">
        <v>1.1960344314575195</v>
      </c>
      <c r="E695" s="18">
        <v>1.1536489999999999</v>
      </c>
      <c r="G695" s="2" t="s">
        <v>1186</v>
      </c>
      <c r="H695" s="2" t="s">
        <v>1191</v>
      </c>
      <c r="I695" s="2">
        <v>12</v>
      </c>
      <c r="J695" s="2" t="s">
        <v>1276</v>
      </c>
      <c r="K695">
        <v>2019</v>
      </c>
      <c r="L695" s="2" t="s">
        <v>32</v>
      </c>
      <c r="M695" t="s">
        <v>897</v>
      </c>
      <c r="N695">
        <v>20</v>
      </c>
      <c r="O695">
        <v>1</v>
      </c>
      <c r="P695" t="s">
        <v>37</v>
      </c>
      <c r="R695" s="45" t="s">
        <v>39</v>
      </c>
      <c r="S695" s="4">
        <v>37.396090000000001</v>
      </c>
      <c r="T695" s="4">
        <v>-121.73437</v>
      </c>
      <c r="U695">
        <v>2447</v>
      </c>
      <c r="V695" s="6">
        <f t="shared" si="49"/>
        <v>745.84559999999999</v>
      </c>
      <c r="W695" s="2" t="s">
        <v>898</v>
      </c>
      <c r="X695" s="2" t="s">
        <v>2385</v>
      </c>
      <c r="Y695" s="2" t="s">
        <v>335</v>
      </c>
      <c r="AA695" t="s">
        <v>1855</v>
      </c>
      <c r="AB695" s="2">
        <v>32.6</v>
      </c>
      <c r="AC695" s="2">
        <v>12.3</v>
      </c>
      <c r="AF695">
        <v>71</v>
      </c>
      <c r="AG695">
        <v>19</v>
      </c>
      <c r="AJ695" s="41">
        <v>0</v>
      </c>
      <c r="AL695">
        <f t="shared" si="46"/>
        <v>77.237215042114258</v>
      </c>
      <c r="AM695">
        <f t="shared" si="47"/>
        <v>95.682754516601562</v>
      </c>
      <c r="AN695">
        <f t="shared" si="48"/>
        <v>92.29191999999999</v>
      </c>
    </row>
    <row r="696" spans="1:40" x14ac:dyDescent="0.2">
      <c r="A696" s="2">
        <v>71</v>
      </c>
      <c r="B696" t="s">
        <v>1568</v>
      </c>
      <c r="C696">
        <v>0</v>
      </c>
      <c r="D696">
        <v>0</v>
      </c>
      <c r="E696">
        <v>0</v>
      </c>
      <c r="G696" s="2" t="s">
        <v>1186</v>
      </c>
      <c r="H696" s="2" t="s">
        <v>1191</v>
      </c>
      <c r="I696" s="2">
        <v>12</v>
      </c>
      <c r="J696" s="2" t="s">
        <v>1276</v>
      </c>
      <c r="K696">
        <v>2019</v>
      </c>
      <c r="L696" s="2" t="s">
        <v>32</v>
      </c>
      <c r="M696" t="s">
        <v>897</v>
      </c>
      <c r="N696">
        <v>22</v>
      </c>
      <c r="O696">
        <f>21.5-19.5</f>
        <v>2</v>
      </c>
      <c r="P696" t="s">
        <v>37</v>
      </c>
      <c r="Q696" t="s">
        <v>42</v>
      </c>
      <c r="R696" t="s">
        <v>39</v>
      </c>
      <c r="S696" s="4">
        <v>37.396090000000001</v>
      </c>
      <c r="T696" s="4">
        <v>-121.73437</v>
      </c>
      <c r="U696">
        <v>2447</v>
      </c>
      <c r="V696" s="6">
        <f t="shared" si="49"/>
        <v>745.84559999999999</v>
      </c>
      <c r="W696" s="2" t="s">
        <v>898</v>
      </c>
      <c r="X696" s="2" t="s">
        <v>2385</v>
      </c>
      <c r="Y696" s="2" t="s">
        <v>168</v>
      </c>
      <c r="AA696" t="s">
        <v>1856</v>
      </c>
      <c r="AB696" s="2">
        <v>32.6</v>
      </c>
      <c r="AC696" s="2">
        <v>12.3</v>
      </c>
      <c r="AF696">
        <v>71</v>
      </c>
      <c r="AG696">
        <v>19</v>
      </c>
      <c r="AJ696" s="41">
        <v>0</v>
      </c>
      <c r="AL696">
        <f t="shared" si="46"/>
        <v>0</v>
      </c>
      <c r="AM696">
        <f t="shared" si="47"/>
        <v>0</v>
      </c>
      <c r="AN696">
        <f t="shared" si="48"/>
        <v>0</v>
      </c>
    </row>
    <row r="697" spans="1:40" x14ac:dyDescent="0.2">
      <c r="A697" s="2">
        <v>71</v>
      </c>
      <c r="B697" t="s">
        <v>1569</v>
      </c>
      <c r="C697">
        <v>0</v>
      </c>
      <c r="D697">
        <v>0</v>
      </c>
      <c r="E697">
        <v>0</v>
      </c>
      <c r="G697" s="2" t="s">
        <v>1186</v>
      </c>
      <c r="H697" s="2" t="s">
        <v>1191</v>
      </c>
      <c r="I697" s="2">
        <v>12</v>
      </c>
      <c r="J697" s="2" t="s">
        <v>1276</v>
      </c>
      <c r="K697">
        <v>2019</v>
      </c>
      <c r="L697" s="2" t="s">
        <v>32</v>
      </c>
      <c r="M697" t="s">
        <v>897</v>
      </c>
      <c r="N697">
        <v>18.5</v>
      </c>
      <c r="O697">
        <v>1</v>
      </c>
      <c r="P697" t="s">
        <v>37</v>
      </c>
      <c r="R697" t="s">
        <v>89</v>
      </c>
      <c r="S697" s="4">
        <v>37.396090000000001</v>
      </c>
      <c r="T697" s="4">
        <v>-121.73437</v>
      </c>
      <c r="U697">
        <v>2447</v>
      </c>
      <c r="V697" s="6">
        <f t="shared" si="49"/>
        <v>745.84559999999999</v>
      </c>
      <c r="W697" s="2" t="s">
        <v>898</v>
      </c>
      <c r="X697" s="2" t="s">
        <v>2385</v>
      </c>
      <c r="Y697" s="2" t="s">
        <v>171</v>
      </c>
      <c r="AA697" t="s">
        <v>1857</v>
      </c>
      <c r="AB697" s="2">
        <v>32.6</v>
      </c>
      <c r="AC697" s="2">
        <v>12.3</v>
      </c>
      <c r="AF697">
        <v>71</v>
      </c>
      <c r="AG697">
        <v>19</v>
      </c>
      <c r="AJ697" s="41">
        <v>0</v>
      </c>
      <c r="AL697">
        <f t="shared" si="46"/>
        <v>0</v>
      </c>
      <c r="AM697">
        <f t="shared" si="47"/>
        <v>0</v>
      </c>
      <c r="AN697">
        <f t="shared" si="48"/>
        <v>0</v>
      </c>
    </row>
    <row r="698" spans="1:40" x14ac:dyDescent="0.2">
      <c r="A698" s="2">
        <v>71</v>
      </c>
      <c r="B698" t="s">
        <v>1570</v>
      </c>
      <c r="C698">
        <v>0</v>
      </c>
      <c r="D698">
        <v>0</v>
      </c>
      <c r="E698">
        <v>0</v>
      </c>
      <c r="G698" s="2" t="s">
        <v>1186</v>
      </c>
      <c r="H698" s="2" t="s">
        <v>1191</v>
      </c>
      <c r="I698" s="2">
        <v>12</v>
      </c>
      <c r="J698" s="2" t="s">
        <v>1276</v>
      </c>
      <c r="K698">
        <v>2019</v>
      </c>
      <c r="L698" s="2" t="s">
        <v>32</v>
      </c>
      <c r="M698" t="s">
        <v>897</v>
      </c>
      <c r="N698">
        <v>20</v>
      </c>
      <c r="O698">
        <v>0.5</v>
      </c>
      <c r="P698" t="s">
        <v>30</v>
      </c>
      <c r="R698" s="45" t="s">
        <v>39</v>
      </c>
      <c r="S698" s="4">
        <v>37.396090000000001</v>
      </c>
      <c r="T698" s="4">
        <v>-121.73437</v>
      </c>
      <c r="U698">
        <v>2447</v>
      </c>
      <c r="V698" s="6">
        <f t="shared" si="49"/>
        <v>745.84559999999999</v>
      </c>
      <c r="W698" s="2" t="s">
        <v>898</v>
      </c>
      <c r="X698" s="2" t="s">
        <v>2385</v>
      </c>
      <c r="Y698" s="2" t="s">
        <v>47</v>
      </c>
      <c r="AA698" t="s">
        <v>1858</v>
      </c>
      <c r="AB698" s="2">
        <v>32.6</v>
      </c>
      <c r="AC698" s="2">
        <v>12.3</v>
      </c>
      <c r="AF698">
        <v>71</v>
      </c>
      <c r="AG698">
        <v>19</v>
      </c>
      <c r="AJ698" s="41">
        <v>0</v>
      </c>
      <c r="AL698">
        <f t="shared" si="46"/>
        <v>0</v>
      </c>
      <c r="AM698">
        <f t="shared" si="47"/>
        <v>0</v>
      </c>
      <c r="AN698">
        <f t="shared" si="48"/>
        <v>0</v>
      </c>
    </row>
    <row r="699" spans="1:40" x14ac:dyDescent="0.2">
      <c r="A699" s="2">
        <v>71</v>
      </c>
      <c r="B699" t="s">
        <v>1571</v>
      </c>
      <c r="C699">
        <v>0</v>
      </c>
      <c r="D699">
        <v>0</v>
      </c>
      <c r="E699">
        <v>0</v>
      </c>
      <c r="G699" s="2" t="s">
        <v>1186</v>
      </c>
      <c r="H699" s="2" t="s">
        <v>1191</v>
      </c>
      <c r="I699" s="2">
        <v>12</v>
      </c>
      <c r="J699" s="2" t="s">
        <v>1276</v>
      </c>
      <c r="K699">
        <v>2019</v>
      </c>
      <c r="L699" s="2" t="s">
        <v>32</v>
      </c>
      <c r="M699" t="s">
        <v>897</v>
      </c>
      <c r="N699">
        <v>22.5</v>
      </c>
      <c r="O699">
        <v>1</v>
      </c>
      <c r="P699" t="s">
        <v>37</v>
      </c>
      <c r="Q699" t="s">
        <v>42</v>
      </c>
      <c r="R699" t="s">
        <v>39</v>
      </c>
      <c r="S699" s="4">
        <v>37.396090000000001</v>
      </c>
      <c r="T699" s="4">
        <v>-121.73437</v>
      </c>
      <c r="U699">
        <v>2447</v>
      </c>
      <c r="V699" s="6">
        <f t="shared" si="49"/>
        <v>745.84559999999999</v>
      </c>
      <c r="W699" s="2" t="s">
        <v>898</v>
      </c>
      <c r="X699" s="2" t="s">
        <v>2385</v>
      </c>
      <c r="Y699" s="2" t="s">
        <v>246</v>
      </c>
      <c r="AA699" t="s">
        <v>1859</v>
      </c>
      <c r="AB699" s="2">
        <v>32.6</v>
      </c>
      <c r="AC699" s="2">
        <v>12.3</v>
      </c>
      <c r="AF699">
        <v>71</v>
      </c>
      <c r="AG699">
        <v>19</v>
      </c>
      <c r="AJ699" s="41">
        <v>0</v>
      </c>
      <c r="AL699">
        <f t="shared" si="46"/>
        <v>0</v>
      </c>
      <c r="AM699">
        <f t="shared" si="47"/>
        <v>0</v>
      </c>
      <c r="AN699">
        <f t="shared" si="48"/>
        <v>0</v>
      </c>
    </row>
    <row r="700" spans="1:40" x14ac:dyDescent="0.2">
      <c r="A700" s="2">
        <v>71</v>
      </c>
      <c r="B700" t="s">
        <v>1572</v>
      </c>
      <c r="C700">
        <v>0</v>
      </c>
      <c r="D700">
        <v>0</v>
      </c>
      <c r="E700">
        <v>0</v>
      </c>
      <c r="G700" s="2" t="s">
        <v>1186</v>
      </c>
      <c r="H700" s="2" t="s">
        <v>1191</v>
      </c>
      <c r="I700" s="2">
        <v>12</v>
      </c>
      <c r="J700" s="2" t="s">
        <v>1276</v>
      </c>
      <c r="K700">
        <v>2019</v>
      </c>
      <c r="L700" s="2" t="s">
        <v>32</v>
      </c>
      <c r="M700" t="s">
        <v>897</v>
      </c>
      <c r="N700">
        <v>20</v>
      </c>
      <c r="O700">
        <v>0.5</v>
      </c>
      <c r="P700" t="s">
        <v>37</v>
      </c>
      <c r="Q700" s="2" t="s">
        <v>42</v>
      </c>
      <c r="R700" s="2" t="s">
        <v>39</v>
      </c>
      <c r="S700" s="4">
        <v>37.396090000000001</v>
      </c>
      <c r="T700" s="4">
        <v>-121.73437</v>
      </c>
      <c r="U700">
        <v>2447</v>
      </c>
      <c r="V700" s="6">
        <f t="shared" si="49"/>
        <v>745.84559999999999</v>
      </c>
      <c r="W700" s="2" t="s">
        <v>898</v>
      </c>
      <c r="X700" s="2" t="s">
        <v>2385</v>
      </c>
      <c r="Y700" s="2" t="s">
        <v>56</v>
      </c>
      <c r="AA700" t="s">
        <v>1860</v>
      </c>
      <c r="AB700" s="2">
        <v>32.6</v>
      </c>
      <c r="AC700" s="2">
        <v>12.3</v>
      </c>
      <c r="AF700">
        <v>71</v>
      </c>
      <c r="AG700">
        <v>19</v>
      </c>
      <c r="AJ700" s="41">
        <v>0</v>
      </c>
      <c r="AL700">
        <f t="shared" si="46"/>
        <v>0</v>
      </c>
      <c r="AM700">
        <f t="shared" si="47"/>
        <v>0</v>
      </c>
      <c r="AN700">
        <f t="shared" si="48"/>
        <v>0</v>
      </c>
    </row>
    <row r="701" spans="1:40" x14ac:dyDescent="0.2">
      <c r="A701" s="2">
        <v>71</v>
      </c>
      <c r="B701" t="s">
        <v>1573</v>
      </c>
      <c r="C701">
        <v>0</v>
      </c>
      <c r="D701">
        <v>0</v>
      </c>
      <c r="E701">
        <v>0</v>
      </c>
      <c r="G701" s="2" t="s">
        <v>1186</v>
      </c>
      <c r="H701" s="2" t="s">
        <v>1191</v>
      </c>
      <c r="I701" s="2">
        <v>12</v>
      </c>
      <c r="J701" s="2" t="s">
        <v>1276</v>
      </c>
      <c r="K701">
        <v>2019</v>
      </c>
      <c r="L701" s="2" t="s">
        <v>32</v>
      </c>
      <c r="M701" t="s">
        <v>897</v>
      </c>
      <c r="N701">
        <v>20</v>
      </c>
      <c r="O701">
        <v>1</v>
      </c>
      <c r="P701" t="s">
        <v>30</v>
      </c>
      <c r="Q701" t="s">
        <v>42</v>
      </c>
      <c r="R701" t="s">
        <v>39</v>
      </c>
      <c r="S701" s="4">
        <v>37.396090000000001</v>
      </c>
      <c r="T701" s="4">
        <v>-121.73437</v>
      </c>
      <c r="U701">
        <v>2447</v>
      </c>
      <c r="V701" s="6">
        <f t="shared" si="49"/>
        <v>745.84559999999999</v>
      </c>
      <c r="W701" s="2" t="s">
        <v>898</v>
      </c>
      <c r="X701" s="2" t="s">
        <v>2385</v>
      </c>
      <c r="Y701" s="2" t="s">
        <v>346</v>
      </c>
      <c r="AA701" t="s">
        <v>1861</v>
      </c>
      <c r="AB701" s="2">
        <v>32.6</v>
      </c>
      <c r="AC701" s="2">
        <v>12.3</v>
      </c>
      <c r="AF701">
        <v>71</v>
      </c>
      <c r="AG701">
        <v>19</v>
      </c>
      <c r="AJ701" s="41">
        <v>0</v>
      </c>
      <c r="AL701">
        <f t="shared" si="46"/>
        <v>0</v>
      </c>
      <c r="AM701">
        <f t="shared" si="47"/>
        <v>0</v>
      </c>
      <c r="AN701">
        <f t="shared" si="48"/>
        <v>0</v>
      </c>
    </row>
    <row r="702" spans="1:40" x14ac:dyDescent="0.2">
      <c r="A702" s="2">
        <v>71</v>
      </c>
      <c r="B702" t="s">
        <v>1574</v>
      </c>
      <c r="C702">
        <v>0</v>
      </c>
      <c r="D702">
        <v>0</v>
      </c>
      <c r="E702">
        <v>0</v>
      </c>
      <c r="G702" s="2" t="s">
        <v>1186</v>
      </c>
      <c r="H702" s="2" t="s">
        <v>1191</v>
      </c>
      <c r="I702" s="2">
        <v>12</v>
      </c>
      <c r="J702" s="2" t="s">
        <v>1276</v>
      </c>
      <c r="K702">
        <v>2019</v>
      </c>
      <c r="L702" s="2" t="s">
        <v>32</v>
      </c>
      <c r="M702" t="s">
        <v>897</v>
      </c>
      <c r="N702">
        <v>18</v>
      </c>
      <c r="O702">
        <v>0.5</v>
      </c>
      <c r="P702" t="s">
        <v>37</v>
      </c>
      <c r="R702" t="s">
        <v>89</v>
      </c>
      <c r="S702" s="4">
        <v>37.396410000000003</v>
      </c>
      <c r="T702" s="4">
        <v>-121.73435000000001</v>
      </c>
      <c r="U702">
        <v>2471</v>
      </c>
      <c r="V702" s="6">
        <f t="shared" si="49"/>
        <v>753.16079999999999</v>
      </c>
      <c r="W702" s="2" t="s">
        <v>2386</v>
      </c>
      <c r="X702" s="2" t="s">
        <v>2385</v>
      </c>
      <c r="Y702" s="2" t="s">
        <v>254</v>
      </c>
      <c r="AA702" t="s">
        <v>1699</v>
      </c>
      <c r="AB702" s="2">
        <v>32.6</v>
      </c>
      <c r="AC702" s="2">
        <v>12.3</v>
      </c>
      <c r="AF702">
        <v>71</v>
      </c>
      <c r="AG702">
        <v>19</v>
      </c>
      <c r="AJ702" s="41">
        <v>0</v>
      </c>
      <c r="AL702">
        <f t="shared" si="46"/>
        <v>0</v>
      </c>
      <c r="AM702">
        <f t="shared" si="47"/>
        <v>0</v>
      </c>
      <c r="AN702">
        <f t="shared" si="48"/>
        <v>0</v>
      </c>
    </row>
    <row r="703" spans="1:40" x14ac:dyDescent="0.2">
      <c r="A703" s="2">
        <v>71</v>
      </c>
      <c r="B703" t="s">
        <v>1575</v>
      </c>
      <c r="C703">
        <v>0</v>
      </c>
      <c r="D703">
        <v>0</v>
      </c>
      <c r="E703">
        <v>0</v>
      </c>
      <c r="G703" s="2" t="s">
        <v>1186</v>
      </c>
      <c r="H703" s="2" t="s">
        <v>1191</v>
      </c>
      <c r="I703" s="2">
        <v>12</v>
      </c>
      <c r="J703" s="2" t="s">
        <v>1276</v>
      </c>
      <c r="K703">
        <v>2019</v>
      </c>
      <c r="L703" s="2" t="s">
        <v>32</v>
      </c>
      <c r="M703" t="s">
        <v>897</v>
      </c>
      <c r="N703">
        <v>18</v>
      </c>
      <c r="O703">
        <v>0.5</v>
      </c>
      <c r="P703" t="s">
        <v>37</v>
      </c>
      <c r="R703" t="s">
        <v>89</v>
      </c>
      <c r="S703" s="4">
        <v>37.396410000000003</v>
      </c>
      <c r="T703" s="4">
        <v>-121.73435000000001</v>
      </c>
      <c r="U703">
        <v>2471</v>
      </c>
      <c r="V703" s="6">
        <f t="shared" si="49"/>
        <v>753.16079999999999</v>
      </c>
      <c r="W703" s="2" t="s">
        <v>2386</v>
      </c>
      <c r="X703" s="2" t="s">
        <v>2385</v>
      </c>
      <c r="Y703" s="2" t="s">
        <v>254</v>
      </c>
      <c r="Z703" t="s">
        <v>1863</v>
      </c>
      <c r="AA703" t="s">
        <v>1862</v>
      </c>
      <c r="AB703" s="2">
        <v>32.6</v>
      </c>
      <c r="AC703" s="2">
        <v>12.3</v>
      </c>
      <c r="AF703">
        <v>71</v>
      </c>
      <c r="AG703">
        <v>19</v>
      </c>
      <c r="AJ703" s="41">
        <v>0</v>
      </c>
      <c r="AL703">
        <f t="shared" si="46"/>
        <v>0</v>
      </c>
      <c r="AM703">
        <f t="shared" si="47"/>
        <v>0</v>
      </c>
      <c r="AN703">
        <f t="shared" si="48"/>
        <v>0</v>
      </c>
    </row>
    <row r="704" spans="1:40" x14ac:dyDescent="0.2">
      <c r="A704" s="2">
        <v>71</v>
      </c>
      <c r="B704" t="s">
        <v>1576</v>
      </c>
      <c r="C704">
        <v>2.3354340344667435E-2</v>
      </c>
      <c r="D704">
        <v>0</v>
      </c>
      <c r="E704">
        <v>0</v>
      </c>
      <c r="G704" s="2" t="s">
        <v>1186</v>
      </c>
      <c r="H704" s="2" t="s">
        <v>1191</v>
      </c>
      <c r="I704" s="2">
        <v>12</v>
      </c>
      <c r="J704" s="2" t="s">
        <v>1276</v>
      </c>
      <c r="K704">
        <v>2019</v>
      </c>
      <c r="L704" s="2" t="s">
        <v>32</v>
      </c>
      <c r="M704" t="s">
        <v>897</v>
      </c>
      <c r="N704">
        <v>20.5</v>
      </c>
      <c r="O704">
        <v>1</v>
      </c>
      <c r="P704" t="s">
        <v>37</v>
      </c>
      <c r="Q704" t="s">
        <v>42</v>
      </c>
      <c r="R704" t="s">
        <v>39</v>
      </c>
      <c r="S704" s="4">
        <v>37.396410000000003</v>
      </c>
      <c r="T704" s="4">
        <v>-121.73435000000001</v>
      </c>
      <c r="U704">
        <v>2471</v>
      </c>
      <c r="V704" s="6">
        <f t="shared" si="49"/>
        <v>753.16079999999999</v>
      </c>
      <c r="W704" s="2" t="s">
        <v>2386</v>
      </c>
      <c r="X704" s="2" t="s">
        <v>2385</v>
      </c>
      <c r="Y704" s="2" t="s">
        <v>263</v>
      </c>
      <c r="Z704" t="s">
        <v>1863</v>
      </c>
      <c r="AA704" t="s">
        <v>1864</v>
      </c>
      <c r="AB704" s="2">
        <v>32.6</v>
      </c>
      <c r="AC704" s="2">
        <v>12.3</v>
      </c>
      <c r="AF704">
        <v>71</v>
      </c>
      <c r="AG704">
        <v>19</v>
      </c>
      <c r="AJ704" s="41">
        <v>0</v>
      </c>
      <c r="AL704">
        <f t="shared" si="46"/>
        <v>1.8683472275733948</v>
      </c>
      <c r="AM704">
        <f t="shared" si="47"/>
        <v>0</v>
      </c>
      <c r="AN704">
        <f t="shared" si="48"/>
        <v>0</v>
      </c>
    </row>
    <row r="705" spans="1:40" x14ac:dyDescent="0.2">
      <c r="A705" s="2">
        <v>73</v>
      </c>
      <c r="B705" t="s">
        <v>1577</v>
      </c>
      <c r="C705" s="2">
        <v>0</v>
      </c>
      <c r="D705">
        <v>0</v>
      </c>
      <c r="E705">
        <v>0</v>
      </c>
      <c r="G705" s="2" t="s">
        <v>1186</v>
      </c>
      <c r="H705" s="2" t="s">
        <v>1191</v>
      </c>
      <c r="I705" s="2">
        <v>14</v>
      </c>
      <c r="J705" s="2" t="s">
        <v>1276</v>
      </c>
      <c r="K705">
        <v>2019</v>
      </c>
      <c r="L705" s="2" t="s">
        <v>33</v>
      </c>
      <c r="M705" t="s">
        <v>1319</v>
      </c>
      <c r="N705">
        <v>27</v>
      </c>
      <c r="O705">
        <f>22.5-19</f>
        <v>3.5</v>
      </c>
      <c r="P705" t="s">
        <v>37</v>
      </c>
      <c r="R705" t="s">
        <v>89</v>
      </c>
      <c r="S705" s="4">
        <v>38.477719999999998</v>
      </c>
      <c r="T705" s="4">
        <v>-122.14245</v>
      </c>
      <c r="U705">
        <v>1096</v>
      </c>
      <c r="V705" s="6">
        <f t="shared" si="49"/>
        <v>334.06080000000003</v>
      </c>
      <c r="W705" s="2" t="s">
        <v>898</v>
      </c>
      <c r="X705" s="2" t="s">
        <v>2239</v>
      </c>
      <c r="Y705" s="2" t="s">
        <v>1605</v>
      </c>
      <c r="Z705" t="s">
        <v>1832</v>
      </c>
      <c r="AA705" t="s">
        <v>1865</v>
      </c>
      <c r="AJ705" s="41">
        <v>0</v>
      </c>
      <c r="AL705">
        <f t="shared" si="46"/>
        <v>0</v>
      </c>
      <c r="AM705">
        <f t="shared" si="47"/>
        <v>0</v>
      </c>
      <c r="AN705">
        <f t="shared" si="48"/>
        <v>0</v>
      </c>
    </row>
    <row r="706" spans="1:40" x14ac:dyDescent="0.2">
      <c r="A706" s="2">
        <v>73</v>
      </c>
      <c r="B706" t="s">
        <v>1578</v>
      </c>
      <c r="C706" s="2">
        <v>0</v>
      </c>
      <c r="D706">
        <v>0</v>
      </c>
      <c r="E706">
        <v>0</v>
      </c>
      <c r="G706" s="2" t="s">
        <v>1186</v>
      </c>
      <c r="H706" s="2" t="s">
        <v>1191</v>
      </c>
      <c r="I706" s="2">
        <v>14</v>
      </c>
      <c r="J706" s="2" t="s">
        <v>1276</v>
      </c>
      <c r="K706">
        <v>2019</v>
      </c>
      <c r="L706" s="2" t="s">
        <v>32</v>
      </c>
      <c r="M706" t="s">
        <v>1319</v>
      </c>
      <c r="N706">
        <v>18</v>
      </c>
      <c r="O706">
        <v>1</v>
      </c>
      <c r="P706" t="s">
        <v>37</v>
      </c>
      <c r="R706" t="s">
        <v>89</v>
      </c>
      <c r="S706" s="4">
        <v>38.477719999999998</v>
      </c>
      <c r="T706" s="4">
        <v>-122.14245</v>
      </c>
      <c r="U706">
        <v>1096</v>
      </c>
      <c r="V706" s="6">
        <f t="shared" si="49"/>
        <v>334.06080000000003</v>
      </c>
      <c r="W706" s="2" t="s">
        <v>898</v>
      </c>
      <c r="X706" s="2" t="s">
        <v>2239</v>
      </c>
      <c r="Y706" s="2" t="s">
        <v>532</v>
      </c>
      <c r="AA706" t="s">
        <v>1866</v>
      </c>
      <c r="AJ706" s="41">
        <v>0</v>
      </c>
      <c r="AL706">
        <f t="shared" si="46"/>
        <v>0</v>
      </c>
      <c r="AM706">
        <f t="shared" si="47"/>
        <v>0</v>
      </c>
      <c r="AN706">
        <f t="shared" si="48"/>
        <v>0</v>
      </c>
    </row>
    <row r="707" spans="1:40" x14ac:dyDescent="0.2">
      <c r="A707" s="2">
        <v>73</v>
      </c>
      <c r="B707" t="s">
        <v>1579</v>
      </c>
      <c r="C707" s="2">
        <v>0</v>
      </c>
      <c r="D707">
        <v>0</v>
      </c>
      <c r="E707">
        <v>0</v>
      </c>
      <c r="G707" s="2" t="s">
        <v>1186</v>
      </c>
      <c r="H707" s="2" t="s">
        <v>1191</v>
      </c>
      <c r="I707" s="2">
        <v>14</v>
      </c>
      <c r="J707" s="2" t="s">
        <v>1276</v>
      </c>
      <c r="K707">
        <v>2019</v>
      </c>
      <c r="L707" s="2" t="s">
        <v>32</v>
      </c>
      <c r="M707" t="s">
        <v>1319</v>
      </c>
      <c r="N707">
        <v>18.5</v>
      </c>
      <c r="O707">
        <v>1</v>
      </c>
      <c r="P707" t="s">
        <v>37</v>
      </c>
      <c r="R707" t="s">
        <v>89</v>
      </c>
      <c r="S707" s="4">
        <v>38.477719999999998</v>
      </c>
      <c r="T707" s="4">
        <v>-122.14245</v>
      </c>
      <c r="U707">
        <v>1096</v>
      </c>
      <c r="V707" s="6">
        <f t="shared" si="49"/>
        <v>334.06080000000003</v>
      </c>
      <c r="W707" s="2" t="s">
        <v>898</v>
      </c>
      <c r="X707" s="2" t="s">
        <v>2239</v>
      </c>
      <c r="Y707" s="2" t="s">
        <v>579</v>
      </c>
      <c r="AA707" t="s">
        <v>1709</v>
      </c>
      <c r="AJ707" s="41">
        <v>0</v>
      </c>
      <c r="AL707">
        <f t="shared" si="46"/>
        <v>0</v>
      </c>
      <c r="AM707">
        <f t="shared" si="47"/>
        <v>0</v>
      </c>
      <c r="AN707">
        <f t="shared" si="48"/>
        <v>0</v>
      </c>
    </row>
    <row r="708" spans="1:40" x14ac:dyDescent="0.2">
      <c r="A708" s="2">
        <v>73</v>
      </c>
      <c r="B708" t="s">
        <v>1580</v>
      </c>
      <c r="C708" s="2">
        <v>0</v>
      </c>
      <c r="D708">
        <v>0</v>
      </c>
      <c r="E708">
        <v>0</v>
      </c>
      <c r="G708" s="2" t="s">
        <v>1186</v>
      </c>
      <c r="H708" s="2" t="s">
        <v>1191</v>
      </c>
      <c r="I708" s="2">
        <v>14</v>
      </c>
      <c r="J708" s="2" t="s">
        <v>1276</v>
      </c>
      <c r="K708">
        <v>2019</v>
      </c>
      <c r="L708" s="2" t="s">
        <v>33</v>
      </c>
      <c r="M708" t="s">
        <v>1319</v>
      </c>
      <c r="N708">
        <v>20</v>
      </c>
      <c r="O708">
        <f>18-16.5</f>
        <v>1.5</v>
      </c>
      <c r="P708" t="s">
        <v>37</v>
      </c>
      <c r="R708" t="s">
        <v>89</v>
      </c>
      <c r="S708" s="4">
        <v>38.477719999999998</v>
      </c>
      <c r="T708" s="4">
        <v>-122.14245</v>
      </c>
      <c r="U708">
        <v>1096</v>
      </c>
      <c r="V708" s="6">
        <f t="shared" si="49"/>
        <v>334.06080000000003</v>
      </c>
      <c r="W708" s="2" t="s">
        <v>898</v>
      </c>
      <c r="X708" s="2" t="s">
        <v>2239</v>
      </c>
      <c r="Y708" s="2" t="s">
        <v>893</v>
      </c>
      <c r="AA708" t="s">
        <v>1867</v>
      </c>
      <c r="AJ708" s="41">
        <v>0</v>
      </c>
      <c r="AL708">
        <f t="shared" si="46"/>
        <v>0</v>
      </c>
      <c r="AM708">
        <f t="shared" si="47"/>
        <v>0</v>
      </c>
      <c r="AN708">
        <f t="shared" si="48"/>
        <v>0</v>
      </c>
    </row>
    <row r="709" spans="1:40" x14ac:dyDescent="0.2">
      <c r="A709" s="2">
        <v>73</v>
      </c>
      <c r="B709" t="s">
        <v>1581</v>
      </c>
      <c r="C709" s="2">
        <v>0</v>
      </c>
      <c r="D709">
        <v>0</v>
      </c>
      <c r="E709">
        <v>0</v>
      </c>
      <c r="G709" s="2" t="s">
        <v>1186</v>
      </c>
      <c r="H709" s="2" t="s">
        <v>1191</v>
      </c>
      <c r="I709" s="2">
        <v>14</v>
      </c>
      <c r="J709" s="2" t="s">
        <v>1276</v>
      </c>
      <c r="K709">
        <v>2019</v>
      </c>
      <c r="L709" s="2" t="s">
        <v>32</v>
      </c>
      <c r="M709" t="s">
        <v>1319</v>
      </c>
      <c r="N709">
        <v>23</v>
      </c>
      <c r="O709">
        <v>2</v>
      </c>
      <c r="P709" t="s">
        <v>37</v>
      </c>
      <c r="Q709" s="2" t="s">
        <v>38</v>
      </c>
      <c r="R709" s="2" t="s">
        <v>39</v>
      </c>
      <c r="S709" s="4">
        <v>38.477719999999998</v>
      </c>
      <c r="T709" s="4">
        <v>-122.14245</v>
      </c>
      <c r="U709">
        <v>1096</v>
      </c>
      <c r="V709" s="6">
        <f t="shared" si="49"/>
        <v>334.06080000000003</v>
      </c>
      <c r="W709" s="2" t="s">
        <v>898</v>
      </c>
      <c r="X709" s="2" t="s">
        <v>2239</v>
      </c>
      <c r="Y709" s="2" t="s">
        <v>198</v>
      </c>
      <c r="Z709" t="s">
        <v>1869</v>
      </c>
      <c r="AA709" t="s">
        <v>1868</v>
      </c>
      <c r="AJ709" s="41">
        <v>0</v>
      </c>
      <c r="AL709">
        <f t="shared" si="46"/>
        <v>0</v>
      </c>
      <c r="AM709">
        <f t="shared" si="47"/>
        <v>0</v>
      </c>
      <c r="AN709">
        <f t="shared" si="48"/>
        <v>0</v>
      </c>
    </row>
    <row r="710" spans="1:40" x14ac:dyDescent="0.2">
      <c r="A710" s="2">
        <v>73</v>
      </c>
      <c r="B710" t="s">
        <v>1582</v>
      </c>
      <c r="C710" s="2">
        <v>0</v>
      </c>
      <c r="D710">
        <v>0</v>
      </c>
      <c r="E710" s="18">
        <v>3.7950999999999999E-2</v>
      </c>
      <c r="G710" s="2" t="s">
        <v>1186</v>
      </c>
      <c r="H710" s="2" t="s">
        <v>1191</v>
      </c>
      <c r="I710" s="2">
        <v>14</v>
      </c>
      <c r="J710" s="2" t="s">
        <v>1276</v>
      </c>
      <c r="K710">
        <v>2019</v>
      </c>
      <c r="L710" s="2" t="s">
        <v>33</v>
      </c>
      <c r="M710" t="s">
        <v>1319</v>
      </c>
      <c r="N710">
        <v>31.5</v>
      </c>
      <c r="O710">
        <f>15.5-12</f>
        <v>3.5</v>
      </c>
      <c r="P710" t="s">
        <v>30</v>
      </c>
      <c r="R710" t="s">
        <v>89</v>
      </c>
      <c r="S710" s="4">
        <v>38.477719999999998</v>
      </c>
      <c r="T710" s="4">
        <v>-122.14245</v>
      </c>
      <c r="U710">
        <v>1096</v>
      </c>
      <c r="V710" s="6">
        <f t="shared" si="49"/>
        <v>334.06080000000003</v>
      </c>
      <c r="W710" s="2" t="s">
        <v>898</v>
      </c>
      <c r="X710" s="2" t="s">
        <v>2239</v>
      </c>
      <c r="Y710" s="2" t="s">
        <v>201</v>
      </c>
      <c r="Z710" t="s">
        <v>1870</v>
      </c>
      <c r="AA710" t="s">
        <v>1871</v>
      </c>
      <c r="AJ710" s="41">
        <v>0</v>
      </c>
      <c r="AL710">
        <f t="shared" si="46"/>
        <v>0</v>
      </c>
      <c r="AM710">
        <f t="shared" si="47"/>
        <v>0</v>
      </c>
      <c r="AN710">
        <f t="shared" si="48"/>
        <v>3.0360800000000001</v>
      </c>
    </row>
    <row r="711" spans="1:40" x14ac:dyDescent="0.2">
      <c r="A711" s="2">
        <v>73</v>
      </c>
      <c r="B711" t="s">
        <v>1583</v>
      </c>
      <c r="C711" s="2">
        <v>0</v>
      </c>
      <c r="D711">
        <v>0</v>
      </c>
      <c r="E711" s="18">
        <v>0</v>
      </c>
      <c r="G711" s="2" t="s">
        <v>1186</v>
      </c>
      <c r="H711" s="2" t="s">
        <v>1191</v>
      </c>
      <c r="I711" s="2">
        <v>14</v>
      </c>
      <c r="J711" s="2" t="s">
        <v>1276</v>
      </c>
      <c r="K711">
        <v>2019</v>
      </c>
      <c r="L711" s="2" t="s">
        <v>32</v>
      </c>
      <c r="M711" t="s">
        <v>1319</v>
      </c>
      <c r="N711">
        <v>23</v>
      </c>
      <c r="O711">
        <f>14.5-12</f>
        <v>2.5</v>
      </c>
      <c r="P711" t="s">
        <v>30</v>
      </c>
      <c r="Q711" t="s">
        <v>42</v>
      </c>
      <c r="R711" t="s">
        <v>39</v>
      </c>
      <c r="S711" s="4">
        <v>38.477719999999998</v>
      </c>
      <c r="T711" s="4">
        <v>-122.14245</v>
      </c>
      <c r="U711">
        <v>1096</v>
      </c>
      <c r="V711" s="6">
        <f t="shared" si="49"/>
        <v>334.06080000000003</v>
      </c>
      <c r="W711" s="2" t="s">
        <v>898</v>
      </c>
      <c r="X711" s="2" t="s">
        <v>2239</v>
      </c>
      <c r="Y711" s="2" t="s">
        <v>149</v>
      </c>
      <c r="AA711" t="s">
        <v>1872</v>
      </c>
      <c r="AJ711" s="41">
        <v>0</v>
      </c>
      <c r="AL711">
        <f t="shared" si="46"/>
        <v>0</v>
      </c>
      <c r="AM711">
        <f t="shared" si="47"/>
        <v>0</v>
      </c>
      <c r="AN711">
        <f t="shared" si="48"/>
        <v>0</v>
      </c>
    </row>
    <row r="712" spans="1:40" x14ac:dyDescent="0.2">
      <c r="A712" s="2">
        <v>73</v>
      </c>
      <c r="B712" t="s">
        <v>1606</v>
      </c>
      <c r="C712" s="2">
        <v>0</v>
      </c>
      <c r="D712">
        <v>0</v>
      </c>
      <c r="E712" s="18">
        <v>0</v>
      </c>
      <c r="G712" s="2" t="s">
        <v>1186</v>
      </c>
      <c r="H712" s="2" t="s">
        <v>1191</v>
      </c>
      <c r="I712" s="2">
        <v>14</v>
      </c>
      <c r="J712" s="2" t="s">
        <v>1276</v>
      </c>
      <c r="K712">
        <v>2019</v>
      </c>
      <c r="L712" s="2" t="s">
        <v>33</v>
      </c>
      <c r="M712" t="s">
        <v>1319</v>
      </c>
      <c r="N712">
        <v>22.5</v>
      </c>
      <c r="O712">
        <v>1.5</v>
      </c>
      <c r="P712" t="s">
        <v>37</v>
      </c>
      <c r="R712" t="s">
        <v>89</v>
      </c>
      <c r="S712" s="4">
        <v>38.477719999999998</v>
      </c>
      <c r="T712" s="4">
        <v>-122.14245</v>
      </c>
      <c r="U712">
        <v>1096</v>
      </c>
      <c r="V712" s="6">
        <f t="shared" si="49"/>
        <v>334.06080000000003</v>
      </c>
      <c r="W712" s="2" t="s">
        <v>898</v>
      </c>
      <c r="X712" s="2" t="s">
        <v>2239</v>
      </c>
      <c r="Y712" s="2" t="s">
        <v>149</v>
      </c>
      <c r="Z712" t="s">
        <v>1874</v>
      </c>
      <c r="AA712" t="s">
        <v>1873</v>
      </c>
      <c r="AJ712" s="41">
        <v>0</v>
      </c>
      <c r="AL712">
        <f t="shared" si="46"/>
        <v>0</v>
      </c>
      <c r="AM712">
        <f t="shared" si="47"/>
        <v>0</v>
      </c>
      <c r="AN712">
        <f t="shared" si="48"/>
        <v>0</v>
      </c>
    </row>
    <row r="713" spans="1:40" x14ac:dyDescent="0.2">
      <c r="A713" s="2">
        <v>73</v>
      </c>
      <c r="B713" t="s">
        <v>1607</v>
      </c>
      <c r="C713" s="2">
        <v>0</v>
      </c>
      <c r="D713">
        <v>0</v>
      </c>
      <c r="E713" s="18">
        <v>0</v>
      </c>
      <c r="G713" s="2" t="s">
        <v>1186</v>
      </c>
      <c r="H713" s="2" t="s">
        <v>1191</v>
      </c>
      <c r="I713" s="2">
        <v>14</v>
      </c>
      <c r="J713" s="2" t="s">
        <v>1276</v>
      </c>
      <c r="K713">
        <v>2019</v>
      </c>
      <c r="L713" s="2" t="s">
        <v>32</v>
      </c>
      <c r="M713" t="s">
        <v>1319</v>
      </c>
      <c r="N713">
        <v>18.5</v>
      </c>
      <c r="O713">
        <v>1</v>
      </c>
      <c r="P713" t="s">
        <v>37</v>
      </c>
      <c r="R713" t="s">
        <v>89</v>
      </c>
      <c r="S713" s="4">
        <v>38.477719999999998</v>
      </c>
      <c r="T713" s="4">
        <v>-122.14245</v>
      </c>
      <c r="U713">
        <v>1096</v>
      </c>
      <c r="V713" s="6">
        <f t="shared" si="49"/>
        <v>334.06080000000003</v>
      </c>
      <c r="W713" s="2" t="s">
        <v>898</v>
      </c>
      <c r="X713" s="2" t="s">
        <v>2239</v>
      </c>
      <c r="Y713" s="2" t="s">
        <v>435</v>
      </c>
      <c r="AA713" t="s">
        <v>1875</v>
      </c>
      <c r="AJ713" s="41">
        <v>0</v>
      </c>
      <c r="AL713">
        <f t="shared" si="46"/>
        <v>0</v>
      </c>
      <c r="AM713">
        <f t="shared" si="47"/>
        <v>0</v>
      </c>
      <c r="AN713">
        <f t="shared" si="48"/>
        <v>0</v>
      </c>
    </row>
    <row r="714" spans="1:40" x14ac:dyDescent="0.2">
      <c r="A714" s="2">
        <v>73</v>
      </c>
      <c r="B714" t="s">
        <v>1608</v>
      </c>
      <c r="C714" s="2">
        <v>0</v>
      </c>
      <c r="D714">
        <v>0</v>
      </c>
      <c r="E714" s="18">
        <v>0</v>
      </c>
      <c r="G714" s="2" t="s">
        <v>1186</v>
      </c>
      <c r="H714" s="2" t="s">
        <v>1191</v>
      </c>
      <c r="I714" s="2">
        <v>14</v>
      </c>
      <c r="J714" s="2" t="s">
        <v>1276</v>
      </c>
      <c r="K714">
        <v>2019</v>
      </c>
      <c r="L714" s="2" t="s">
        <v>32</v>
      </c>
      <c r="M714" t="s">
        <v>1319</v>
      </c>
      <c r="N714">
        <v>20</v>
      </c>
      <c r="O714">
        <v>1</v>
      </c>
      <c r="P714" t="s">
        <v>37</v>
      </c>
      <c r="R714" s="45" t="s">
        <v>39</v>
      </c>
      <c r="S714" s="4">
        <v>38.477719999999998</v>
      </c>
      <c r="T714" s="4">
        <v>-122.14245</v>
      </c>
      <c r="U714">
        <v>1096</v>
      </c>
      <c r="V714" s="6">
        <f t="shared" si="49"/>
        <v>334.06080000000003</v>
      </c>
      <c r="W714" s="2" t="s">
        <v>898</v>
      </c>
      <c r="X714" s="2" t="s">
        <v>2239</v>
      </c>
      <c r="Y714" s="2" t="s">
        <v>335</v>
      </c>
      <c r="AA714" t="s">
        <v>1876</v>
      </c>
      <c r="AJ714" s="41">
        <v>0</v>
      </c>
      <c r="AL714">
        <f t="shared" si="46"/>
        <v>0</v>
      </c>
      <c r="AM714">
        <f t="shared" si="47"/>
        <v>0</v>
      </c>
      <c r="AN714">
        <f t="shared" si="48"/>
        <v>0</v>
      </c>
    </row>
    <row r="715" spans="1:40" x14ac:dyDescent="0.2">
      <c r="A715" s="2">
        <v>73</v>
      </c>
      <c r="B715" t="s">
        <v>1609</v>
      </c>
      <c r="C715" s="2">
        <v>0</v>
      </c>
      <c r="D715">
        <v>0</v>
      </c>
      <c r="E715" s="18">
        <v>0</v>
      </c>
      <c r="G715" s="2" t="s">
        <v>1186</v>
      </c>
      <c r="H715" s="2" t="s">
        <v>1191</v>
      </c>
      <c r="I715" s="2">
        <v>14</v>
      </c>
      <c r="J715" s="2" t="s">
        <v>1276</v>
      </c>
      <c r="K715">
        <v>2019</v>
      </c>
      <c r="L715" s="2" t="s">
        <v>32</v>
      </c>
      <c r="M715" t="s">
        <v>1319</v>
      </c>
      <c r="N715">
        <v>21</v>
      </c>
      <c r="O715">
        <v>1</v>
      </c>
      <c r="P715" t="s">
        <v>37</v>
      </c>
      <c r="R715" s="45" t="s">
        <v>39</v>
      </c>
      <c r="S715" s="4">
        <v>38.477719999999998</v>
      </c>
      <c r="T715" s="4">
        <v>-122.14245</v>
      </c>
      <c r="U715">
        <v>1096</v>
      </c>
      <c r="V715" s="6">
        <f t="shared" si="49"/>
        <v>334.06080000000003</v>
      </c>
      <c r="W715" s="2" t="s">
        <v>898</v>
      </c>
      <c r="X715" s="2" t="s">
        <v>2239</v>
      </c>
      <c r="Y715" s="2" t="s">
        <v>168</v>
      </c>
      <c r="AA715" t="s">
        <v>1713</v>
      </c>
      <c r="AJ715" s="41">
        <v>0</v>
      </c>
      <c r="AL715">
        <f t="shared" si="46"/>
        <v>0</v>
      </c>
      <c r="AM715">
        <f t="shared" si="47"/>
        <v>0</v>
      </c>
      <c r="AN715">
        <f t="shared" si="48"/>
        <v>0</v>
      </c>
    </row>
    <row r="716" spans="1:40" x14ac:dyDescent="0.2">
      <c r="A716" s="2">
        <v>74</v>
      </c>
      <c r="B716" t="s">
        <v>1610</v>
      </c>
      <c r="C716" s="2">
        <v>0</v>
      </c>
      <c r="D716">
        <v>0</v>
      </c>
      <c r="E716" s="18">
        <v>0</v>
      </c>
      <c r="G716" s="2" t="s">
        <v>1186</v>
      </c>
      <c r="H716" s="2" t="s">
        <v>1191</v>
      </c>
      <c r="I716" s="2">
        <v>15</v>
      </c>
      <c r="J716" s="2" t="s">
        <v>1276</v>
      </c>
      <c r="K716">
        <v>2019</v>
      </c>
      <c r="L716" s="2" t="s">
        <v>758</v>
      </c>
      <c r="M716" t="s">
        <v>1326</v>
      </c>
      <c r="N716">
        <v>30.5</v>
      </c>
      <c r="P716" t="s">
        <v>30</v>
      </c>
      <c r="R716" t="s">
        <v>89</v>
      </c>
      <c r="S716" s="4">
        <v>38.500720000000001</v>
      </c>
      <c r="T716" s="4">
        <v>-122.10008999999999</v>
      </c>
      <c r="U716">
        <v>691</v>
      </c>
      <c r="V716" s="6">
        <f t="shared" si="49"/>
        <v>210.61680000000001</v>
      </c>
      <c r="W716" t="s">
        <v>2015</v>
      </c>
      <c r="X716" s="2" t="s">
        <v>2387</v>
      </c>
      <c r="Y716" s="2" t="s">
        <v>1618</v>
      </c>
      <c r="Z716" t="s">
        <v>1767</v>
      </c>
      <c r="AA716" t="s">
        <v>1879</v>
      </c>
      <c r="AJ716" s="41">
        <v>0</v>
      </c>
      <c r="AL716">
        <f t="shared" si="46"/>
        <v>0</v>
      </c>
      <c r="AM716">
        <f t="shared" si="47"/>
        <v>0</v>
      </c>
      <c r="AN716">
        <f t="shared" si="48"/>
        <v>0</v>
      </c>
    </row>
    <row r="717" spans="1:40" x14ac:dyDescent="0.2">
      <c r="A717" s="2">
        <v>74</v>
      </c>
      <c r="B717" t="s">
        <v>1611</v>
      </c>
      <c r="C717" s="2">
        <v>0</v>
      </c>
      <c r="D717">
        <v>0</v>
      </c>
      <c r="E717" s="18">
        <v>0</v>
      </c>
      <c r="G717" s="2" t="s">
        <v>1186</v>
      </c>
      <c r="H717" s="2" t="s">
        <v>1191</v>
      </c>
      <c r="I717" s="2">
        <v>15</v>
      </c>
      <c r="J717" s="2" t="s">
        <v>1276</v>
      </c>
      <c r="K717">
        <v>2019</v>
      </c>
      <c r="L717" s="2" t="s">
        <v>758</v>
      </c>
      <c r="M717" t="s">
        <v>1326</v>
      </c>
      <c r="N717">
        <v>31.5</v>
      </c>
      <c r="P717" t="s">
        <v>30</v>
      </c>
      <c r="R717" t="s">
        <v>89</v>
      </c>
      <c r="S717" s="4">
        <v>38.500929999999997</v>
      </c>
      <c r="T717" s="4">
        <v>-122.09963999999999</v>
      </c>
      <c r="U717">
        <v>689</v>
      </c>
      <c r="V717" s="6">
        <f t="shared" si="49"/>
        <v>210.00720000000001</v>
      </c>
      <c r="W717" t="s">
        <v>2015</v>
      </c>
      <c r="X717" s="2" t="s">
        <v>2387</v>
      </c>
      <c r="Y717" s="2" t="s">
        <v>1619</v>
      </c>
      <c r="Z717" t="s">
        <v>1767</v>
      </c>
      <c r="AA717" t="s">
        <v>1878</v>
      </c>
      <c r="AJ717" s="41">
        <v>0</v>
      </c>
      <c r="AL717">
        <f t="shared" ref="AL717:AL780" si="50">C717*80</f>
        <v>0</v>
      </c>
      <c r="AM717">
        <f t="shared" ref="AM717:AM780" si="51">D717*80</f>
        <v>0</v>
      </c>
      <c r="AN717">
        <f t="shared" ref="AN717:AN780" si="52">E717*80</f>
        <v>0</v>
      </c>
    </row>
    <row r="718" spans="1:40" x14ac:dyDescent="0.2">
      <c r="A718" s="2">
        <v>74</v>
      </c>
      <c r="B718" t="s">
        <v>1612</v>
      </c>
      <c r="C718" s="2">
        <v>0</v>
      </c>
      <c r="D718">
        <v>0</v>
      </c>
      <c r="E718">
        <v>0</v>
      </c>
      <c r="G718" s="2" t="s">
        <v>1186</v>
      </c>
      <c r="H718" s="2" t="s">
        <v>1191</v>
      </c>
      <c r="I718" s="2">
        <v>15</v>
      </c>
      <c r="J718" s="2" t="s">
        <v>1276</v>
      </c>
      <c r="K718">
        <v>2019</v>
      </c>
      <c r="L718" s="2" t="s">
        <v>758</v>
      </c>
      <c r="M718" t="s">
        <v>1326</v>
      </c>
      <c r="N718">
        <v>27.5</v>
      </c>
      <c r="P718" t="s">
        <v>37</v>
      </c>
      <c r="R718" t="s">
        <v>89</v>
      </c>
      <c r="S718" s="4">
        <v>38.500929999999997</v>
      </c>
      <c r="T718" s="4">
        <v>-122.09963999999999</v>
      </c>
      <c r="U718">
        <v>689</v>
      </c>
      <c r="V718" s="6">
        <f t="shared" si="49"/>
        <v>210.00720000000001</v>
      </c>
      <c r="W718" t="s">
        <v>2015</v>
      </c>
      <c r="X718" s="2" t="s">
        <v>2387</v>
      </c>
      <c r="Y718" s="2" t="s">
        <v>1620</v>
      </c>
      <c r="Z718" t="s">
        <v>1767</v>
      </c>
      <c r="AA718" t="s">
        <v>1877</v>
      </c>
      <c r="AJ718" s="41">
        <v>0</v>
      </c>
      <c r="AL718">
        <f t="shared" si="50"/>
        <v>0</v>
      </c>
      <c r="AM718">
        <f t="shared" si="51"/>
        <v>0</v>
      </c>
      <c r="AN718">
        <f t="shared" si="52"/>
        <v>0</v>
      </c>
    </row>
    <row r="719" spans="1:40" x14ac:dyDescent="0.2">
      <c r="A719" s="2">
        <v>74</v>
      </c>
      <c r="B719" t="s">
        <v>1613</v>
      </c>
      <c r="C719" s="2">
        <v>0</v>
      </c>
      <c r="D719">
        <v>0</v>
      </c>
      <c r="E719">
        <v>0</v>
      </c>
      <c r="G719" s="2" t="s">
        <v>1186</v>
      </c>
      <c r="H719" s="2" t="s">
        <v>1191</v>
      </c>
      <c r="I719" s="2">
        <v>15</v>
      </c>
      <c r="J719" s="2" t="s">
        <v>1276</v>
      </c>
      <c r="K719">
        <v>2019</v>
      </c>
      <c r="L719" s="2" t="s">
        <v>758</v>
      </c>
      <c r="M719" t="s">
        <v>1326</v>
      </c>
      <c r="N719">
        <v>30.5</v>
      </c>
      <c r="P719" t="s">
        <v>37</v>
      </c>
      <c r="R719" t="s">
        <v>89</v>
      </c>
      <c r="S719" s="4">
        <v>38.501069999999999</v>
      </c>
      <c r="T719" s="4">
        <v>-122.09953</v>
      </c>
      <c r="U719">
        <v>631</v>
      </c>
      <c r="V719" s="6">
        <f t="shared" si="49"/>
        <v>192.3288</v>
      </c>
      <c r="W719" t="s">
        <v>2015</v>
      </c>
      <c r="X719" s="2" t="s">
        <v>2387</v>
      </c>
      <c r="Y719" s="2" t="s">
        <v>1621</v>
      </c>
      <c r="Z719" t="s">
        <v>1767</v>
      </c>
      <c r="AA719" t="s">
        <v>1880</v>
      </c>
      <c r="AJ719" s="41">
        <v>0</v>
      </c>
      <c r="AL719">
        <f t="shared" si="50"/>
        <v>0</v>
      </c>
      <c r="AM719">
        <f t="shared" si="51"/>
        <v>0</v>
      </c>
      <c r="AN719">
        <f t="shared" si="52"/>
        <v>0</v>
      </c>
    </row>
    <row r="720" spans="1:40" x14ac:dyDescent="0.2">
      <c r="A720" s="2">
        <v>74</v>
      </c>
      <c r="B720" t="s">
        <v>1614</v>
      </c>
      <c r="C720" s="2">
        <v>0</v>
      </c>
      <c r="D720">
        <v>0</v>
      </c>
      <c r="E720">
        <v>0</v>
      </c>
      <c r="G720" s="2" t="s">
        <v>1186</v>
      </c>
      <c r="H720" s="2" t="s">
        <v>1191</v>
      </c>
      <c r="I720" s="2">
        <v>15</v>
      </c>
      <c r="J720" s="2" t="s">
        <v>1276</v>
      </c>
      <c r="K720">
        <v>2019</v>
      </c>
      <c r="L720" s="2" t="s">
        <v>758</v>
      </c>
      <c r="M720" t="s">
        <v>1326</v>
      </c>
      <c r="N720">
        <v>29</v>
      </c>
      <c r="P720" t="s">
        <v>30</v>
      </c>
      <c r="R720" t="s">
        <v>89</v>
      </c>
      <c r="S720" s="4">
        <v>38.501130000000003</v>
      </c>
      <c r="T720" s="4">
        <v>-122.09959000000001</v>
      </c>
      <c r="U720">
        <v>603</v>
      </c>
      <c r="V720" s="6">
        <f t="shared" si="49"/>
        <v>183.7944</v>
      </c>
      <c r="W720" t="s">
        <v>2015</v>
      </c>
      <c r="X720" s="2" t="s">
        <v>2387</v>
      </c>
      <c r="Y720" s="2" t="s">
        <v>1622</v>
      </c>
      <c r="Z720" t="s">
        <v>1767</v>
      </c>
      <c r="AA720" t="s">
        <v>1881</v>
      </c>
      <c r="AJ720" s="41">
        <v>0</v>
      </c>
      <c r="AL720">
        <f t="shared" si="50"/>
        <v>0</v>
      </c>
      <c r="AM720">
        <f t="shared" si="51"/>
        <v>0</v>
      </c>
      <c r="AN720">
        <f t="shared" si="52"/>
        <v>0</v>
      </c>
    </row>
    <row r="721" spans="1:40" x14ac:dyDescent="0.2">
      <c r="A721" s="2">
        <v>74</v>
      </c>
      <c r="B721" t="s">
        <v>1615</v>
      </c>
      <c r="C721" s="2">
        <v>0</v>
      </c>
      <c r="D721">
        <v>0</v>
      </c>
      <c r="E721">
        <v>0</v>
      </c>
      <c r="G721" s="2" t="s">
        <v>1186</v>
      </c>
      <c r="H721" s="2" t="s">
        <v>1191</v>
      </c>
      <c r="I721" s="2">
        <v>15</v>
      </c>
      <c r="J721" s="2" t="s">
        <v>1276</v>
      </c>
      <c r="K721">
        <v>2019</v>
      </c>
      <c r="L721" s="2" t="s">
        <v>758</v>
      </c>
      <c r="M721" t="s">
        <v>1326</v>
      </c>
      <c r="N721">
        <v>26.5</v>
      </c>
      <c r="P721" t="s">
        <v>30</v>
      </c>
      <c r="R721" t="s">
        <v>89</v>
      </c>
      <c r="S721" s="4">
        <v>38.501130000000003</v>
      </c>
      <c r="T721" s="4">
        <v>-122.09959000000001</v>
      </c>
      <c r="U721">
        <v>603</v>
      </c>
      <c r="V721" s="6">
        <f t="shared" si="49"/>
        <v>183.7944</v>
      </c>
      <c r="W721" t="s">
        <v>2015</v>
      </c>
      <c r="X721" s="2" t="s">
        <v>2387</v>
      </c>
      <c r="Y721" s="2" t="s">
        <v>1623</v>
      </c>
      <c r="Z721" t="s">
        <v>1767</v>
      </c>
      <c r="AA721" t="s">
        <v>1882</v>
      </c>
      <c r="AJ721" s="41">
        <v>0</v>
      </c>
      <c r="AL721">
        <f t="shared" si="50"/>
        <v>0</v>
      </c>
      <c r="AM721">
        <f t="shared" si="51"/>
        <v>0</v>
      </c>
      <c r="AN721">
        <f t="shared" si="52"/>
        <v>0</v>
      </c>
    </row>
    <row r="722" spans="1:40" x14ac:dyDescent="0.2">
      <c r="A722" s="2">
        <v>74</v>
      </c>
      <c r="B722" t="s">
        <v>1616</v>
      </c>
      <c r="C722" s="2">
        <v>0</v>
      </c>
      <c r="D722">
        <v>0</v>
      </c>
      <c r="E722">
        <v>0</v>
      </c>
      <c r="G722" s="2" t="s">
        <v>1186</v>
      </c>
      <c r="H722" s="2" t="s">
        <v>1191</v>
      </c>
      <c r="I722" s="2">
        <v>15</v>
      </c>
      <c r="J722" s="2" t="s">
        <v>1276</v>
      </c>
      <c r="K722">
        <v>2019</v>
      </c>
      <c r="L722" s="2" t="s">
        <v>758</v>
      </c>
      <c r="M722" t="s">
        <v>1326</v>
      </c>
      <c r="N722">
        <v>33</v>
      </c>
      <c r="P722" t="s">
        <v>30</v>
      </c>
      <c r="Q722" s="2" t="s">
        <v>38</v>
      </c>
      <c r="R722" s="2" t="s">
        <v>39</v>
      </c>
      <c r="S722" s="4">
        <v>38.501130000000003</v>
      </c>
      <c r="T722" s="4">
        <v>-122.09959000000001</v>
      </c>
      <c r="U722">
        <v>603</v>
      </c>
      <c r="V722" s="6">
        <f t="shared" si="49"/>
        <v>183.7944</v>
      </c>
      <c r="W722" t="s">
        <v>2015</v>
      </c>
      <c r="X722" s="2" t="s">
        <v>2387</v>
      </c>
      <c r="Y722" s="2" t="s">
        <v>1624</v>
      </c>
      <c r="Z722" t="s">
        <v>1884</v>
      </c>
      <c r="AA722" t="s">
        <v>1883</v>
      </c>
      <c r="AJ722" s="41">
        <v>0</v>
      </c>
      <c r="AL722">
        <f t="shared" si="50"/>
        <v>0</v>
      </c>
      <c r="AM722">
        <f t="shared" si="51"/>
        <v>0</v>
      </c>
      <c r="AN722">
        <f t="shared" si="52"/>
        <v>0</v>
      </c>
    </row>
    <row r="723" spans="1:40" x14ac:dyDescent="0.2">
      <c r="A723" s="2">
        <v>74</v>
      </c>
      <c r="B723" t="s">
        <v>1617</v>
      </c>
      <c r="C723" s="2">
        <v>0</v>
      </c>
      <c r="D723">
        <v>0</v>
      </c>
      <c r="E723">
        <v>0</v>
      </c>
      <c r="G723" s="2" t="s">
        <v>1186</v>
      </c>
      <c r="H723" s="2" t="s">
        <v>1191</v>
      </c>
      <c r="I723" s="2">
        <v>15</v>
      </c>
      <c r="J723" s="2" t="s">
        <v>1276</v>
      </c>
      <c r="K723">
        <v>2019</v>
      </c>
      <c r="L723" s="2" t="s">
        <v>32</v>
      </c>
      <c r="M723" t="s">
        <v>1326</v>
      </c>
      <c r="N723">
        <v>26.5</v>
      </c>
      <c r="P723" t="s">
        <v>37</v>
      </c>
      <c r="Q723" t="s">
        <v>42</v>
      </c>
      <c r="R723" t="s">
        <v>39</v>
      </c>
      <c r="S723" s="4">
        <v>38.500709999999998</v>
      </c>
      <c r="T723" s="4">
        <v>-122.09948</v>
      </c>
      <c r="U723">
        <v>430</v>
      </c>
      <c r="V723" s="6">
        <f t="shared" si="49"/>
        <v>131.06399999999999</v>
      </c>
      <c r="W723" t="s">
        <v>2015</v>
      </c>
      <c r="X723" s="2" t="s">
        <v>2387</v>
      </c>
      <c r="Y723" s="2" t="s">
        <v>73</v>
      </c>
      <c r="Z723" t="s">
        <v>1767</v>
      </c>
      <c r="AA723" t="s">
        <v>1885</v>
      </c>
      <c r="AJ723" s="41">
        <v>0</v>
      </c>
      <c r="AL723">
        <f t="shared" si="50"/>
        <v>0</v>
      </c>
      <c r="AM723">
        <f t="shared" si="51"/>
        <v>0</v>
      </c>
      <c r="AN723">
        <f t="shared" si="52"/>
        <v>0</v>
      </c>
    </row>
    <row r="724" spans="1:40" x14ac:dyDescent="0.2">
      <c r="A724" s="2">
        <v>74</v>
      </c>
      <c r="B724" t="s">
        <v>1625</v>
      </c>
      <c r="C724" s="2">
        <v>0</v>
      </c>
      <c r="D724">
        <v>0</v>
      </c>
      <c r="E724">
        <v>0</v>
      </c>
      <c r="G724" s="2" t="s">
        <v>1186</v>
      </c>
      <c r="H724" s="2" t="s">
        <v>1191</v>
      </c>
      <c r="I724" s="2">
        <v>15</v>
      </c>
      <c r="J724" s="2" t="s">
        <v>1276</v>
      </c>
      <c r="K724">
        <v>2019</v>
      </c>
      <c r="L724" s="2" t="s">
        <v>758</v>
      </c>
      <c r="M724" t="s">
        <v>1326</v>
      </c>
      <c r="N724">
        <v>26</v>
      </c>
      <c r="P724" t="s">
        <v>30</v>
      </c>
      <c r="R724" t="s">
        <v>89</v>
      </c>
      <c r="S724" s="4">
        <v>38.500799999999998</v>
      </c>
      <c r="T724" s="4">
        <v>-122.09943</v>
      </c>
      <c r="U724">
        <v>439</v>
      </c>
      <c r="V724" s="6">
        <f t="shared" si="49"/>
        <v>133.80719999999999</v>
      </c>
      <c r="W724" t="s">
        <v>2015</v>
      </c>
      <c r="X724" s="2" t="s">
        <v>2387</v>
      </c>
      <c r="Y724" s="2" t="s">
        <v>733</v>
      </c>
      <c r="Z724" t="s">
        <v>1767</v>
      </c>
      <c r="AA724" t="s">
        <v>1886</v>
      </c>
      <c r="AJ724" s="41">
        <v>0</v>
      </c>
      <c r="AL724">
        <f t="shared" si="50"/>
        <v>0</v>
      </c>
      <c r="AM724">
        <f t="shared" si="51"/>
        <v>0</v>
      </c>
      <c r="AN724">
        <f t="shared" si="52"/>
        <v>0</v>
      </c>
    </row>
    <row r="725" spans="1:40" x14ac:dyDescent="0.2">
      <c r="A725" s="2">
        <v>74</v>
      </c>
      <c r="B725" t="s">
        <v>1626</v>
      </c>
      <c r="C725" s="2">
        <v>0</v>
      </c>
      <c r="D725">
        <v>0</v>
      </c>
      <c r="E725">
        <v>0</v>
      </c>
      <c r="G725" s="2" t="s">
        <v>1186</v>
      </c>
      <c r="H725" s="2" t="s">
        <v>1191</v>
      </c>
      <c r="I725" s="2">
        <v>15</v>
      </c>
      <c r="J725" s="2" t="s">
        <v>1276</v>
      </c>
      <c r="K725">
        <v>2019</v>
      </c>
      <c r="L725" s="2" t="s">
        <v>758</v>
      </c>
      <c r="M725" t="s">
        <v>1326</v>
      </c>
      <c r="N725">
        <v>29</v>
      </c>
      <c r="P725" t="s">
        <v>37</v>
      </c>
      <c r="R725" t="s">
        <v>89</v>
      </c>
      <c r="S725" s="4">
        <v>38.500799999999998</v>
      </c>
      <c r="T725" s="4">
        <v>-122.09943</v>
      </c>
      <c r="U725">
        <v>439</v>
      </c>
      <c r="V725" s="6">
        <f t="shared" si="49"/>
        <v>133.80719999999999</v>
      </c>
      <c r="W725" t="s">
        <v>2015</v>
      </c>
      <c r="X725" s="2" t="s">
        <v>2387</v>
      </c>
      <c r="Y725" s="2" t="s">
        <v>79</v>
      </c>
      <c r="Z725" t="s">
        <v>1767</v>
      </c>
      <c r="AA725" t="s">
        <v>1887</v>
      </c>
      <c r="AJ725" s="41">
        <v>0</v>
      </c>
      <c r="AL725">
        <f t="shared" si="50"/>
        <v>0</v>
      </c>
      <c r="AM725">
        <f t="shared" si="51"/>
        <v>0</v>
      </c>
      <c r="AN725">
        <f t="shared" si="52"/>
        <v>0</v>
      </c>
    </row>
    <row r="726" spans="1:40" x14ac:dyDescent="0.2">
      <c r="A726" s="2">
        <v>75</v>
      </c>
      <c r="B726" t="s">
        <v>1950</v>
      </c>
      <c r="C726">
        <v>5.1867827773094177E-2</v>
      </c>
      <c r="D726">
        <v>3.9009522646665573E-2</v>
      </c>
      <c r="E726" s="2">
        <v>2.2056747000000002E-2</v>
      </c>
      <c r="G726" s="2" t="s">
        <v>1186</v>
      </c>
      <c r="H726" s="2" t="s">
        <v>1191</v>
      </c>
      <c r="I726" s="2">
        <v>22</v>
      </c>
      <c r="J726" s="2" t="s">
        <v>2500</v>
      </c>
      <c r="K726">
        <v>2019</v>
      </c>
      <c r="L726" s="2" t="s">
        <v>691</v>
      </c>
      <c r="M726" t="s">
        <v>897</v>
      </c>
      <c r="N726">
        <v>47</v>
      </c>
      <c r="O726">
        <f>57-43</f>
        <v>14</v>
      </c>
      <c r="P726" t="s">
        <v>1981</v>
      </c>
      <c r="R726" t="s">
        <v>89</v>
      </c>
      <c r="S726" s="4">
        <v>37.379309999999997</v>
      </c>
      <c r="T726" s="4">
        <v>-121.73188</v>
      </c>
      <c r="U726">
        <v>1868</v>
      </c>
      <c r="V726" s="6">
        <f t="shared" si="49"/>
        <v>569.3664</v>
      </c>
      <c r="W726" t="s">
        <v>898</v>
      </c>
      <c r="X726" s="2" t="s">
        <v>2160</v>
      </c>
      <c r="Y726" s="2" t="s">
        <v>249</v>
      </c>
      <c r="AA726" t="s">
        <v>1965</v>
      </c>
      <c r="AJ726" s="41">
        <v>0</v>
      </c>
      <c r="AL726">
        <f t="shared" si="50"/>
        <v>4.1494262218475342</v>
      </c>
      <c r="AM726">
        <f t="shared" si="51"/>
        <v>3.1207618117332458</v>
      </c>
      <c r="AN726">
        <f t="shared" si="52"/>
        <v>1.7645397600000001</v>
      </c>
    </row>
    <row r="727" spans="1:40" x14ac:dyDescent="0.2">
      <c r="A727" s="2">
        <v>75</v>
      </c>
      <c r="B727" t="s">
        <v>1951</v>
      </c>
      <c r="C727">
        <v>0</v>
      </c>
      <c r="D727">
        <v>0</v>
      </c>
      <c r="E727">
        <v>0</v>
      </c>
      <c r="G727" s="2" t="s">
        <v>1186</v>
      </c>
      <c r="H727" s="2" t="s">
        <v>1191</v>
      </c>
      <c r="I727" s="2">
        <v>22</v>
      </c>
      <c r="J727" s="2" t="s">
        <v>2500</v>
      </c>
      <c r="K727">
        <v>2019</v>
      </c>
      <c r="L727" s="2" t="s">
        <v>691</v>
      </c>
      <c r="M727" t="s">
        <v>897</v>
      </c>
      <c r="N727">
        <v>102</v>
      </c>
      <c r="O727" t="s">
        <v>43</v>
      </c>
      <c r="P727" t="s">
        <v>1981</v>
      </c>
      <c r="R727" s="2" t="s">
        <v>89</v>
      </c>
      <c r="S727" s="4">
        <v>37.379309999999997</v>
      </c>
      <c r="T727" s="4">
        <v>-121.73188</v>
      </c>
      <c r="U727">
        <v>1868</v>
      </c>
      <c r="V727" s="6">
        <f t="shared" si="49"/>
        <v>569.3664</v>
      </c>
      <c r="W727" t="s">
        <v>898</v>
      </c>
      <c r="X727" s="2" t="s">
        <v>2160</v>
      </c>
      <c r="Y727" s="2" t="s">
        <v>257</v>
      </c>
      <c r="AA727" t="s">
        <v>1966</v>
      </c>
      <c r="AJ727" s="41">
        <v>0</v>
      </c>
      <c r="AL727">
        <f t="shared" si="50"/>
        <v>0</v>
      </c>
      <c r="AM727">
        <f t="shared" si="51"/>
        <v>0</v>
      </c>
      <c r="AN727">
        <f t="shared" si="52"/>
        <v>0</v>
      </c>
    </row>
    <row r="728" spans="1:40" x14ac:dyDescent="0.2">
      <c r="A728" s="2">
        <v>75</v>
      </c>
      <c r="B728" t="s">
        <v>1952</v>
      </c>
      <c r="C728">
        <v>0</v>
      </c>
      <c r="D728">
        <v>0</v>
      </c>
      <c r="E728">
        <v>0</v>
      </c>
      <c r="G728" s="2" t="s">
        <v>1186</v>
      </c>
      <c r="H728" s="2" t="s">
        <v>1191</v>
      </c>
      <c r="I728" s="2">
        <v>22</v>
      </c>
      <c r="J728" s="2" t="s">
        <v>2500</v>
      </c>
      <c r="K728">
        <v>2019</v>
      </c>
      <c r="L728" s="2" t="s">
        <v>691</v>
      </c>
      <c r="M728" t="s">
        <v>897</v>
      </c>
      <c r="N728">
        <v>50</v>
      </c>
      <c r="O728">
        <f>40-26.5</f>
        <v>13.5</v>
      </c>
      <c r="P728" t="s">
        <v>1981</v>
      </c>
      <c r="R728" t="s">
        <v>89</v>
      </c>
      <c r="S728" s="4">
        <v>37.379309999999997</v>
      </c>
      <c r="T728" s="4">
        <v>-121.73188</v>
      </c>
      <c r="U728">
        <v>1868</v>
      </c>
      <c r="V728" s="6">
        <f t="shared" si="49"/>
        <v>569.3664</v>
      </c>
      <c r="W728" t="s">
        <v>898</v>
      </c>
      <c r="X728" s="2" t="s">
        <v>2160</v>
      </c>
      <c r="Y728" s="2" t="s">
        <v>267</v>
      </c>
      <c r="AA728" t="s">
        <v>1967</v>
      </c>
      <c r="AJ728" s="41">
        <v>0</v>
      </c>
      <c r="AL728">
        <f t="shared" si="50"/>
        <v>0</v>
      </c>
      <c r="AM728">
        <f t="shared" si="51"/>
        <v>0</v>
      </c>
      <c r="AN728">
        <f t="shared" si="52"/>
        <v>0</v>
      </c>
    </row>
    <row r="729" spans="1:40" x14ac:dyDescent="0.2">
      <c r="A729" s="2">
        <v>75</v>
      </c>
      <c r="B729" t="s">
        <v>1953</v>
      </c>
      <c r="C729">
        <v>0</v>
      </c>
      <c r="D729">
        <v>0</v>
      </c>
      <c r="E729">
        <v>0</v>
      </c>
      <c r="G729" s="2" t="s">
        <v>1186</v>
      </c>
      <c r="H729" s="2" t="s">
        <v>1191</v>
      </c>
      <c r="I729" s="2">
        <v>22</v>
      </c>
      <c r="J729" s="2" t="s">
        <v>2500</v>
      </c>
      <c r="K729">
        <v>2019</v>
      </c>
      <c r="L729" s="2" t="s">
        <v>691</v>
      </c>
      <c r="M729" t="s">
        <v>897</v>
      </c>
      <c r="N729">
        <v>48</v>
      </c>
      <c r="O729">
        <f>47-33</f>
        <v>14</v>
      </c>
      <c r="P729" t="s">
        <v>1981</v>
      </c>
      <c r="R729" t="s">
        <v>89</v>
      </c>
      <c r="S729" s="4">
        <v>37.379309999999997</v>
      </c>
      <c r="T729" s="4">
        <v>-121.73188</v>
      </c>
      <c r="U729">
        <v>1868</v>
      </c>
      <c r="V729" s="6">
        <f t="shared" si="49"/>
        <v>569.3664</v>
      </c>
      <c r="W729" t="s">
        <v>898</v>
      </c>
      <c r="X729" s="2" t="s">
        <v>2160</v>
      </c>
      <c r="Y729" s="2" t="s">
        <v>461</v>
      </c>
      <c r="AA729" t="s">
        <v>1968</v>
      </c>
      <c r="AJ729" s="41">
        <v>0</v>
      </c>
      <c r="AL729">
        <f t="shared" si="50"/>
        <v>0</v>
      </c>
      <c r="AM729">
        <f t="shared" si="51"/>
        <v>0</v>
      </c>
      <c r="AN729">
        <f t="shared" si="52"/>
        <v>0</v>
      </c>
    </row>
    <row r="730" spans="1:40" x14ac:dyDescent="0.2">
      <c r="A730" s="2">
        <v>75</v>
      </c>
      <c r="B730" t="s">
        <v>1954</v>
      </c>
      <c r="C730">
        <v>0</v>
      </c>
      <c r="D730">
        <v>0</v>
      </c>
      <c r="E730">
        <v>0</v>
      </c>
      <c r="G730" s="2" t="s">
        <v>1186</v>
      </c>
      <c r="H730" s="2" t="s">
        <v>1191</v>
      </c>
      <c r="I730" s="2">
        <v>22</v>
      </c>
      <c r="J730" s="2" t="s">
        <v>2500</v>
      </c>
      <c r="K730">
        <v>2019</v>
      </c>
      <c r="L730" s="2" t="s">
        <v>691</v>
      </c>
      <c r="M730" t="s">
        <v>897</v>
      </c>
      <c r="N730">
        <v>46</v>
      </c>
      <c r="O730">
        <f>56-45</f>
        <v>11</v>
      </c>
      <c r="P730" t="s">
        <v>1981</v>
      </c>
      <c r="R730" t="s">
        <v>89</v>
      </c>
      <c r="S730" s="4">
        <v>37.379309999999997</v>
      </c>
      <c r="T730" s="4">
        <v>-121.73188</v>
      </c>
      <c r="U730">
        <v>1868</v>
      </c>
      <c r="V730" s="6">
        <f t="shared" si="49"/>
        <v>569.3664</v>
      </c>
      <c r="W730" t="s">
        <v>898</v>
      </c>
      <c r="X730" s="2" t="s">
        <v>2160</v>
      </c>
      <c r="Y730" s="2" t="s">
        <v>891</v>
      </c>
      <c r="AA730" t="s">
        <v>1969</v>
      </c>
      <c r="AJ730" s="41">
        <v>0</v>
      </c>
      <c r="AL730">
        <f t="shared" si="50"/>
        <v>0</v>
      </c>
      <c r="AM730">
        <f t="shared" si="51"/>
        <v>0</v>
      </c>
      <c r="AN730">
        <f t="shared" si="52"/>
        <v>0</v>
      </c>
    </row>
    <row r="731" spans="1:40" x14ac:dyDescent="0.2">
      <c r="A731" s="2">
        <v>75</v>
      </c>
      <c r="B731" t="s">
        <v>1955</v>
      </c>
      <c r="C731">
        <v>0.17966964840888977</v>
      </c>
      <c r="D731">
        <v>0.26384839415550232</v>
      </c>
      <c r="E731">
        <v>0.10215465724468231</v>
      </c>
      <c r="G731" s="2" t="s">
        <v>1186</v>
      </c>
      <c r="H731" s="2" t="s">
        <v>1191</v>
      </c>
      <c r="I731" s="2">
        <v>22</v>
      </c>
      <c r="J731" s="2" t="s">
        <v>2500</v>
      </c>
      <c r="K731">
        <v>2019</v>
      </c>
      <c r="L731" s="2" t="s">
        <v>691</v>
      </c>
      <c r="M731" t="s">
        <v>897</v>
      </c>
      <c r="N731">
        <v>45</v>
      </c>
      <c r="O731">
        <f>36-26</f>
        <v>10</v>
      </c>
      <c r="P731" t="s">
        <v>1981</v>
      </c>
      <c r="R731" t="s">
        <v>89</v>
      </c>
      <c r="S731" s="4">
        <v>37.379309999999997</v>
      </c>
      <c r="T731" s="4">
        <v>-121.73188</v>
      </c>
      <c r="U731">
        <v>1868</v>
      </c>
      <c r="V731" s="6">
        <f t="shared" si="49"/>
        <v>569.3664</v>
      </c>
      <c r="W731" t="s">
        <v>898</v>
      </c>
      <c r="X731" s="2" t="s">
        <v>2160</v>
      </c>
      <c r="Y731" s="2" t="s">
        <v>783</v>
      </c>
      <c r="AA731" t="s">
        <v>1970</v>
      </c>
      <c r="AJ731" s="41">
        <v>0</v>
      </c>
      <c r="AL731">
        <f t="shared" si="50"/>
        <v>14.373571872711182</v>
      </c>
      <c r="AM731">
        <f t="shared" si="51"/>
        <v>21.107871532440186</v>
      </c>
      <c r="AN731">
        <f t="shared" si="52"/>
        <v>8.172372579574585</v>
      </c>
    </row>
    <row r="732" spans="1:40" x14ac:dyDescent="0.2">
      <c r="A732" s="2">
        <v>75</v>
      </c>
      <c r="B732" t="s">
        <v>1956</v>
      </c>
      <c r="C732">
        <v>1.7247127369046211E-2</v>
      </c>
      <c r="D732" s="2">
        <v>0</v>
      </c>
      <c r="E732" s="2">
        <v>0</v>
      </c>
      <c r="G732" s="2" t="s">
        <v>1186</v>
      </c>
      <c r="H732" s="2" t="s">
        <v>1191</v>
      </c>
      <c r="I732" s="2">
        <v>22</v>
      </c>
      <c r="J732" s="2" t="s">
        <v>2500</v>
      </c>
      <c r="K732">
        <v>2019</v>
      </c>
      <c r="L732" s="2" t="s">
        <v>691</v>
      </c>
      <c r="M732" t="s">
        <v>897</v>
      </c>
      <c r="N732">
        <v>46</v>
      </c>
      <c r="O732">
        <f>27-15</f>
        <v>12</v>
      </c>
      <c r="P732" t="s">
        <v>1981</v>
      </c>
      <c r="R732" t="s">
        <v>89</v>
      </c>
      <c r="S732" s="4">
        <v>37.379309999999997</v>
      </c>
      <c r="T732" s="4">
        <v>-121.73188</v>
      </c>
      <c r="U732">
        <v>1868</v>
      </c>
      <c r="V732" s="6">
        <f t="shared" si="49"/>
        <v>569.3664</v>
      </c>
      <c r="W732" t="s">
        <v>898</v>
      </c>
      <c r="X732" s="2" t="s">
        <v>2160</v>
      </c>
      <c r="Y732" s="2" t="s">
        <v>363</v>
      </c>
      <c r="AA732" t="s">
        <v>1971</v>
      </c>
      <c r="AJ732" s="41">
        <v>0</v>
      </c>
      <c r="AL732">
        <f t="shared" si="50"/>
        <v>1.3797701895236969</v>
      </c>
      <c r="AM732">
        <f t="shared" si="51"/>
        <v>0</v>
      </c>
      <c r="AN732">
        <f t="shared" si="52"/>
        <v>0</v>
      </c>
    </row>
    <row r="733" spans="1:40" x14ac:dyDescent="0.2">
      <c r="A733" s="2">
        <v>75</v>
      </c>
      <c r="B733" t="s">
        <v>1957</v>
      </c>
      <c r="C733">
        <v>0</v>
      </c>
      <c r="D733" s="2">
        <v>0</v>
      </c>
      <c r="E733" s="2">
        <v>0</v>
      </c>
      <c r="G733" s="2" t="s">
        <v>1186</v>
      </c>
      <c r="H733" s="2" t="s">
        <v>1191</v>
      </c>
      <c r="I733" s="2">
        <v>22</v>
      </c>
      <c r="J733" s="2" t="s">
        <v>2500</v>
      </c>
      <c r="K733">
        <v>2019</v>
      </c>
      <c r="L733" s="2" t="s">
        <v>691</v>
      </c>
      <c r="M733" t="s">
        <v>897</v>
      </c>
      <c r="N733">
        <v>48</v>
      </c>
      <c r="O733">
        <f>35-24</f>
        <v>11</v>
      </c>
      <c r="P733" t="s">
        <v>1981</v>
      </c>
      <c r="R733" t="s">
        <v>89</v>
      </c>
      <c r="S733" s="4">
        <v>37.379309999999997</v>
      </c>
      <c r="T733" s="4">
        <v>-121.73188</v>
      </c>
      <c r="U733">
        <v>1868</v>
      </c>
      <c r="V733" s="6">
        <f t="shared" si="49"/>
        <v>569.3664</v>
      </c>
      <c r="W733" t="s">
        <v>898</v>
      </c>
      <c r="X733" s="2" t="s">
        <v>2160</v>
      </c>
      <c r="Y733" s="2" t="s">
        <v>304</v>
      </c>
      <c r="AA733" t="s">
        <v>1972</v>
      </c>
      <c r="AJ733" s="41">
        <v>0</v>
      </c>
      <c r="AL733">
        <f t="shared" si="50"/>
        <v>0</v>
      </c>
      <c r="AM733">
        <f t="shared" si="51"/>
        <v>0</v>
      </c>
      <c r="AN733">
        <f t="shared" si="52"/>
        <v>0</v>
      </c>
    </row>
    <row r="734" spans="1:40" x14ac:dyDescent="0.2">
      <c r="A734" s="2">
        <v>75</v>
      </c>
      <c r="B734" t="s">
        <v>1958</v>
      </c>
      <c r="C734">
        <v>0</v>
      </c>
      <c r="D734" s="2">
        <v>0</v>
      </c>
      <c r="E734" s="2">
        <v>0</v>
      </c>
      <c r="G734" s="2" t="s">
        <v>1186</v>
      </c>
      <c r="H734" s="2" t="s">
        <v>1191</v>
      </c>
      <c r="I734" s="2">
        <v>22</v>
      </c>
      <c r="J734" s="2" t="s">
        <v>2500</v>
      </c>
      <c r="K734">
        <v>2019</v>
      </c>
      <c r="L734" s="2" t="s">
        <v>691</v>
      </c>
      <c r="M734" t="s">
        <v>897</v>
      </c>
      <c r="N734">
        <v>49</v>
      </c>
      <c r="O734">
        <f>39-28</f>
        <v>11</v>
      </c>
      <c r="P734" t="s">
        <v>1981</v>
      </c>
      <c r="R734" t="s">
        <v>89</v>
      </c>
      <c r="S734" s="4">
        <v>37.379309999999997</v>
      </c>
      <c r="T734" s="4">
        <v>-121.73188</v>
      </c>
      <c r="U734">
        <v>1868</v>
      </c>
      <c r="V734" s="6">
        <f t="shared" si="49"/>
        <v>569.3664</v>
      </c>
      <c r="W734" t="s">
        <v>898</v>
      </c>
      <c r="X734" s="2" t="s">
        <v>2160</v>
      </c>
      <c r="Y734" s="2" t="s">
        <v>754</v>
      </c>
      <c r="AA734" t="s">
        <v>1973</v>
      </c>
      <c r="AJ734" s="41">
        <v>0</v>
      </c>
      <c r="AL734">
        <f t="shared" si="50"/>
        <v>0</v>
      </c>
      <c r="AM734">
        <f t="shared" si="51"/>
        <v>0</v>
      </c>
      <c r="AN734">
        <f t="shared" si="52"/>
        <v>0</v>
      </c>
    </row>
    <row r="735" spans="1:40" x14ac:dyDescent="0.2">
      <c r="A735" s="2">
        <v>75</v>
      </c>
      <c r="B735" t="s">
        <v>1959</v>
      </c>
      <c r="C735">
        <v>0</v>
      </c>
      <c r="D735" s="2">
        <v>0</v>
      </c>
      <c r="E735" s="2">
        <v>0</v>
      </c>
      <c r="G735" s="2" t="s">
        <v>1186</v>
      </c>
      <c r="H735" s="2" t="s">
        <v>1191</v>
      </c>
      <c r="I735" s="2">
        <v>22</v>
      </c>
      <c r="J735" s="2" t="s">
        <v>2500</v>
      </c>
      <c r="K735">
        <v>2019</v>
      </c>
      <c r="L735" s="2" t="s">
        <v>691</v>
      </c>
      <c r="M735" t="s">
        <v>897</v>
      </c>
      <c r="N735">
        <v>46.5</v>
      </c>
      <c r="O735">
        <f>79-67</f>
        <v>12</v>
      </c>
      <c r="P735" t="s">
        <v>1981</v>
      </c>
      <c r="R735" t="s">
        <v>89</v>
      </c>
      <c r="S735" s="4">
        <v>37.379309999999997</v>
      </c>
      <c r="T735" s="4">
        <v>-121.73188</v>
      </c>
      <c r="U735">
        <v>1868</v>
      </c>
      <c r="V735" s="6">
        <f t="shared" si="49"/>
        <v>569.3664</v>
      </c>
      <c r="W735" t="s">
        <v>898</v>
      </c>
      <c r="X735" s="2" t="s">
        <v>2160</v>
      </c>
      <c r="Y735" s="2" t="s">
        <v>597</v>
      </c>
      <c r="AA735" t="s">
        <v>1974</v>
      </c>
      <c r="AJ735" s="41">
        <v>0</v>
      </c>
      <c r="AL735">
        <f t="shared" si="50"/>
        <v>0</v>
      </c>
      <c r="AM735">
        <f t="shared" si="51"/>
        <v>0</v>
      </c>
      <c r="AN735">
        <f t="shared" si="52"/>
        <v>0</v>
      </c>
    </row>
    <row r="736" spans="1:40" x14ac:dyDescent="0.2">
      <c r="A736" s="2">
        <v>75</v>
      </c>
      <c r="B736" t="s">
        <v>1960</v>
      </c>
      <c r="C736">
        <v>1.7453958988189697</v>
      </c>
      <c r="D736">
        <v>2.2592730820178986E-2</v>
      </c>
      <c r="E736">
        <v>3.1576599925756454E-2</v>
      </c>
      <c r="G736" s="2" t="s">
        <v>1186</v>
      </c>
      <c r="H736" s="2" t="s">
        <v>1191</v>
      </c>
      <c r="I736" s="2">
        <v>22</v>
      </c>
      <c r="J736" s="2" t="s">
        <v>2500</v>
      </c>
      <c r="K736">
        <v>2019</v>
      </c>
      <c r="L736" s="2" t="s">
        <v>691</v>
      </c>
      <c r="M736" t="s">
        <v>897</v>
      </c>
      <c r="N736">
        <v>45</v>
      </c>
      <c r="O736">
        <f>72-62</f>
        <v>10</v>
      </c>
      <c r="P736" t="s">
        <v>1981</v>
      </c>
      <c r="R736" t="s">
        <v>89</v>
      </c>
      <c r="S736" s="4">
        <v>37.379309999999997</v>
      </c>
      <c r="T736" s="4">
        <v>-121.73188</v>
      </c>
      <c r="U736">
        <v>1868</v>
      </c>
      <c r="V736" s="6">
        <f t="shared" si="49"/>
        <v>569.3664</v>
      </c>
      <c r="W736" t="s">
        <v>898</v>
      </c>
      <c r="X736" s="2" t="s">
        <v>2160</v>
      </c>
      <c r="Y736" s="2" t="s">
        <v>1597</v>
      </c>
      <c r="AA736" t="s">
        <v>1975</v>
      </c>
      <c r="AJ736" s="41">
        <v>0</v>
      </c>
      <c r="AL736">
        <f t="shared" si="50"/>
        <v>139.63167190551758</v>
      </c>
      <c r="AM736">
        <f t="shared" si="51"/>
        <v>1.8074184656143188</v>
      </c>
      <c r="AN736">
        <f t="shared" si="52"/>
        <v>2.5261279940605164</v>
      </c>
    </row>
    <row r="737" spans="1:40" x14ac:dyDescent="0.2">
      <c r="A737" s="2">
        <v>75</v>
      </c>
      <c r="B737" t="s">
        <v>1961</v>
      </c>
      <c r="C737">
        <v>0</v>
      </c>
      <c r="D737">
        <v>0</v>
      </c>
      <c r="E737">
        <v>0</v>
      </c>
      <c r="G737" s="2" t="s">
        <v>1186</v>
      </c>
      <c r="H737" s="2" t="s">
        <v>1186</v>
      </c>
      <c r="I737" s="2">
        <v>22</v>
      </c>
      <c r="J737" s="2" t="s">
        <v>2500</v>
      </c>
      <c r="K737">
        <v>2019</v>
      </c>
      <c r="L737" s="2" t="s">
        <v>691</v>
      </c>
      <c r="M737" t="s">
        <v>897</v>
      </c>
      <c r="N737">
        <v>46</v>
      </c>
      <c r="O737">
        <f>43-32</f>
        <v>11</v>
      </c>
      <c r="P737" t="s">
        <v>1981</v>
      </c>
      <c r="R737" t="s">
        <v>89</v>
      </c>
      <c r="S737" s="4">
        <v>37.379309999999997</v>
      </c>
      <c r="T737" s="4">
        <v>-121.73188</v>
      </c>
      <c r="U737">
        <v>1868</v>
      </c>
      <c r="V737" s="6">
        <f t="shared" si="49"/>
        <v>569.3664</v>
      </c>
      <c r="W737" t="s">
        <v>898</v>
      </c>
      <c r="X737" s="2" t="s">
        <v>2160</v>
      </c>
      <c r="Y737" s="2" t="s">
        <v>87</v>
      </c>
      <c r="Z737" t="s">
        <v>1986</v>
      </c>
      <c r="AA737" t="s">
        <v>1976</v>
      </c>
      <c r="AJ737" s="41">
        <v>0</v>
      </c>
      <c r="AL737">
        <f t="shared" si="50"/>
        <v>0</v>
      </c>
      <c r="AM737">
        <f t="shared" si="51"/>
        <v>0</v>
      </c>
      <c r="AN737">
        <f t="shared" si="52"/>
        <v>0</v>
      </c>
    </row>
    <row r="738" spans="1:40" x14ac:dyDescent="0.2">
      <c r="A738" s="2">
        <v>75</v>
      </c>
      <c r="B738" t="s">
        <v>1962</v>
      </c>
      <c r="C738">
        <v>0</v>
      </c>
      <c r="D738">
        <v>0</v>
      </c>
      <c r="E738">
        <v>0</v>
      </c>
      <c r="G738" s="2" t="s">
        <v>1186</v>
      </c>
      <c r="H738" s="2" t="s">
        <v>1191</v>
      </c>
      <c r="I738" s="2">
        <v>22</v>
      </c>
      <c r="J738" s="2" t="s">
        <v>2500</v>
      </c>
      <c r="K738">
        <v>2019</v>
      </c>
      <c r="L738" s="2" t="s">
        <v>691</v>
      </c>
      <c r="M738" t="s">
        <v>897</v>
      </c>
      <c r="N738">
        <v>51</v>
      </c>
      <c r="O738">
        <f>61-50</f>
        <v>11</v>
      </c>
      <c r="P738" t="s">
        <v>1981</v>
      </c>
      <c r="R738" t="s">
        <v>89</v>
      </c>
      <c r="S738" s="4">
        <v>37.379309999999997</v>
      </c>
      <c r="T738" s="4">
        <v>-121.73188</v>
      </c>
      <c r="U738">
        <v>1868</v>
      </c>
      <c r="V738" s="6">
        <f t="shared" si="49"/>
        <v>569.3664</v>
      </c>
      <c r="W738" t="s">
        <v>898</v>
      </c>
      <c r="X738" s="2" t="s">
        <v>2160</v>
      </c>
      <c r="Y738" s="2" t="s">
        <v>104</v>
      </c>
      <c r="AJ738" s="41">
        <v>0</v>
      </c>
      <c r="AL738">
        <f t="shared" si="50"/>
        <v>0</v>
      </c>
      <c r="AM738">
        <f t="shared" si="51"/>
        <v>0</v>
      </c>
      <c r="AN738">
        <f t="shared" si="52"/>
        <v>0</v>
      </c>
    </row>
    <row r="739" spans="1:40" x14ac:dyDescent="0.2">
      <c r="A739" s="2">
        <v>75</v>
      </c>
      <c r="B739" t="s">
        <v>1963</v>
      </c>
      <c r="C739">
        <v>0</v>
      </c>
      <c r="D739">
        <v>0</v>
      </c>
      <c r="E739">
        <v>0</v>
      </c>
      <c r="G739" s="2" t="s">
        <v>1186</v>
      </c>
      <c r="H739" s="2" t="s">
        <v>1191</v>
      </c>
      <c r="I739" s="2">
        <v>22</v>
      </c>
      <c r="J739" s="2" t="s">
        <v>2500</v>
      </c>
      <c r="K739">
        <v>2019</v>
      </c>
      <c r="L739" s="2" t="s">
        <v>691</v>
      </c>
      <c r="M739" t="s">
        <v>897</v>
      </c>
      <c r="N739">
        <v>46</v>
      </c>
      <c r="O739">
        <f>46-34</f>
        <v>12</v>
      </c>
      <c r="P739" t="s">
        <v>1981</v>
      </c>
      <c r="R739" t="s">
        <v>89</v>
      </c>
      <c r="S739" s="4">
        <v>37.379309999999997</v>
      </c>
      <c r="T739" s="4">
        <v>-121.73188</v>
      </c>
      <c r="U739">
        <v>1868</v>
      </c>
      <c r="V739" s="6">
        <f t="shared" si="49"/>
        <v>569.3664</v>
      </c>
      <c r="W739" t="s">
        <v>898</v>
      </c>
      <c r="X739" s="2" t="s">
        <v>2160</v>
      </c>
      <c r="Y739" s="2" t="s">
        <v>556</v>
      </c>
      <c r="AJ739" s="41">
        <v>0</v>
      </c>
      <c r="AL739">
        <f t="shared" si="50"/>
        <v>0</v>
      </c>
      <c r="AM739">
        <f t="shared" si="51"/>
        <v>0</v>
      </c>
      <c r="AN739">
        <f t="shared" si="52"/>
        <v>0</v>
      </c>
    </row>
    <row r="740" spans="1:40" x14ac:dyDescent="0.2">
      <c r="A740" s="2">
        <v>75</v>
      </c>
      <c r="B740" t="s">
        <v>1964</v>
      </c>
      <c r="C740">
        <v>0</v>
      </c>
      <c r="D740">
        <v>0</v>
      </c>
      <c r="E740">
        <v>0</v>
      </c>
      <c r="G740" s="2" t="s">
        <v>1186</v>
      </c>
      <c r="H740" s="2" t="s">
        <v>1186</v>
      </c>
      <c r="I740" s="2">
        <v>22</v>
      </c>
      <c r="J740" s="2" t="s">
        <v>2500</v>
      </c>
      <c r="K740">
        <v>2019</v>
      </c>
      <c r="L740" s="2" t="s">
        <v>691</v>
      </c>
      <c r="M740" t="s">
        <v>897</v>
      </c>
      <c r="N740">
        <v>45</v>
      </c>
      <c r="O740">
        <f>79-68</f>
        <v>11</v>
      </c>
      <c r="P740" t="s">
        <v>1981</v>
      </c>
      <c r="R740" t="s">
        <v>89</v>
      </c>
      <c r="S740" s="4">
        <v>37.379309999999997</v>
      </c>
      <c r="T740" s="4">
        <v>-121.73188</v>
      </c>
      <c r="U740">
        <v>1868</v>
      </c>
      <c r="V740" s="6">
        <f t="shared" si="49"/>
        <v>569.3664</v>
      </c>
      <c r="W740" t="s">
        <v>898</v>
      </c>
      <c r="X740" s="2" t="s">
        <v>2160</v>
      </c>
      <c r="Y740" s="2" t="s">
        <v>1109</v>
      </c>
      <c r="AJ740" s="41">
        <v>0</v>
      </c>
      <c r="AL740">
        <f t="shared" si="50"/>
        <v>0</v>
      </c>
      <c r="AM740">
        <f t="shared" si="51"/>
        <v>0</v>
      </c>
      <c r="AN740">
        <f t="shared" si="52"/>
        <v>0</v>
      </c>
    </row>
    <row r="741" spans="1:40" x14ac:dyDescent="0.2">
      <c r="A741" s="2">
        <v>76</v>
      </c>
      <c r="B741" t="s">
        <v>1977</v>
      </c>
      <c r="C741">
        <v>0</v>
      </c>
      <c r="D741">
        <v>1.8746981397271156E-2</v>
      </c>
      <c r="E741">
        <v>0</v>
      </c>
      <c r="G741" s="2" t="s">
        <v>1186</v>
      </c>
      <c r="H741" s="2" t="s">
        <v>1191</v>
      </c>
      <c r="I741" s="2">
        <v>23</v>
      </c>
      <c r="J741" s="2" t="s">
        <v>2500</v>
      </c>
      <c r="K741">
        <v>2019</v>
      </c>
      <c r="L741" s="2" t="s">
        <v>34</v>
      </c>
      <c r="M741" t="s">
        <v>1934</v>
      </c>
      <c r="N741">
        <v>19.5</v>
      </c>
      <c r="O741">
        <f>23.5-22</f>
        <v>1.5</v>
      </c>
      <c r="P741" t="s">
        <v>1982</v>
      </c>
      <c r="R741" s="45" t="s">
        <v>39</v>
      </c>
      <c r="S741" s="4">
        <v>37.645269999999996</v>
      </c>
      <c r="T741" s="4">
        <v>-121.91831000000001</v>
      </c>
      <c r="U741">
        <v>1739</v>
      </c>
      <c r="V741" s="6">
        <f t="shared" si="49"/>
        <v>530.04719999999998</v>
      </c>
      <c r="W741" t="s">
        <v>898</v>
      </c>
      <c r="X741" s="2" t="s">
        <v>1935</v>
      </c>
      <c r="Y741" s="2" t="s">
        <v>1988</v>
      </c>
      <c r="AA741" t="s">
        <v>1983</v>
      </c>
      <c r="AJ741" s="41">
        <v>1</v>
      </c>
      <c r="AL741">
        <f t="shared" si="50"/>
        <v>0</v>
      </c>
      <c r="AM741">
        <f t="shared" si="51"/>
        <v>1.4997585117816925</v>
      </c>
      <c r="AN741">
        <f t="shared" si="52"/>
        <v>0</v>
      </c>
    </row>
    <row r="742" spans="1:40" x14ac:dyDescent="0.2">
      <c r="A742" s="2">
        <v>76</v>
      </c>
      <c r="B742" t="s">
        <v>1978</v>
      </c>
      <c r="C742">
        <v>0</v>
      </c>
      <c r="D742">
        <v>0</v>
      </c>
      <c r="E742">
        <v>0</v>
      </c>
      <c r="G742" s="2" t="s">
        <v>1186</v>
      </c>
      <c r="H742" s="2" t="s">
        <v>1191</v>
      </c>
      <c r="I742" s="2">
        <v>23</v>
      </c>
      <c r="J742" s="2" t="s">
        <v>2500</v>
      </c>
      <c r="K742">
        <v>2019</v>
      </c>
      <c r="L742" s="2" t="s">
        <v>34</v>
      </c>
      <c r="M742" t="s">
        <v>1934</v>
      </c>
      <c r="N742">
        <v>20</v>
      </c>
      <c r="O742">
        <v>1</v>
      </c>
      <c r="P742" t="s">
        <v>1982</v>
      </c>
      <c r="R742" s="45" t="s">
        <v>39</v>
      </c>
      <c r="S742" s="4">
        <v>37.645269999999996</v>
      </c>
      <c r="T742" s="4">
        <v>-121.91831000000001</v>
      </c>
      <c r="U742">
        <v>1739</v>
      </c>
      <c r="V742" s="6">
        <f t="shared" si="49"/>
        <v>530.04719999999998</v>
      </c>
      <c r="W742" t="s">
        <v>898</v>
      </c>
      <c r="X742" s="2" t="s">
        <v>1938</v>
      </c>
      <c r="Y742" s="2" t="s">
        <v>1989</v>
      </c>
      <c r="AA742" t="s">
        <v>1735</v>
      </c>
      <c r="AJ742" s="41">
        <v>1</v>
      </c>
      <c r="AL742">
        <f t="shared" si="50"/>
        <v>0</v>
      </c>
      <c r="AM742">
        <f t="shared" si="51"/>
        <v>0</v>
      </c>
      <c r="AN742">
        <f t="shared" si="52"/>
        <v>0</v>
      </c>
    </row>
    <row r="743" spans="1:40" x14ac:dyDescent="0.2">
      <c r="A743" s="2">
        <v>76</v>
      </c>
      <c r="B743" t="s">
        <v>1979</v>
      </c>
      <c r="C743">
        <v>0</v>
      </c>
      <c r="D743">
        <v>0</v>
      </c>
      <c r="E743">
        <v>0</v>
      </c>
      <c r="G743" s="2" t="s">
        <v>1186</v>
      </c>
      <c r="H743" s="2" t="s">
        <v>1191</v>
      </c>
      <c r="I743" s="2">
        <v>23</v>
      </c>
      <c r="J743" s="2" t="s">
        <v>2500</v>
      </c>
      <c r="K743">
        <v>2019</v>
      </c>
      <c r="L743" s="2" t="s">
        <v>34</v>
      </c>
      <c r="M743" t="s">
        <v>1934</v>
      </c>
      <c r="N743">
        <v>20</v>
      </c>
      <c r="O743">
        <v>1</v>
      </c>
      <c r="P743" t="s">
        <v>1982</v>
      </c>
      <c r="R743" s="45" t="s">
        <v>39</v>
      </c>
      <c r="S743" s="4">
        <v>37.645269999999996</v>
      </c>
      <c r="T743" s="4">
        <v>-121.91831000000001</v>
      </c>
      <c r="U743">
        <v>1739</v>
      </c>
      <c r="V743" s="6">
        <f t="shared" si="49"/>
        <v>530.04719999999998</v>
      </c>
      <c r="W743" t="s">
        <v>898</v>
      </c>
      <c r="X743" s="2" t="s">
        <v>2388</v>
      </c>
      <c r="Y743" s="2" t="s">
        <v>1084</v>
      </c>
      <c r="AA743" t="s">
        <v>1984</v>
      </c>
      <c r="AJ743" s="41">
        <v>1</v>
      </c>
      <c r="AL743">
        <f t="shared" si="50"/>
        <v>0</v>
      </c>
      <c r="AM743">
        <f t="shared" si="51"/>
        <v>0</v>
      </c>
      <c r="AN743">
        <f t="shared" si="52"/>
        <v>0</v>
      </c>
    </row>
    <row r="744" spans="1:40" x14ac:dyDescent="0.2">
      <c r="A744" s="2">
        <v>77</v>
      </c>
      <c r="B744" t="s">
        <v>1980</v>
      </c>
      <c r="C744">
        <v>0</v>
      </c>
      <c r="D744">
        <v>0</v>
      </c>
      <c r="E744">
        <v>0</v>
      </c>
      <c r="G744" s="2" t="s">
        <v>1186</v>
      </c>
      <c r="H744" s="2" t="s">
        <v>1191</v>
      </c>
      <c r="I744" s="2">
        <v>23</v>
      </c>
      <c r="J744" s="2" t="s">
        <v>2500</v>
      </c>
      <c r="K744">
        <v>2019</v>
      </c>
      <c r="L744" s="2" t="s">
        <v>691</v>
      </c>
      <c r="M744" t="s">
        <v>1934</v>
      </c>
      <c r="N744">
        <v>45</v>
      </c>
      <c r="O744">
        <f>40-31.5</f>
        <v>8.5</v>
      </c>
      <c r="P744" t="s">
        <v>1982</v>
      </c>
      <c r="R744" t="s">
        <v>89</v>
      </c>
      <c r="S744" s="4">
        <v>37.647199999999998</v>
      </c>
      <c r="T744" s="4">
        <v>-121.91929</v>
      </c>
      <c r="U744">
        <v>1829</v>
      </c>
      <c r="V744" s="6">
        <f t="shared" si="49"/>
        <v>557.47919999999999</v>
      </c>
      <c r="W744" t="s">
        <v>898</v>
      </c>
      <c r="X744" s="2" t="s">
        <v>1938</v>
      </c>
      <c r="Y744" s="2" t="s">
        <v>1937</v>
      </c>
      <c r="Z744" t="s">
        <v>1987</v>
      </c>
      <c r="AA744" t="s">
        <v>1985</v>
      </c>
      <c r="AJ744" s="41">
        <v>1</v>
      </c>
      <c r="AL744">
        <f t="shared" si="50"/>
        <v>0</v>
      </c>
      <c r="AM744">
        <f t="shared" si="51"/>
        <v>0</v>
      </c>
      <c r="AN744">
        <f t="shared" si="52"/>
        <v>0</v>
      </c>
    </row>
    <row r="745" spans="1:40" x14ac:dyDescent="0.2">
      <c r="A745" s="2">
        <v>78</v>
      </c>
      <c r="B745" t="s">
        <v>1990</v>
      </c>
      <c r="C745">
        <v>0</v>
      </c>
      <c r="D745">
        <v>0</v>
      </c>
      <c r="E745">
        <v>0</v>
      </c>
      <c r="G745" s="2" t="s">
        <v>1186</v>
      </c>
      <c r="H745" s="2" t="s">
        <v>1191</v>
      </c>
      <c r="I745" s="2">
        <v>24</v>
      </c>
      <c r="J745" s="2" t="s">
        <v>2500</v>
      </c>
      <c r="K745">
        <v>2019</v>
      </c>
      <c r="L745" s="2" t="s">
        <v>34</v>
      </c>
      <c r="M745" t="s">
        <v>1941</v>
      </c>
      <c r="N745">
        <v>35</v>
      </c>
      <c r="O745">
        <v>3</v>
      </c>
      <c r="P745" t="s">
        <v>1982</v>
      </c>
      <c r="Q745" t="s">
        <v>38</v>
      </c>
      <c r="R745" t="s">
        <v>39</v>
      </c>
      <c r="S745" s="4">
        <v>37.611846</v>
      </c>
      <c r="T745" s="4">
        <v>-122.004401</v>
      </c>
      <c r="U745">
        <v>186</v>
      </c>
      <c r="V745" s="6">
        <f t="shared" si="49"/>
        <v>56.692800000000005</v>
      </c>
      <c r="W745" t="s">
        <v>898</v>
      </c>
      <c r="X745" s="2" t="s">
        <v>2205</v>
      </c>
      <c r="Y745" s="2" t="s">
        <v>1994</v>
      </c>
      <c r="AA745" t="s">
        <v>1997</v>
      </c>
      <c r="AJ745" s="41">
        <v>1</v>
      </c>
      <c r="AL745">
        <f t="shared" si="50"/>
        <v>0</v>
      </c>
      <c r="AM745">
        <f t="shared" si="51"/>
        <v>0</v>
      </c>
      <c r="AN745">
        <f t="shared" si="52"/>
        <v>0</v>
      </c>
    </row>
    <row r="746" spans="1:40" x14ac:dyDescent="0.2">
      <c r="A746" s="2">
        <v>80</v>
      </c>
      <c r="B746" t="s">
        <v>1991</v>
      </c>
      <c r="C746">
        <v>0</v>
      </c>
      <c r="D746">
        <v>0</v>
      </c>
      <c r="E746">
        <v>0</v>
      </c>
      <c r="G746" s="2" t="s">
        <v>1186</v>
      </c>
      <c r="H746" s="2" t="s">
        <v>1191</v>
      </c>
      <c r="I746" s="2">
        <v>24</v>
      </c>
      <c r="J746" s="2" t="s">
        <v>2500</v>
      </c>
      <c r="K746">
        <v>2019</v>
      </c>
      <c r="L746" s="2" t="s">
        <v>34</v>
      </c>
      <c r="M746" t="s">
        <v>1941</v>
      </c>
      <c r="N746">
        <v>23</v>
      </c>
      <c r="O746">
        <f>24-21.5</f>
        <v>2.5</v>
      </c>
      <c r="P746" t="s">
        <v>1982</v>
      </c>
      <c r="R746" s="45" t="s">
        <v>39</v>
      </c>
      <c r="S746" s="4">
        <v>37.629083000000001</v>
      </c>
      <c r="T746" s="4">
        <v>-122.01186800000001</v>
      </c>
      <c r="U746">
        <v>10</v>
      </c>
      <c r="V746" s="6">
        <f t="shared" si="49"/>
        <v>3.048</v>
      </c>
      <c r="W746" t="s">
        <v>898</v>
      </c>
      <c r="X746" s="2" t="s">
        <v>2389</v>
      </c>
      <c r="Y746" s="2" t="s">
        <v>1995</v>
      </c>
      <c r="AA746" t="s">
        <v>1998</v>
      </c>
      <c r="AJ746" s="41">
        <v>1</v>
      </c>
      <c r="AL746">
        <f t="shared" si="50"/>
        <v>0</v>
      </c>
      <c r="AM746">
        <f t="shared" si="51"/>
        <v>0</v>
      </c>
      <c r="AN746">
        <f t="shared" si="52"/>
        <v>0</v>
      </c>
    </row>
    <row r="747" spans="1:40" x14ac:dyDescent="0.2">
      <c r="A747" s="2">
        <v>80</v>
      </c>
      <c r="B747" t="s">
        <v>1992</v>
      </c>
      <c r="C747" s="2">
        <v>5.0304479999999999E-2</v>
      </c>
      <c r="D747">
        <v>2.5389594957232475E-2</v>
      </c>
      <c r="E747">
        <v>0.12832085788249969</v>
      </c>
      <c r="G747" s="2" t="s">
        <v>1186</v>
      </c>
      <c r="H747" s="2" t="s">
        <v>1191</v>
      </c>
      <c r="I747" s="2">
        <v>24</v>
      </c>
      <c r="J747" s="2" t="s">
        <v>2500</v>
      </c>
      <c r="K747">
        <v>2019</v>
      </c>
      <c r="L747" s="2" t="s">
        <v>34</v>
      </c>
      <c r="M747" t="s">
        <v>1941</v>
      </c>
      <c r="N747">
        <v>21</v>
      </c>
      <c r="P747" t="s">
        <v>1982</v>
      </c>
      <c r="R747" s="45" t="s">
        <v>39</v>
      </c>
      <c r="S747" s="4">
        <v>37.629083000000001</v>
      </c>
      <c r="T747" s="4">
        <v>-122.01186800000001</v>
      </c>
      <c r="U747">
        <v>10</v>
      </c>
      <c r="V747" s="6">
        <f t="shared" si="49"/>
        <v>3.048</v>
      </c>
      <c r="W747" t="s">
        <v>898</v>
      </c>
      <c r="X747" s="2" t="s">
        <v>2389</v>
      </c>
      <c r="Y747" s="2" t="s">
        <v>1586</v>
      </c>
      <c r="AA747" t="s">
        <v>1999</v>
      </c>
      <c r="AJ747" s="41">
        <v>1</v>
      </c>
      <c r="AL747">
        <f t="shared" si="50"/>
        <v>4.0243583999999997</v>
      </c>
      <c r="AM747">
        <f t="shared" si="51"/>
        <v>2.031167596578598</v>
      </c>
      <c r="AN747">
        <f t="shared" si="52"/>
        <v>10.265668630599976</v>
      </c>
    </row>
    <row r="748" spans="1:40" x14ac:dyDescent="0.2">
      <c r="A748" s="2">
        <v>80</v>
      </c>
      <c r="B748" t="s">
        <v>1993</v>
      </c>
      <c r="C748" s="2">
        <v>0</v>
      </c>
      <c r="D748" s="2">
        <v>0</v>
      </c>
      <c r="E748" s="2">
        <v>0</v>
      </c>
      <c r="G748" s="2" t="s">
        <v>1186</v>
      </c>
      <c r="H748" s="2" t="s">
        <v>1191</v>
      </c>
      <c r="I748" s="2">
        <v>24</v>
      </c>
      <c r="J748" s="2" t="s">
        <v>2500</v>
      </c>
      <c r="K748">
        <v>2019</v>
      </c>
      <c r="L748" s="2" t="s">
        <v>34</v>
      </c>
      <c r="M748" t="s">
        <v>1941</v>
      </c>
      <c r="N748">
        <v>19.5</v>
      </c>
      <c r="O748">
        <v>1</v>
      </c>
      <c r="P748" t="s">
        <v>1981</v>
      </c>
      <c r="R748" s="45" t="s">
        <v>39</v>
      </c>
      <c r="S748" s="4">
        <v>37.629083000000001</v>
      </c>
      <c r="T748" s="4">
        <v>-122.01186800000001</v>
      </c>
      <c r="U748">
        <v>10</v>
      </c>
      <c r="V748" s="6">
        <f t="shared" ref="V748:V811" si="53">U748*0.3048</f>
        <v>3.048</v>
      </c>
      <c r="W748" t="s">
        <v>898</v>
      </c>
      <c r="X748" s="2" t="s">
        <v>2389</v>
      </c>
      <c r="Y748" s="2" t="s">
        <v>1996</v>
      </c>
      <c r="AA748" t="s">
        <v>2000</v>
      </c>
      <c r="AJ748" s="41">
        <v>1</v>
      </c>
      <c r="AL748">
        <f t="shared" si="50"/>
        <v>0</v>
      </c>
      <c r="AM748">
        <f t="shared" si="51"/>
        <v>0</v>
      </c>
      <c r="AN748">
        <f t="shared" si="52"/>
        <v>0</v>
      </c>
    </row>
    <row r="749" spans="1:40" x14ac:dyDescent="0.2">
      <c r="A749" s="2">
        <v>81</v>
      </c>
      <c r="B749" t="s">
        <v>2001</v>
      </c>
      <c r="C749" s="2">
        <v>0</v>
      </c>
      <c r="D749" s="2">
        <v>0</v>
      </c>
      <c r="E749" s="2">
        <v>0</v>
      </c>
      <c r="G749" s="2" t="s">
        <v>1186</v>
      </c>
      <c r="H749" s="2" t="s">
        <v>1191</v>
      </c>
      <c r="I749" s="2">
        <v>25</v>
      </c>
      <c r="J749" s="2" t="s">
        <v>2500</v>
      </c>
      <c r="K749">
        <v>2019</v>
      </c>
      <c r="L749" s="2" t="s">
        <v>32</v>
      </c>
      <c r="M749" t="s">
        <v>897</v>
      </c>
      <c r="N749">
        <v>23</v>
      </c>
      <c r="P749" t="s">
        <v>1981</v>
      </c>
      <c r="R749" s="45" t="s">
        <v>39</v>
      </c>
      <c r="S749" s="4">
        <v>37.396090000000001</v>
      </c>
      <c r="T749" s="4">
        <v>-121.73437</v>
      </c>
      <c r="U749">
        <v>2447</v>
      </c>
      <c r="V749" s="6">
        <f t="shared" si="53"/>
        <v>745.84559999999999</v>
      </c>
      <c r="W749" t="s">
        <v>898</v>
      </c>
      <c r="X749" s="2" t="s">
        <v>2385</v>
      </c>
      <c r="Y749" s="2" t="s">
        <v>2010</v>
      </c>
      <c r="Z749" t="s">
        <v>1767</v>
      </c>
      <c r="AA749" t="s">
        <v>2013</v>
      </c>
      <c r="AJ749" s="41">
        <v>0</v>
      </c>
      <c r="AL749">
        <f t="shared" si="50"/>
        <v>0</v>
      </c>
      <c r="AM749">
        <f t="shared" si="51"/>
        <v>0</v>
      </c>
      <c r="AN749">
        <f t="shared" si="52"/>
        <v>0</v>
      </c>
    </row>
    <row r="750" spans="1:40" x14ac:dyDescent="0.2">
      <c r="A750" s="2">
        <v>81</v>
      </c>
      <c r="B750" t="s">
        <v>2002</v>
      </c>
      <c r="C750" s="2">
        <v>0</v>
      </c>
      <c r="D750" s="2">
        <v>0</v>
      </c>
      <c r="E750" s="2">
        <v>0</v>
      </c>
      <c r="G750" s="2" t="s">
        <v>1186</v>
      </c>
      <c r="H750" s="2" t="s">
        <v>1191</v>
      </c>
      <c r="I750" s="2">
        <v>25</v>
      </c>
      <c r="J750" s="2" t="s">
        <v>2500</v>
      </c>
      <c r="K750">
        <v>2019</v>
      </c>
      <c r="L750" s="2" t="s">
        <v>32</v>
      </c>
      <c r="M750" t="s">
        <v>897</v>
      </c>
      <c r="N750">
        <v>22.5</v>
      </c>
      <c r="P750" t="s">
        <v>1982</v>
      </c>
      <c r="R750" s="45" t="s">
        <v>39</v>
      </c>
      <c r="S750" s="4">
        <v>37.396090000000001</v>
      </c>
      <c r="T750" s="4">
        <v>-121.73437</v>
      </c>
      <c r="U750">
        <v>2447</v>
      </c>
      <c r="V750" s="6">
        <f t="shared" si="53"/>
        <v>745.84559999999999</v>
      </c>
      <c r="W750" t="s">
        <v>898</v>
      </c>
      <c r="X750" s="2" t="s">
        <v>2385</v>
      </c>
      <c r="Y750" s="2" t="s">
        <v>2011</v>
      </c>
      <c r="Z750" t="s">
        <v>1767</v>
      </c>
      <c r="AA750" t="s">
        <v>2014</v>
      </c>
      <c r="AJ750" s="41">
        <v>0</v>
      </c>
      <c r="AL750">
        <f t="shared" si="50"/>
        <v>0</v>
      </c>
      <c r="AM750">
        <f t="shared" si="51"/>
        <v>0</v>
      </c>
      <c r="AN750">
        <f t="shared" si="52"/>
        <v>0</v>
      </c>
    </row>
    <row r="751" spans="1:40" x14ac:dyDescent="0.2">
      <c r="A751" s="2">
        <v>81</v>
      </c>
      <c r="B751" t="s">
        <v>2003</v>
      </c>
      <c r="C751" s="2">
        <v>0</v>
      </c>
      <c r="D751" s="2">
        <v>0</v>
      </c>
      <c r="E751" s="2">
        <v>0</v>
      </c>
      <c r="G751" s="2" t="s">
        <v>1186</v>
      </c>
      <c r="H751" s="2" t="s">
        <v>1191</v>
      </c>
      <c r="I751" s="2">
        <v>25</v>
      </c>
      <c r="J751" s="2" t="s">
        <v>2500</v>
      </c>
      <c r="K751">
        <v>2019</v>
      </c>
      <c r="L751" s="2" t="s">
        <v>32</v>
      </c>
      <c r="M751" t="s">
        <v>897</v>
      </c>
      <c r="N751">
        <v>21</v>
      </c>
      <c r="P751" t="s">
        <v>1981</v>
      </c>
      <c r="R751" s="45" t="s">
        <v>39</v>
      </c>
      <c r="S751" s="4">
        <v>37.396090000000001</v>
      </c>
      <c r="T751" s="4">
        <v>-121.73437</v>
      </c>
      <c r="U751">
        <v>2447</v>
      </c>
      <c r="V751" s="6">
        <f t="shared" si="53"/>
        <v>745.84559999999999</v>
      </c>
      <c r="W751" t="s">
        <v>898</v>
      </c>
      <c r="X751" s="2" t="s">
        <v>2385</v>
      </c>
      <c r="Y751" s="2" t="s">
        <v>2012</v>
      </c>
      <c r="Z751" t="s">
        <v>1767</v>
      </c>
      <c r="AJ751" s="41">
        <v>0</v>
      </c>
      <c r="AL751">
        <f t="shared" si="50"/>
        <v>0</v>
      </c>
      <c r="AM751">
        <f t="shared" si="51"/>
        <v>0</v>
      </c>
      <c r="AN751">
        <f t="shared" si="52"/>
        <v>0</v>
      </c>
    </row>
    <row r="752" spans="1:40" x14ac:dyDescent="0.2">
      <c r="A752" s="2">
        <v>81</v>
      </c>
      <c r="B752" t="s">
        <v>2004</v>
      </c>
      <c r="C752" s="2">
        <v>0</v>
      </c>
      <c r="D752" s="2">
        <v>0</v>
      </c>
      <c r="E752" s="2">
        <v>0</v>
      </c>
      <c r="G752" s="2" t="s">
        <v>1186</v>
      </c>
      <c r="H752" s="2" t="s">
        <v>1191</v>
      </c>
      <c r="I752" s="2">
        <v>25</v>
      </c>
      <c r="J752" s="2" t="s">
        <v>2500</v>
      </c>
      <c r="K752">
        <v>2019</v>
      </c>
      <c r="L752" s="2" t="s">
        <v>32</v>
      </c>
      <c r="M752" t="s">
        <v>897</v>
      </c>
      <c r="N752">
        <v>23</v>
      </c>
      <c r="P752" t="s">
        <v>1982</v>
      </c>
      <c r="R752" s="45" t="s">
        <v>39</v>
      </c>
      <c r="S752" s="4">
        <v>37.396090000000001</v>
      </c>
      <c r="T752" s="4">
        <v>-121.73437</v>
      </c>
      <c r="U752">
        <v>2447</v>
      </c>
      <c r="V752" s="6">
        <f t="shared" si="53"/>
        <v>745.84559999999999</v>
      </c>
      <c r="W752" t="s">
        <v>898</v>
      </c>
      <c r="X752" s="2" t="s">
        <v>2385</v>
      </c>
      <c r="Y752" s="2" t="s">
        <v>820</v>
      </c>
      <c r="Z752" t="s">
        <v>1767</v>
      </c>
      <c r="AJ752" s="41">
        <v>0</v>
      </c>
      <c r="AL752">
        <f t="shared" si="50"/>
        <v>0</v>
      </c>
      <c r="AM752">
        <f t="shared" si="51"/>
        <v>0</v>
      </c>
      <c r="AN752">
        <f t="shared" si="52"/>
        <v>0</v>
      </c>
    </row>
    <row r="753" spans="1:40" x14ac:dyDescent="0.2">
      <c r="A753" s="2">
        <v>81</v>
      </c>
      <c r="B753" t="s">
        <v>2005</v>
      </c>
      <c r="C753" s="2">
        <v>0</v>
      </c>
      <c r="D753" s="2">
        <v>0</v>
      </c>
      <c r="E753" s="2">
        <v>0</v>
      </c>
      <c r="G753" s="2" t="s">
        <v>1186</v>
      </c>
      <c r="H753" s="2" t="s">
        <v>1191</v>
      </c>
      <c r="I753" s="2">
        <v>25</v>
      </c>
      <c r="J753" s="2" t="s">
        <v>2500</v>
      </c>
      <c r="K753">
        <v>2019</v>
      </c>
      <c r="L753" s="2" t="s">
        <v>32</v>
      </c>
      <c r="M753" t="s">
        <v>897</v>
      </c>
      <c r="N753">
        <v>19</v>
      </c>
      <c r="P753" t="s">
        <v>1982</v>
      </c>
      <c r="R753" s="45" t="s">
        <v>39</v>
      </c>
      <c r="S753" s="4">
        <v>37.396090000000001</v>
      </c>
      <c r="T753" s="4">
        <v>-121.73437</v>
      </c>
      <c r="U753">
        <v>2447</v>
      </c>
      <c r="V753" s="6">
        <f t="shared" si="53"/>
        <v>745.84559999999999</v>
      </c>
      <c r="W753" t="s">
        <v>898</v>
      </c>
      <c r="X753" s="2" t="s">
        <v>2385</v>
      </c>
      <c r="Y753" s="2" t="s">
        <v>820</v>
      </c>
      <c r="Z753" t="s">
        <v>1767</v>
      </c>
      <c r="AJ753" s="41">
        <v>0</v>
      </c>
      <c r="AL753">
        <f t="shared" si="50"/>
        <v>0</v>
      </c>
      <c r="AM753">
        <f t="shared" si="51"/>
        <v>0</v>
      </c>
      <c r="AN753">
        <f t="shared" si="52"/>
        <v>0</v>
      </c>
    </row>
    <row r="754" spans="1:40" x14ac:dyDescent="0.2">
      <c r="A754" s="2">
        <v>81</v>
      </c>
      <c r="B754" t="s">
        <v>2006</v>
      </c>
      <c r="C754" s="2">
        <v>0</v>
      </c>
      <c r="D754" s="2">
        <v>0</v>
      </c>
      <c r="E754" s="2">
        <v>0</v>
      </c>
      <c r="G754" s="2" t="s">
        <v>1186</v>
      </c>
      <c r="H754" s="2" t="s">
        <v>1191</v>
      </c>
      <c r="I754" s="2">
        <v>25</v>
      </c>
      <c r="J754" s="2" t="s">
        <v>2500</v>
      </c>
      <c r="K754">
        <v>2019</v>
      </c>
      <c r="L754" s="2" t="s">
        <v>32</v>
      </c>
      <c r="M754" t="s">
        <v>897</v>
      </c>
      <c r="N754">
        <v>23</v>
      </c>
      <c r="P754" t="s">
        <v>1982</v>
      </c>
      <c r="R754" s="45" t="s">
        <v>39</v>
      </c>
      <c r="S754" s="4">
        <v>37.396090000000001</v>
      </c>
      <c r="T754" s="4">
        <v>-121.73437</v>
      </c>
      <c r="U754">
        <v>2447</v>
      </c>
      <c r="V754" s="6">
        <f t="shared" si="53"/>
        <v>745.84559999999999</v>
      </c>
      <c r="W754" t="s">
        <v>898</v>
      </c>
      <c r="X754" s="2" t="s">
        <v>2385</v>
      </c>
      <c r="Y754" s="2" t="s">
        <v>741</v>
      </c>
      <c r="Z754" t="s">
        <v>1767</v>
      </c>
      <c r="AJ754" s="41">
        <v>0</v>
      </c>
      <c r="AL754">
        <f t="shared" si="50"/>
        <v>0</v>
      </c>
      <c r="AM754">
        <f t="shared" si="51"/>
        <v>0</v>
      </c>
      <c r="AN754">
        <f t="shared" si="52"/>
        <v>0</v>
      </c>
    </row>
    <row r="755" spans="1:40" x14ac:dyDescent="0.2">
      <c r="A755" s="2">
        <v>81</v>
      </c>
      <c r="B755" t="s">
        <v>2007</v>
      </c>
      <c r="C755" s="2">
        <v>0</v>
      </c>
      <c r="D755" s="2">
        <v>0</v>
      </c>
      <c r="E755" s="2">
        <v>0</v>
      </c>
      <c r="G755" s="2" t="s">
        <v>1186</v>
      </c>
      <c r="H755" s="2" t="s">
        <v>1191</v>
      </c>
      <c r="I755" s="2">
        <v>25</v>
      </c>
      <c r="J755" s="2" t="s">
        <v>2500</v>
      </c>
      <c r="K755">
        <v>2019</v>
      </c>
      <c r="L755" s="2" t="s">
        <v>32</v>
      </c>
      <c r="M755" t="s">
        <v>897</v>
      </c>
      <c r="N755">
        <v>19</v>
      </c>
      <c r="P755" t="s">
        <v>1982</v>
      </c>
      <c r="R755" s="45" t="s">
        <v>39</v>
      </c>
      <c r="S755" s="4">
        <v>37.396090000000001</v>
      </c>
      <c r="T755" s="4">
        <v>-121.73437</v>
      </c>
      <c r="U755">
        <v>2447</v>
      </c>
      <c r="V755" s="6">
        <f t="shared" si="53"/>
        <v>745.84559999999999</v>
      </c>
      <c r="W755" t="s">
        <v>898</v>
      </c>
      <c r="X755" s="2" t="s">
        <v>2385</v>
      </c>
      <c r="Y755" s="2" t="s">
        <v>548</v>
      </c>
      <c r="Z755" t="s">
        <v>1767</v>
      </c>
      <c r="AJ755" s="41">
        <v>0</v>
      </c>
      <c r="AL755">
        <f t="shared" si="50"/>
        <v>0</v>
      </c>
      <c r="AM755">
        <f t="shared" si="51"/>
        <v>0</v>
      </c>
      <c r="AN755">
        <f t="shared" si="52"/>
        <v>0</v>
      </c>
    </row>
    <row r="756" spans="1:40" x14ac:dyDescent="0.2">
      <c r="A756" s="2">
        <v>81</v>
      </c>
      <c r="B756" t="s">
        <v>2008</v>
      </c>
      <c r="C756" s="2">
        <v>0</v>
      </c>
      <c r="D756" s="2">
        <v>0</v>
      </c>
      <c r="E756" s="2">
        <v>0</v>
      </c>
      <c r="G756" s="2" t="s">
        <v>1186</v>
      </c>
      <c r="H756" s="2" t="s">
        <v>1191</v>
      </c>
      <c r="I756" s="2">
        <v>25</v>
      </c>
      <c r="J756" s="2" t="s">
        <v>2500</v>
      </c>
      <c r="K756">
        <v>2019</v>
      </c>
      <c r="L756" s="2" t="s">
        <v>32</v>
      </c>
      <c r="M756" t="s">
        <v>897</v>
      </c>
      <c r="N756">
        <v>20</v>
      </c>
      <c r="P756" t="s">
        <v>1982</v>
      </c>
      <c r="R756" s="45" t="s">
        <v>39</v>
      </c>
      <c r="S756" s="4">
        <v>37.396090000000001</v>
      </c>
      <c r="T756" s="4">
        <v>-121.73437</v>
      </c>
      <c r="U756">
        <v>2447</v>
      </c>
      <c r="V756" s="6">
        <f t="shared" si="53"/>
        <v>745.84559999999999</v>
      </c>
      <c r="W756" t="s">
        <v>898</v>
      </c>
      <c r="X756" s="2" t="s">
        <v>2385</v>
      </c>
      <c r="Y756" s="2" t="s">
        <v>548</v>
      </c>
      <c r="Z756" t="s">
        <v>1767</v>
      </c>
      <c r="AJ756" s="41">
        <v>0</v>
      </c>
      <c r="AL756">
        <f t="shared" si="50"/>
        <v>0</v>
      </c>
      <c r="AM756">
        <f t="shared" si="51"/>
        <v>0</v>
      </c>
      <c r="AN756">
        <f t="shared" si="52"/>
        <v>0</v>
      </c>
    </row>
    <row r="757" spans="1:40" x14ac:dyDescent="0.2">
      <c r="A757" s="2">
        <v>81</v>
      </c>
      <c r="B757" t="s">
        <v>2009</v>
      </c>
      <c r="C757" s="2">
        <v>0</v>
      </c>
      <c r="D757" s="2">
        <v>0</v>
      </c>
      <c r="E757" s="2">
        <v>0</v>
      </c>
      <c r="G757" s="2" t="s">
        <v>1186</v>
      </c>
      <c r="H757" s="2" t="s">
        <v>1191</v>
      </c>
      <c r="I757" s="2">
        <v>25</v>
      </c>
      <c r="J757" s="2" t="s">
        <v>2500</v>
      </c>
      <c r="K757">
        <v>2019</v>
      </c>
      <c r="L757" s="2" t="s">
        <v>32</v>
      </c>
      <c r="M757" t="s">
        <v>897</v>
      </c>
      <c r="N757">
        <v>19</v>
      </c>
      <c r="P757" t="s">
        <v>1982</v>
      </c>
      <c r="R757" s="45" t="s">
        <v>39</v>
      </c>
      <c r="S757" s="4">
        <v>37.396090000000001</v>
      </c>
      <c r="T757" s="4">
        <v>-121.73437</v>
      </c>
      <c r="U757">
        <v>2447</v>
      </c>
      <c r="V757" s="6">
        <f t="shared" si="53"/>
        <v>745.84559999999999</v>
      </c>
      <c r="W757" t="s">
        <v>898</v>
      </c>
      <c r="X757" s="2" t="s">
        <v>2385</v>
      </c>
      <c r="Y757" s="2" t="s">
        <v>198</v>
      </c>
      <c r="Z757" t="s">
        <v>1767</v>
      </c>
      <c r="AJ757" s="41">
        <v>0</v>
      </c>
      <c r="AL757">
        <f t="shared" si="50"/>
        <v>0</v>
      </c>
      <c r="AM757">
        <f t="shared" si="51"/>
        <v>0</v>
      </c>
      <c r="AN757">
        <f t="shared" si="52"/>
        <v>0</v>
      </c>
    </row>
    <row r="758" spans="1:40" x14ac:dyDescent="0.2">
      <c r="A758" s="2">
        <v>82</v>
      </c>
      <c r="B758" t="s">
        <v>2016</v>
      </c>
      <c r="C758" s="2">
        <v>0</v>
      </c>
      <c r="D758" s="2">
        <v>0</v>
      </c>
      <c r="E758" s="2">
        <v>0</v>
      </c>
      <c r="G758" s="2" t="s">
        <v>1186</v>
      </c>
      <c r="H758" s="2" t="s">
        <v>1191</v>
      </c>
      <c r="I758" s="2">
        <v>25</v>
      </c>
      <c r="J758" s="2" t="s">
        <v>2154</v>
      </c>
      <c r="K758">
        <v>2020</v>
      </c>
      <c r="L758" s="2" t="s">
        <v>32</v>
      </c>
      <c r="M758" t="s">
        <v>897</v>
      </c>
      <c r="N758" s="31">
        <v>33</v>
      </c>
      <c r="O758" s="31">
        <v>4</v>
      </c>
      <c r="P758" t="s">
        <v>1982</v>
      </c>
      <c r="Q758" s="31" t="s">
        <v>38</v>
      </c>
      <c r="R758" t="s">
        <v>39</v>
      </c>
      <c r="W758" t="s">
        <v>898</v>
      </c>
      <c r="X758" t="s">
        <v>2159</v>
      </c>
      <c r="AJ758" s="41">
        <v>1</v>
      </c>
      <c r="AL758">
        <f t="shared" si="50"/>
        <v>0</v>
      </c>
      <c r="AM758">
        <f t="shared" si="51"/>
        <v>0</v>
      </c>
      <c r="AN758">
        <f t="shared" si="52"/>
        <v>0</v>
      </c>
    </row>
    <row r="759" spans="1:40" x14ac:dyDescent="0.2">
      <c r="A759" s="2">
        <v>82</v>
      </c>
      <c r="B759" t="s">
        <v>2017</v>
      </c>
      <c r="C759">
        <v>0.11743173748254776</v>
      </c>
      <c r="D759" s="2">
        <v>0</v>
      </c>
      <c r="E759" s="2">
        <v>0</v>
      </c>
      <c r="G759" s="2" t="s">
        <v>1186</v>
      </c>
      <c r="H759" s="2" t="s">
        <v>1191</v>
      </c>
      <c r="I759" s="2">
        <v>25</v>
      </c>
      <c r="J759" s="2" t="s">
        <v>2154</v>
      </c>
      <c r="K759">
        <v>2020</v>
      </c>
      <c r="L759" s="2" t="s">
        <v>32</v>
      </c>
      <c r="M759" t="s">
        <v>897</v>
      </c>
      <c r="N759" s="31">
        <v>30</v>
      </c>
      <c r="O759" s="31">
        <v>2.2000000000000002</v>
      </c>
      <c r="P759" s="31" t="s">
        <v>2155</v>
      </c>
      <c r="Q759" s="31" t="s">
        <v>38</v>
      </c>
      <c r="R759" t="s">
        <v>39</v>
      </c>
      <c r="W759" t="s">
        <v>898</v>
      </c>
      <c r="X759" t="s">
        <v>2159</v>
      </c>
      <c r="AJ759" s="41">
        <v>1</v>
      </c>
      <c r="AL759">
        <f t="shared" si="50"/>
        <v>9.3945389986038208</v>
      </c>
      <c r="AM759">
        <f t="shared" si="51"/>
        <v>0</v>
      </c>
      <c r="AN759">
        <f t="shared" si="52"/>
        <v>0</v>
      </c>
    </row>
    <row r="760" spans="1:40" x14ac:dyDescent="0.2">
      <c r="A760" s="2">
        <v>82</v>
      </c>
      <c r="B760" t="s">
        <v>2018</v>
      </c>
      <c r="C760">
        <v>0</v>
      </c>
      <c r="D760" s="2">
        <v>0</v>
      </c>
      <c r="E760" s="2">
        <v>0</v>
      </c>
      <c r="G760" s="2" t="s">
        <v>1186</v>
      </c>
      <c r="H760" s="2" t="s">
        <v>1191</v>
      </c>
      <c r="I760" s="2">
        <v>25</v>
      </c>
      <c r="J760" s="2" t="s">
        <v>2154</v>
      </c>
      <c r="K760">
        <v>2020</v>
      </c>
      <c r="L760" s="2" t="s">
        <v>32</v>
      </c>
      <c r="M760" t="s">
        <v>897</v>
      </c>
      <c r="N760" s="31">
        <v>31</v>
      </c>
      <c r="O760" s="31">
        <v>7.5</v>
      </c>
      <c r="P760" s="31" t="s">
        <v>1982</v>
      </c>
      <c r="Q760" s="31" t="s">
        <v>38</v>
      </c>
      <c r="R760" t="s">
        <v>39</v>
      </c>
      <c r="W760" t="s">
        <v>898</v>
      </c>
      <c r="X760" t="s">
        <v>2159</v>
      </c>
      <c r="AJ760" s="41">
        <v>1</v>
      </c>
      <c r="AL760">
        <f t="shared" si="50"/>
        <v>0</v>
      </c>
      <c r="AM760">
        <f t="shared" si="51"/>
        <v>0</v>
      </c>
      <c r="AN760">
        <f t="shared" si="52"/>
        <v>0</v>
      </c>
    </row>
    <row r="761" spans="1:40" x14ac:dyDescent="0.2">
      <c r="A761" s="2">
        <v>82</v>
      </c>
      <c r="B761" t="s">
        <v>2019</v>
      </c>
      <c r="C761">
        <v>0</v>
      </c>
      <c r="D761" s="2">
        <v>0</v>
      </c>
      <c r="E761" s="2">
        <v>0</v>
      </c>
      <c r="G761" s="2" t="s">
        <v>1186</v>
      </c>
      <c r="H761" s="2" t="s">
        <v>1191</v>
      </c>
      <c r="I761" s="2">
        <v>25</v>
      </c>
      <c r="J761" s="2" t="s">
        <v>2154</v>
      </c>
      <c r="K761">
        <v>2020</v>
      </c>
      <c r="L761" s="2" t="s">
        <v>32</v>
      </c>
      <c r="M761" t="s">
        <v>897</v>
      </c>
      <c r="N761" s="31">
        <v>33</v>
      </c>
      <c r="O761" s="31">
        <v>3.5</v>
      </c>
      <c r="P761" s="31" t="s">
        <v>1982</v>
      </c>
      <c r="Q761" s="31" t="s">
        <v>38</v>
      </c>
      <c r="R761" t="s">
        <v>39</v>
      </c>
      <c r="W761" t="s">
        <v>898</v>
      </c>
      <c r="X761" t="s">
        <v>2159</v>
      </c>
      <c r="AJ761" s="41">
        <v>1</v>
      </c>
      <c r="AL761">
        <f t="shared" si="50"/>
        <v>0</v>
      </c>
      <c r="AM761">
        <f t="shared" si="51"/>
        <v>0</v>
      </c>
      <c r="AN761">
        <f t="shared" si="52"/>
        <v>0</v>
      </c>
    </row>
    <row r="762" spans="1:40" x14ac:dyDescent="0.2">
      <c r="A762" s="2">
        <v>82</v>
      </c>
      <c r="B762" t="s">
        <v>2020</v>
      </c>
      <c r="C762">
        <v>1.293769359588623</v>
      </c>
      <c r="D762">
        <v>0.41549089550971985</v>
      </c>
      <c r="E762">
        <v>0.71653932332992554</v>
      </c>
      <c r="G762" s="2" t="s">
        <v>1186</v>
      </c>
      <c r="H762" s="2" t="s">
        <v>1191</v>
      </c>
      <c r="I762" s="2">
        <v>25</v>
      </c>
      <c r="J762" s="2" t="s">
        <v>2154</v>
      </c>
      <c r="K762">
        <v>2020</v>
      </c>
      <c r="L762" s="2" t="s">
        <v>32</v>
      </c>
      <c r="M762" t="s">
        <v>897</v>
      </c>
      <c r="N762" s="31">
        <v>35</v>
      </c>
      <c r="O762" s="31">
        <v>3.75</v>
      </c>
      <c r="P762" s="31" t="s">
        <v>2156</v>
      </c>
      <c r="Q762" s="31" t="s">
        <v>38</v>
      </c>
      <c r="R762" t="s">
        <v>39</v>
      </c>
      <c r="W762" t="s">
        <v>898</v>
      </c>
      <c r="X762" t="s">
        <v>2159</v>
      </c>
      <c r="AJ762" s="41">
        <v>1</v>
      </c>
      <c r="AL762">
        <f t="shared" si="50"/>
        <v>103.50154876708984</v>
      </c>
      <c r="AM762">
        <f t="shared" si="51"/>
        <v>33.239271640777588</v>
      </c>
      <c r="AN762">
        <f t="shared" si="52"/>
        <v>57.323145866394043</v>
      </c>
    </row>
    <row r="763" spans="1:40" x14ac:dyDescent="0.2">
      <c r="A763" s="2">
        <v>82</v>
      </c>
      <c r="B763" t="s">
        <v>2021</v>
      </c>
      <c r="C763">
        <v>14.018191337585449</v>
      </c>
      <c r="D763">
        <v>3.2162516117095947</v>
      </c>
      <c r="E763">
        <v>4.6007771492004395</v>
      </c>
      <c r="G763" s="2" t="s">
        <v>1186</v>
      </c>
      <c r="H763" s="2" t="s">
        <v>1191</v>
      </c>
      <c r="I763" s="2">
        <v>25</v>
      </c>
      <c r="J763" s="2" t="s">
        <v>2154</v>
      </c>
      <c r="K763">
        <v>2020</v>
      </c>
      <c r="L763" s="2" t="s">
        <v>32</v>
      </c>
      <c r="M763" t="s">
        <v>897</v>
      </c>
      <c r="N763" s="31">
        <v>31.5</v>
      </c>
      <c r="O763" s="31">
        <v>3</v>
      </c>
      <c r="P763" s="31" t="s">
        <v>2156</v>
      </c>
      <c r="Q763" s="31" t="s">
        <v>38</v>
      </c>
      <c r="R763" t="s">
        <v>39</v>
      </c>
      <c r="W763" t="s">
        <v>898</v>
      </c>
      <c r="X763" t="s">
        <v>2159</v>
      </c>
      <c r="AJ763" s="41">
        <v>1</v>
      </c>
      <c r="AL763">
        <f t="shared" si="50"/>
        <v>1121.4553070068359</v>
      </c>
      <c r="AM763">
        <f t="shared" si="51"/>
        <v>257.30012893676758</v>
      </c>
      <c r="AN763">
        <f t="shared" si="52"/>
        <v>368.06217193603516</v>
      </c>
    </row>
    <row r="764" spans="1:40" x14ac:dyDescent="0.2">
      <c r="A764" s="2">
        <v>82</v>
      </c>
      <c r="B764" t="s">
        <v>2022</v>
      </c>
      <c r="C764">
        <v>0</v>
      </c>
      <c r="D764">
        <v>0</v>
      </c>
      <c r="E764">
        <v>0</v>
      </c>
      <c r="G764" s="2" t="s">
        <v>1186</v>
      </c>
      <c r="H764" s="2" t="s">
        <v>1191</v>
      </c>
      <c r="I764" s="2">
        <v>25</v>
      </c>
      <c r="J764" s="2" t="s">
        <v>2154</v>
      </c>
      <c r="K764">
        <v>2020</v>
      </c>
      <c r="L764" s="2" t="s">
        <v>32</v>
      </c>
      <c r="M764" t="s">
        <v>897</v>
      </c>
      <c r="N764" s="31">
        <v>34.5</v>
      </c>
      <c r="O764" s="31">
        <v>3.25</v>
      </c>
      <c r="P764" s="31" t="s">
        <v>2156</v>
      </c>
      <c r="Q764" s="31" t="s">
        <v>38</v>
      </c>
      <c r="R764" t="s">
        <v>39</v>
      </c>
      <c r="W764" t="s">
        <v>898</v>
      </c>
      <c r="X764" t="s">
        <v>2159</v>
      </c>
      <c r="AJ764" s="41">
        <v>1</v>
      </c>
      <c r="AL764">
        <f t="shared" si="50"/>
        <v>0</v>
      </c>
      <c r="AM764">
        <f t="shared" si="51"/>
        <v>0</v>
      </c>
      <c r="AN764">
        <f t="shared" si="52"/>
        <v>0</v>
      </c>
    </row>
    <row r="765" spans="1:40" x14ac:dyDescent="0.2">
      <c r="A765" s="2">
        <v>82</v>
      </c>
      <c r="B765" t="s">
        <v>2023</v>
      </c>
      <c r="C765">
        <v>0</v>
      </c>
      <c r="D765">
        <v>0</v>
      </c>
      <c r="E765">
        <v>0</v>
      </c>
      <c r="G765" s="2" t="s">
        <v>1186</v>
      </c>
      <c r="H765" s="2" t="s">
        <v>1191</v>
      </c>
      <c r="I765" s="2">
        <v>25</v>
      </c>
      <c r="J765" s="2" t="s">
        <v>2154</v>
      </c>
      <c r="K765">
        <v>2020</v>
      </c>
      <c r="L765" s="2" t="s">
        <v>32</v>
      </c>
      <c r="M765" t="s">
        <v>897</v>
      </c>
      <c r="N765" s="31">
        <v>32</v>
      </c>
      <c r="O765" s="31">
        <v>10</v>
      </c>
      <c r="P765" s="31" t="s">
        <v>2156</v>
      </c>
      <c r="Q765" s="31" t="s">
        <v>38</v>
      </c>
      <c r="R765" t="s">
        <v>39</v>
      </c>
      <c r="W765" t="s">
        <v>898</v>
      </c>
      <c r="X765" t="s">
        <v>2159</v>
      </c>
      <c r="AJ765" s="41">
        <v>1</v>
      </c>
      <c r="AL765">
        <f t="shared" si="50"/>
        <v>0</v>
      </c>
      <c r="AM765">
        <f t="shared" si="51"/>
        <v>0</v>
      </c>
      <c r="AN765">
        <f t="shared" si="52"/>
        <v>0</v>
      </c>
    </row>
    <row r="766" spans="1:40" x14ac:dyDescent="0.2">
      <c r="A766" s="2">
        <v>82</v>
      </c>
      <c r="B766" t="s">
        <v>2024</v>
      </c>
      <c r="C766">
        <v>0</v>
      </c>
      <c r="D766">
        <v>0</v>
      </c>
      <c r="E766">
        <v>0</v>
      </c>
      <c r="G766" s="2" t="s">
        <v>1186</v>
      </c>
      <c r="H766" s="2" t="s">
        <v>1191</v>
      </c>
      <c r="I766" s="2">
        <v>25</v>
      </c>
      <c r="J766" s="2" t="s">
        <v>2154</v>
      </c>
      <c r="K766">
        <v>2020</v>
      </c>
      <c r="L766" s="2" t="s">
        <v>32</v>
      </c>
      <c r="M766" t="s">
        <v>897</v>
      </c>
      <c r="N766" s="31">
        <v>35</v>
      </c>
      <c r="O766" s="31">
        <v>4</v>
      </c>
      <c r="P766" s="31" t="s">
        <v>41</v>
      </c>
      <c r="Q766" s="31" t="s">
        <v>38</v>
      </c>
      <c r="R766" t="s">
        <v>39</v>
      </c>
      <c r="W766" t="s">
        <v>898</v>
      </c>
      <c r="X766" t="s">
        <v>2159</v>
      </c>
      <c r="AJ766" s="41">
        <v>1</v>
      </c>
      <c r="AL766">
        <f t="shared" si="50"/>
        <v>0</v>
      </c>
      <c r="AM766">
        <f t="shared" si="51"/>
        <v>0</v>
      </c>
      <c r="AN766">
        <f t="shared" si="52"/>
        <v>0</v>
      </c>
    </row>
    <row r="767" spans="1:40" x14ac:dyDescent="0.2">
      <c r="A767">
        <v>82</v>
      </c>
      <c r="B767" t="s">
        <v>2025</v>
      </c>
      <c r="C767">
        <v>0</v>
      </c>
      <c r="D767">
        <v>0</v>
      </c>
      <c r="E767">
        <v>0</v>
      </c>
      <c r="G767" s="2" t="s">
        <v>1186</v>
      </c>
      <c r="H767" s="2" t="s">
        <v>1191</v>
      </c>
      <c r="I767" s="2">
        <v>25</v>
      </c>
      <c r="J767" s="2" t="s">
        <v>2154</v>
      </c>
      <c r="K767">
        <v>2020</v>
      </c>
      <c r="L767" s="2" t="s">
        <v>32</v>
      </c>
      <c r="M767" t="s">
        <v>897</v>
      </c>
      <c r="N767" s="31">
        <v>33.5</v>
      </c>
      <c r="O767" s="31">
        <v>3</v>
      </c>
      <c r="P767" s="31" t="s">
        <v>41</v>
      </c>
      <c r="Q767" s="31" t="s">
        <v>38</v>
      </c>
      <c r="R767" t="s">
        <v>39</v>
      </c>
      <c r="W767" t="s">
        <v>898</v>
      </c>
      <c r="X767" t="s">
        <v>2159</v>
      </c>
      <c r="AJ767" s="41">
        <v>1</v>
      </c>
      <c r="AL767">
        <f t="shared" si="50"/>
        <v>0</v>
      </c>
      <c r="AM767">
        <f t="shared" si="51"/>
        <v>0</v>
      </c>
      <c r="AN767">
        <f t="shared" si="52"/>
        <v>0</v>
      </c>
    </row>
    <row r="768" spans="1:40" x14ac:dyDescent="0.2">
      <c r="A768">
        <v>83</v>
      </c>
      <c r="B768" t="s">
        <v>2026</v>
      </c>
      <c r="C768">
        <v>0.20499509572982788</v>
      </c>
      <c r="D768">
        <v>0</v>
      </c>
      <c r="E768">
        <v>9.8953127861022949E-2</v>
      </c>
      <c r="G768" s="2" t="s">
        <v>1186</v>
      </c>
      <c r="H768" s="2" t="s">
        <v>1191</v>
      </c>
      <c r="I768" s="2">
        <v>25</v>
      </c>
      <c r="J768" s="2" t="s">
        <v>2154</v>
      </c>
      <c r="K768">
        <v>2020</v>
      </c>
      <c r="L768" s="2" t="s">
        <v>32</v>
      </c>
      <c r="M768" t="s">
        <v>897</v>
      </c>
      <c r="N768" s="31">
        <v>34</v>
      </c>
      <c r="O768" s="31">
        <v>2.5</v>
      </c>
      <c r="P768" s="31" t="s">
        <v>1981</v>
      </c>
      <c r="Q768" s="31" t="s">
        <v>38</v>
      </c>
      <c r="R768" s="31" t="s">
        <v>39</v>
      </c>
      <c r="S768" s="4">
        <v>37.379309999999997</v>
      </c>
      <c r="T768" s="4">
        <v>-121.73188</v>
      </c>
      <c r="U768">
        <v>1868</v>
      </c>
      <c r="V768" s="6">
        <f t="shared" si="53"/>
        <v>569.3664</v>
      </c>
      <c r="W768" t="s">
        <v>898</v>
      </c>
      <c r="X768" t="s">
        <v>2160</v>
      </c>
      <c r="AJ768" s="41">
        <v>0</v>
      </c>
      <c r="AL768">
        <f t="shared" si="50"/>
        <v>16.39960765838623</v>
      </c>
      <c r="AM768">
        <f t="shared" si="51"/>
        <v>0</v>
      </c>
      <c r="AN768">
        <f t="shared" si="52"/>
        <v>7.9162502288818359</v>
      </c>
    </row>
    <row r="769" spans="1:40" x14ac:dyDescent="0.2">
      <c r="A769">
        <v>83</v>
      </c>
      <c r="B769" t="s">
        <v>2027</v>
      </c>
      <c r="C769">
        <v>0</v>
      </c>
      <c r="D769">
        <v>0</v>
      </c>
      <c r="E769">
        <v>0</v>
      </c>
      <c r="G769" s="2" t="s">
        <v>1186</v>
      </c>
      <c r="H769" s="2" t="s">
        <v>1191</v>
      </c>
      <c r="I769" s="2">
        <v>25</v>
      </c>
      <c r="J769" s="2" t="s">
        <v>2154</v>
      </c>
      <c r="K769">
        <v>2020</v>
      </c>
      <c r="L769" s="2" t="s">
        <v>32</v>
      </c>
      <c r="M769" t="s">
        <v>897</v>
      </c>
      <c r="N769" s="31">
        <v>33</v>
      </c>
      <c r="O769" s="31">
        <v>3.5</v>
      </c>
      <c r="P769" s="31" t="s">
        <v>1981</v>
      </c>
      <c r="Q769" s="31" t="s">
        <v>38</v>
      </c>
      <c r="R769" s="31" t="s">
        <v>39</v>
      </c>
      <c r="S769" s="4">
        <v>37.379309999999997</v>
      </c>
      <c r="T769" s="4">
        <v>-121.73188</v>
      </c>
      <c r="U769">
        <v>1868</v>
      </c>
      <c r="V769" s="6">
        <f t="shared" si="53"/>
        <v>569.3664</v>
      </c>
      <c r="W769" t="s">
        <v>898</v>
      </c>
      <c r="X769" t="s">
        <v>2160</v>
      </c>
      <c r="AJ769" s="41">
        <v>0</v>
      </c>
      <c r="AL769">
        <f t="shared" si="50"/>
        <v>0</v>
      </c>
      <c r="AM769">
        <f t="shared" si="51"/>
        <v>0</v>
      </c>
      <c r="AN769">
        <f t="shared" si="52"/>
        <v>0</v>
      </c>
    </row>
    <row r="770" spans="1:40" x14ac:dyDescent="0.2">
      <c r="A770">
        <v>83</v>
      </c>
      <c r="B770" t="s">
        <v>2028</v>
      </c>
      <c r="C770">
        <v>0</v>
      </c>
      <c r="D770">
        <v>0</v>
      </c>
      <c r="E770">
        <v>0</v>
      </c>
      <c r="G770" s="2" t="s">
        <v>1186</v>
      </c>
      <c r="H770" s="2" t="s">
        <v>1191</v>
      </c>
      <c r="I770" s="2">
        <v>25</v>
      </c>
      <c r="J770" s="2" t="s">
        <v>2154</v>
      </c>
      <c r="K770">
        <v>2020</v>
      </c>
      <c r="L770" s="2" t="s">
        <v>32</v>
      </c>
      <c r="M770" t="s">
        <v>897</v>
      </c>
      <c r="N770" s="31">
        <v>36</v>
      </c>
      <c r="O770" s="31">
        <v>3.5</v>
      </c>
      <c r="P770" s="31" t="s">
        <v>1981</v>
      </c>
      <c r="Q770" s="31" t="s">
        <v>38</v>
      </c>
      <c r="R770" s="31" t="s">
        <v>39</v>
      </c>
      <c r="S770" s="4">
        <v>37.379309999999997</v>
      </c>
      <c r="T770" s="4">
        <v>-121.73188</v>
      </c>
      <c r="U770">
        <v>1868</v>
      </c>
      <c r="V770" s="6">
        <f t="shared" si="53"/>
        <v>569.3664</v>
      </c>
      <c r="W770" t="s">
        <v>898</v>
      </c>
      <c r="X770" t="s">
        <v>2160</v>
      </c>
      <c r="AJ770" s="41">
        <v>0</v>
      </c>
      <c r="AL770">
        <f t="shared" si="50"/>
        <v>0</v>
      </c>
      <c r="AM770">
        <f t="shared" si="51"/>
        <v>0</v>
      </c>
      <c r="AN770">
        <f t="shared" si="52"/>
        <v>0</v>
      </c>
    </row>
    <row r="771" spans="1:40" x14ac:dyDescent="0.2">
      <c r="A771">
        <v>83</v>
      </c>
      <c r="B771" t="s">
        <v>2029</v>
      </c>
      <c r="C771">
        <v>0</v>
      </c>
      <c r="D771">
        <v>0</v>
      </c>
      <c r="E771">
        <v>0</v>
      </c>
      <c r="G771" s="2" t="s">
        <v>1186</v>
      </c>
      <c r="H771" s="2" t="s">
        <v>1191</v>
      </c>
      <c r="I771" s="2">
        <v>25</v>
      </c>
      <c r="J771" s="2" t="s">
        <v>2154</v>
      </c>
      <c r="K771">
        <v>2020</v>
      </c>
      <c r="L771" s="2" t="s">
        <v>32</v>
      </c>
      <c r="M771" t="s">
        <v>897</v>
      </c>
      <c r="N771" s="31">
        <v>33.5</v>
      </c>
      <c r="O771" s="31">
        <v>4</v>
      </c>
      <c r="P771" s="31" t="s">
        <v>1981</v>
      </c>
      <c r="Q771" s="31" t="s">
        <v>38</v>
      </c>
      <c r="R771" s="31" t="s">
        <v>39</v>
      </c>
      <c r="S771" s="4">
        <v>37.379309999999997</v>
      </c>
      <c r="T771" s="4">
        <v>-121.73188</v>
      </c>
      <c r="U771">
        <v>1868</v>
      </c>
      <c r="V771" s="6">
        <f t="shared" si="53"/>
        <v>569.3664</v>
      </c>
      <c r="W771" t="s">
        <v>898</v>
      </c>
      <c r="X771" t="s">
        <v>2160</v>
      </c>
      <c r="AJ771" s="41">
        <v>0</v>
      </c>
      <c r="AL771">
        <f t="shared" si="50"/>
        <v>0</v>
      </c>
      <c r="AM771">
        <f t="shared" si="51"/>
        <v>0</v>
      </c>
      <c r="AN771">
        <f t="shared" si="52"/>
        <v>0</v>
      </c>
    </row>
    <row r="772" spans="1:40" x14ac:dyDescent="0.2">
      <c r="A772">
        <v>84</v>
      </c>
      <c r="B772" t="s">
        <v>2030</v>
      </c>
      <c r="C772">
        <v>3.1714532524347305E-2</v>
      </c>
      <c r="D772">
        <v>0</v>
      </c>
      <c r="E772">
        <v>0</v>
      </c>
      <c r="G772" s="2" t="s">
        <v>1186</v>
      </c>
      <c r="H772" s="2" t="s">
        <v>1191</v>
      </c>
      <c r="I772" s="2">
        <v>25</v>
      </c>
      <c r="J772" s="2" t="s">
        <v>2154</v>
      </c>
      <c r="K772">
        <v>2020</v>
      </c>
      <c r="L772" s="2" t="s">
        <v>32</v>
      </c>
      <c r="M772" t="s">
        <v>897</v>
      </c>
      <c r="N772" s="31">
        <v>34</v>
      </c>
      <c r="O772" s="31">
        <v>4</v>
      </c>
      <c r="P772" s="31" t="s">
        <v>1981</v>
      </c>
      <c r="Q772" s="31" t="s">
        <v>38</v>
      </c>
      <c r="R772" s="31" t="s">
        <v>39</v>
      </c>
      <c r="S772" s="4">
        <v>37.379849999999998</v>
      </c>
      <c r="T772" s="4">
        <v>-121.74673</v>
      </c>
      <c r="U772">
        <v>2353</v>
      </c>
      <c r="V772" s="6">
        <f t="shared" si="53"/>
        <v>717.19440000000009</v>
      </c>
      <c r="W772" t="s">
        <v>898</v>
      </c>
      <c r="X772" t="s">
        <v>2161</v>
      </c>
      <c r="AJ772" s="41">
        <v>0</v>
      </c>
      <c r="AL772">
        <f t="shared" si="50"/>
        <v>2.5371626019477844</v>
      </c>
      <c r="AM772">
        <f t="shared" si="51"/>
        <v>0</v>
      </c>
      <c r="AN772">
        <f t="shared" si="52"/>
        <v>0</v>
      </c>
    </row>
    <row r="773" spans="1:40" x14ac:dyDescent="0.2">
      <c r="A773">
        <v>84</v>
      </c>
      <c r="B773" t="s">
        <v>2031</v>
      </c>
      <c r="C773">
        <v>0</v>
      </c>
      <c r="D773">
        <v>0</v>
      </c>
      <c r="E773">
        <v>0</v>
      </c>
      <c r="G773" s="2" t="s">
        <v>1186</v>
      </c>
      <c r="H773" s="2" t="s">
        <v>1191</v>
      </c>
      <c r="I773" s="2">
        <v>25</v>
      </c>
      <c r="J773" s="2" t="s">
        <v>2154</v>
      </c>
      <c r="K773">
        <v>2020</v>
      </c>
      <c r="L773" s="2" t="s">
        <v>32</v>
      </c>
      <c r="M773" t="s">
        <v>897</v>
      </c>
      <c r="N773" s="31">
        <v>34</v>
      </c>
      <c r="O773" s="31">
        <v>3.25</v>
      </c>
      <c r="P773" s="31" t="s">
        <v>1981</v>
      </c>
      <c r="Q773" s="31" t="s">
        <v>38</v>
      </c>
      <c r="R773" s="31" t="s">
        <v>39</v>
      </c>
      <c r="S773" s="4">
        <v>37.379849999999998</v>
      </c>
      <c r="T773" s="4">
        <v>-121.74673</v>
      </c>
      <c r="U773">
        <v>2353</v>
      </c>
      <c r="V773" s="6">
        <f t="shared" si="53"/>
        <v>717.19440000000009</v>
      </c>
      <c r="W773" t="s">
        <v>898</v>
      </c>
      <c r="X773" t="s">
        <v>2161</v>
      </c>
      <c r="AJ773" s="41">
        <v>0</v>
      </c>
      <c r="AL773">
        <f t="shared" si="50"/>
        <v>0</v>
      </c>
      <c r="AM773">
        <f t="shared" si="51"/>
        <v>0</v>
      </c>
      <c r="AN773">
        <f t="shared" si="52"/>
        <v>0</v>
      </c>
    </row>
    <row r="774" spans="1:40" x14ac:dyDescent="0.2">
      <c r="A774">
        <v>84</v>
      </c>
      <c r="B774" t="s">
        <v>2032</v>
      </c>
      <c r="C774">
        <v>0</v>
      </c>
      <c r="D774">
        <v>0</v>
      </c>
      <c r="E774">
        <v>0</v>
      </c>
      <c r="G774" s="2" t="s">
        <v>1186</v>
      </c>
      <c r="H774" s="2" t="s">
        <v>1191</v>
      </c>
      <c r="I774" s="2">
        <v>25</v>
      </c>
      <c r="J774" s="2" t="s">
        <v>2154</v>
      </c>
      <c r="K774">
        <v>2020</v>
      </c>
      <c r="L774" s="2" t="s">
        <v>32</v>
      </c>
      <c r="M774" t="s">
        <v>897</v>
      </c>
      <c r="N774" s="31">
        <v>37</v>
      </c>
      <c r="O774" s="31">
        <v>4</v>
      </c>
      <c r="P774" s="31" t="s">
        <v>1981</v>
      </c>
      <c r="Q774" s="31" t="s">
        <v>38</v>
      </c>
      <c r="R774" s="31" t="s">
        <v>39</v>
      </c>
      <c r="S774" s="4">
        <v>37.379849999999998</v>
      </c>
      <c r="T774" s="4">
        <v>-121.74673</v>
      </c>
      <c r="U774">
        <v>2353</v>
      </c>
      <c r="V774" s="6">
        <f t="shared" si="53"/>
        <v>717.19440000000009</v>
      </c>
      <c r="W774" t="s">
        <v>898</v>
      </c>
      <c r="X774" t="s">
        <v>2161</v>
      </c>
      <c r="AJ774" s="41">
        <v>0</v>
      </c>
      <c r="AL774">
        <f t="shared" si="50"/>
        <v>0</v>
      </c>
      <c r="AM774">
        <f t="shared" si="51"/>
        <v>0</v>
      </c>
      <c r="AN774">
        <f t="shared" si="52"/>
        <v>0</v>
      </c>
    </row>
    <row r="775" spans="1:40" x14ac:dyDescent="0.2">
      <c r="A775">
        <v>84</v>
      </c>
      <c r="B775" t="s">
        <v>2033</v>
      </c>
      <c r="C775">
        <v>0</v>
      </c>
      <c r="D775">
        <v>0</v>
      </c>
      <c r="E775">
        <v>0</v>
      </c>
      <c r="G775" s="2" t="s">
        <v>1186</v>
      </c>
      <c r="H775" s="2" t="s">
        <v>1191</v>
      </c>
      <c r="I775" s="2">
        <v>25</v>
      </c>
      <c r="J775" s="2" t="s">
        <v>2154</v>
      </c>
      <c r="K775">
        <v>2020</v>
      </c>
      <c r="L775" s="2" t="s">
        <v>32</v>
      </c>
      <c r="M775" t="s">
        <v>897</v>
      </c>
      <c r="N775" s="31">
        <v>35</v>
      </c>
      <c r="O775" s="31">
        <v>3.5</v>
      </c>
      <c r="P775" s="31" t="s">
        <v>1981</v>
      </c>
      <c r="Q775" s="31" t="s">
        <v>38</v>
      </c>
      <c r="R775" s="31" t="s">
        <v>39</v>
      </c>
      <c r="S775" s="4">
        <v>37.379849999999998</v>
      </c>
      <c r="T775" s="4">
        <v>-121.74673</v>
      </c>
      <c r="U775">
        <v>2353</v>
      </c>
      <c r="V775" s="6">
        <f t="shared" si="53"/>
        <v>717.19440000000009</v>
      </c>
      <c r="W775" t="s">
        <v>898</v>
      </c>
      <c r="X775" t="s">
        <v>2161</v>
      </c>
      <c r="AJ775" s="41">
        <v>0</v>
      </c>
      <c r="AL775">
        <f t="shared" si="50"/>
        <v>0</v>
      </c>
      <c r="AM775">
        <f t="shared" si="51"/>
        <v>0</v>
      </c>
      <c r="AN775">
        <f t="shared" si="52"/>
        <v>0</v>
      </c>
    </row>
    <row r="776" spans="1:40" x14ac:dyDescent="0.2">
      <c r="A776">
        <v>84</v>
      </c>
      <c r="B776" t="s">
        <v>2034</v>
      </c>
      <c r="C776">
        <v>0</v>
      </c>
      <c r="D776">
        <v>0</v>
      </c>
      <c r="E776">
        <v>0</v>
      </c>
      <c r="G776" s="2" t="s">
        <v>1186</v>
      </c>
      <c r="H776" s="2" t="s">
        <v>1191</v>
      </c>
      <c r="I776" s="2">
        <v>25</v>
      </c>
      <c r="J776" s="2" t="s">
        <v>2154</v>
      </c>
      <c r="K776">
        <v>2020</v>
      </c>
      <c r="L776" s="2" t="s">
        <v>32</v>
      </c>
      <c r="M776" t="s">
        <v>897</v>
      </c>
      <c r="N776" s="31">
        <v>31</v>
      </c>
      <c r="O776" s="31">
        <v>4</v>
      </c>
      <c r="P776" s="31" t="s">
        <v>30</v>
      </c>
      <c r="Q776" s="31" t="s">
        <v>38</v>
      </c>
      <c r="R776" s="31" t="s">
        <v>39</v>
      </c>
      <c r="S776" s="4">
        <v>37.379849999999998</v>
      </c>
      <c r="T776" s="4">
        <v>-121.74673</v>
      </c>
      <c r="U776">
        <v>2353</v>
      </c>
      <c r="V776" s="6">
        <f t="shared" si="53"/>
        <v>717.19440000000009</v>
      </c>
      <c r="W776" t="s">
        <v>898</v>
      </c>
      <c r="X776" t="s">
        <v>2161</v>
      </c>
      <c r="AJ776" s="41">
        <v>0</v>
      </c>
      <c r="AL776">
        <f t="shared" si="50"/>
        <v>0</v>
      </c>
      <c r="AM776">
        <f t="shared" si="51"/>
        <v>0</v>
      </c>
      <c r="AN776">
        <f t="shared" si="52"/>
        <v>0</v>
      </c>
    </row>
    <row r="777" spans="1:40" x14ac:dyDescent="0.2">
      <c r="A777">
        <v>84</v>
      </c>
      <c r="B777" t="s">
        <v>2035</v>
      </c>
      <c r="C777">
        <v>0</v>
      </c>
      <c r="D777">
        <v>0</v>
      </c>
      <c r="E777">
        <v>0</v>
      </c>
      <c r="G777" s="2" t="s">
        <v>1186</v>
      </c>
      <c r="H777" s="2" t="s">
        <v>1191</v>
      </c>
      <c r="I777" s="2">
        <v>25</v>
      </c>
      <c r="J777" s="2" t="s">
        <v>2154</v>
      </c>
      <c r="K777">
        <v>2020</v>
      </c>
      <c r="L777" s="2" t="s">
        <v>32</v>
      </c>
      <c r="M777" t="s">
        <v>897</v>
      </c>
      <c r="N777" s="31">
        <v>34</v>
      </c>
      <c r="O777" s="31">
        <v>3.25</v>
      </c>
      <c r="P777" s="31" t="s">
        <v>1981</v>
      </c>
      <c r="Q777" s="31" t="s">
        <v>38</v>
      </c>
      <c r="R777" s="31" t="s">
        <v>39</v>
      </c>
      <c r="S777" s="4">
        <v>37.379849999999998</v>
      </c>
      <c r="T777" s="4">
        <v>-121.74673</v>
      </c>
      <c r="U777">
        <v>2353</v>
      </c>
      <c r="V777" s="6">
        <f t="shared" si="53"/>
        <v>717.19440000000009</v>
      </c>
      <c r="W777" t="s">
        <v>898</v>
      </c>
      <c r="X777" t="s">
        <v>2161</v>
      </c>
      <c r="AJ777" s="41">
        <v>0</v>
      </c>
      <c r="AL777">
        <f t="shared" si="50"/>
        <v>0</v>
      </c>
      <c r="AM777">
        <f t="shared" si="51"/>
        <v>0</v>
      </c>
      <c r="AN777">
        <f t="shared" si="52"/>
        <v>0</v>
      </c>
    </row>
    <row r="778" spans="1:40" x14ac:dyDescent="0.2">
      <c r="A778">
        <v>84</v>
      </c>
      <c r="B778" t="s">
        <v>2036</v>
      </c>
      <c r="C778">
        <v>0</v>
      </c>
      <c r="D778">
        <v>0</v>
      </c>
      <c r="E778">
        <v>0</v>
      </c>
      <c r="G778" s="2" t="s">
        <v>1186</v>
      </c>
      <c r="H778" s="2" t="s">
        <v>1191</v>
      </c>
      <c r="I778" s="2">
        <v>25</v>
      </c>
      <c r="J778" s="2" t="s">
        <v>2154</v>
      </c>
      <c r="K778">
        <v>2020</v>
      </c>
      <c r="L778" s="2" t="s">
        <v>32</v>
      </c>
      <c r="M778" t="s">
        <v>897</v>
      </c>
      <c r="N778" s="31">
        <v>29.5</v>
      </c>
      <c r="O778" s="31">
        <v>4</v>
      </c>
      <c r="P778" s="31" t="s">
        <v>30</v>
      </c>
      <c r="Q778" s="31" t="s">
        <v>42</v>
      </c>
      <c r="R778" s="31" t="s">
        <v>39</v>
      </c>
      <c r="S778" s="4">
        <v>37.379849999999998</v>
      </c>
      <c r="T778" s="4">
        <v>-121.74673</v>
      </c>
      <c r="U778">
        <v>2353</v>
      </c>
      <c r="V778" s="6">
        <f t="shared" si="53"/>
        <v>717.19440000000009</v>
      </c>
      <c r="W778" t="s">
        <v>898</v>
      </c>
      <c r="X778" t="s">
        <v>2161</v>
      </c>
      <c r="AJ778" s="41">
        <v>0</v>
      </c>
      <c r="AL778">
        <f t="shared" si="50"/>
        <v>0</v>
      </c>
      <c r="AM778">
        <f t="shared" si="51"/>
        <v>0</v>
      </c>
      <c r="AN778">
        <f t="shared" si="52"/>
        <v>0</v>
      </c>
    </row>
    <row r="779" spans="1:40" x14ac:dyDescent="0.2">
      <c r="A779">
        <v>84</v>
      </c>
      <c r="B779" t="s">
        <v>2037</v>
      </c>
      <c r="C779">
        <v>2.0876333117485046E-2</v>
      </c>
      <c r="D779">
        <v>0</v>
      </c>
      <c r="E779">
        <v>0</v>
      </c>
      <c r="G779" s="2" t="s">
        <v>1186</v>
      </c>
      <c r="H779" s="2" t="s">
        <v>1191</v>
      </c>
      <c r="I779" s="2">
        <v>25</v>
      </c>
      <c r="J779" s="2" t="s">
        <v>2154</v>
      </c>
      <c r="K779">
        <v>2020</v>
      </c>
      <c r="L779" s="2" t="s">
        <v>32</v>
      </c>
      <c r="M779" t="s">
        <v>897</v>
      </c>
      <c r="N779" s="31">
        <v>32</v>
      </c>
      <c r="O779" s="31">
        <v>4</v>
      </c>
      <c r="P779" s="31" t="s">
        <v>30</v>
      </c>
      <c r="Q779" s="31" t="s">
        <v>38</v>
      </c>
      <c r="R779" s="31" t="s">
        <v>39</v>
      </c>
      <c r="S779" s="4">
        <v>37.379849999999998</v>
      </c>
      <c r="T779" s="4">
        <v>-121.74673</v>
      </c>
      <c r="U779">
        <v>2353</v>
      </c>
      <c r="V779" s="6">
        <f t="shared" si="53"/>
        <v>717.19440000000009</v>
      </c>
      <c r="W779" t="s">
        <v>898</v>
      </c>
      <c r="X779" t="s">
        <v>2161</v>
      </c>
      <c r="AJ779" s="41">
        <v>0</v>
      </c>
      <c r="AL779">
        <f t="shared" si="50"/>
        <v>1.6701066493988037</v>
      </c>
      <c r="AM779">
        <f t="shared" si="51"/>
        <v>0</v>
      </c>
      <c r="AN779">
        <f t="shared" si="52"/>
        <v>0</v>
      </c>
    </row>
    <row r="780" spans="1:40" x14ac:dyDescent="0.2">
      <c r="A780">
        <v>84</v>
      </c>
      <c r="B780" t="s">
        <v>2038</v>
      </c>
      <c r="C780">
        <v>0</v>
      </c>
      <c r="D780">
        <v>0</v>
      </c>
      <c r="E780">
        <v>0</v>
      </c>
      <c r="G780" s="2" t="s">
        <v>1186</v>
      </c>
      <c r="H780" s="2" t="s">
        <v>1191</v>
      </c>
      <c r="I780" s="2">
        <v>25</v>
      </c>
      <c r="J780" s="2" t="s">
        <v>2154</v>
      </c>
      <c r="K780">
        <v>2020</v>
      </c>
      <c r="L780" s="2" t="s">
        <v>32</v>
      </c>
      <c r="M780" t="s">
        <v>897</v>
      </c>
      <c r="N780" s="31">
        <v>33</v>
      </c>
      <c r="O780" s="31">
        <v>3</v>
      </c>
      <c r="P780" s="31" t="s">
        <v>30</v>
      </c>
      <c r="Q780" s="31" t="s">
        <v>38</v>
      </c>
      <c r="R780" s="31" t="s">
        <v>39</v>
      </c>
      <c r="S780" s="4">
        <v>37.379849999999998</v>
      </c>
      <c r="T780" s="4">
        <v>-121.74673</v>
      </c>
      <c r="U780">
        <v>2353</v>
      </c>
      <c r="V780" s="6">
        <f t="shared" si="53"/>
        <v>717.19440000000009</v>
      </c>
      <c r="W780" t="s">
        <v>898</v>
      </c>
      <c r="X780" t="s">
        <v>2161</v>
      </c>
      <c r="AJ780" s="41">
        <v>0</v>
      </c>
      <c r="AL780">
        <f t="shared" si="50"/>
        <v>0</v>
      </c>
      <c r="AM780">
        <f t="shared" si="51"/>
        <v>0</v>
      </c>
      <c r="AN780">
        <f t="shared" si="52"/>
        <v>0</v>
      </c>
    </row>
    <row r="781" spans="1:40" x14ac:dyDescent="0.2">
      <c r="A781">
        <v>84</v>
      </c>
      <c r="B781" t="s">
        <v>2039</v>
      </c>
      <c r="C781">
        <v>0</v>
      </c>
      <c r="D781">
        <v>0</v>
      </c>
      <c r="E781">
        <v>0</v>
      </c>
      <c r="G781" s="2" t="s">
        <v>1186</v>
      </c>
      <c r="H781" s="2" t="s">
        <v>1191</v>
      </c>
      <c r="I781" s="2">
        <v>25</v>
      </c>
      <c r="J781" s="2" t="s">
        <v>2154</v>
      </c>
      <c r="K781">
        <v>2020</v>
      </c>
      <c r="L781" s="2" t="s">
        <v>32</v>
      </c>
      <c r="M781" t="s">
        <v>897</v>
      </c>
      <c r="N781" s="31">
        <v>36.5</v>
      </c>
      <c r="O781" s="31">
        <v>6.75</v>
      </c>
      <c r="P781" s="31" t="s">
        <v>30</v>
      </c>
      <c r="Q781" s="31" t="s">
        <v>42</v>
      </c>
      <c r="R781" s="31" t="s">
        <v>39</v>
      </c>
      <c r="S781" s="4">
        <v>37.379849999999998</v>
      </c>
      <c r="T781" s="4">
        <v>-121.74673</v>
      </c>
      <c r="U781">
        <v>2353</v>
      </c>
      <c r="V781" s="6">
        <f t="shared" si="53"/>
        <v>717.19440000000009</v>
      </c>
      <c r="W781" t="s">
        <v>898</v>
      </c>
      <c r="X781" t="s">
        <v>2161</v>
      </c>
      <c r="AJ781" s="41">
        <v>0</v>
      </c>
      <c r="AL781">
        <f t="shared" ref="AL781:AL782" si="54">C781*80</f>
        <v>0</v>
      </c>
      <c r="AM781">
        <f t="shared" ref="AM781:AM782" si="55">D781*80</f>
        <v>0</v>
      </c>
      <c r="AN781">
        <f t="shared" ref="AN781:AN782" si="56">E781*80</f>
        <v>0</v>
      </c>
    </row>
    <row r="782" spans="1:40" x14ac:dyDescent="0.2">
      <c r="A782">
        <v>84</v>
      </c>
      <c r="B782" t="s">
        <v>2040</v>
      </c>
      <c r="C782">
        <v>0.23304083943367004</v>
      </c>
      <c r="D782">
        <v>3.8489684462547302E-2</v>
      </c>
      <c r="E782">
        <v>2.942720428109169E-2</v>
      </c>
      <c r="G782" s="2" t="s">
        <v>1186</v>
      </c>
      <c r="H782" t="s">
        <v>1186</v>
      </c>
      <c r="I782" s="2">
        <v>25</v>
      </c>
      <c r="J782" s="2" t="s">
        <v>2154</v>
      </c>
      <c r="K782">
        <v>2020</v>
      </c>
      <c r="L782" s="2" t="s">
        <v>32</v>
      </c>
      <c r="M782" t="s">
        <v>897</v>
      </c>
      <c r="N782" s="31">
        <v>34</v>
      </c>
      <c r="O782" s="31">
        <v>3</v>
      </c>
      <c r="P782" s="31" t="s">
        <v>30</v>
      </c>
      <c r="Q782" s="31" t="s">
        <v>38</v>
      </c>
      <c r="R782" s="31" t="s">
        <v>39</v>
      </c>
      <c r="S782" s="4">
        <v>37.379849999999998</v>
      </c>
      <c r="T782" s="4">
        <v>-121.74673</v>
      </c>
      <c r="U782">
        <v>2353</v>
      </c>
      <c r="V782" s="6">
        <f t="shared" si="53"/>
        <v>717.19440000000009</v>
      </c>
      <c r="W782" t="s">
        <v>898</v>
      </c>
      <c r="X782" t="s">
        <v>2161</v>
      </c>
      <c r="AJ782" s="41">
        <v>0</v>
      </c>
      <c r="AL782">
        <f t="shared" si="54"/>
        <v>18.643267154693604</v>
      </c>
      <c r="AM782">
        <f t="shared" si="55"/>
        <v>3.0791747570037842</v>
      </c>
      <c r="AN782">
        <f t="shared" si="56"/>
        <v>2.3541763424873352</v>
      </c>
    </row>
    <row r="783" spans="1:40" x14ac:dyDescent="0.2">
      <c r="A783">
        <v>85</v>
      </c>
      <c r="B783" t="s">
        <v>2041</v>
      </c>
      <c r="C783">
        <v>0</v>
      </c>
      <c r="D783">
        <v>0</v>
      </c>
      <c r="E783">
        <v>0</v>
      </c>
      <c r="G783" s="2" t="s">
        <v>1186</v>
      </c>
      <c r="H783" t="s">
        <v>1191</v>
      </c>
      <c r="I783" s="2">
        <v>26</v>
      </c>
      <c r="J783" s="2" t="s">
        <v>2154</v>
      </c>
      <c r="K783">
        <v>2020</v>
      </c>
      <c r="L783" s="2" t="s">
        <v>32</v>
      </c>
      <c r="M783" t="s">
        <v>1934</v>
      </c>
      <c r="N783" s="31">
        <v>32</v>
      </c>
      <c r="O783" s="31">
        <v>2</v>
      </c>
      <c r="P783" s="31" t="s">
        <v>1982</v>
      </c>
      <c r="Q783" s="31" t="s">
        <v>38</v>
      </c>
      <c r="R783" s="31" t="s">
        <v>39</v>
      </c>
      <c r="W783" t="s">
        <v>898</v>
      </c>
      <c r="X783" s="31" t="s">
        <v>2162</v>
      </c>
      <c r="AJ783" s="41">
        <v>1</v>
      </c>
      <c r="AL783">
        <f t="shared" ref="AL783:AL846" si="57">C783*80</f>
        <v>0</v>
      </c>
      <c r="AM783">
        <f t="shared" ref="AM783:AM846" si="58">D783*80</f>
        <v>0</v>
      </c>
      <c r="AN783">
        <f t="shared" ref="AN783:AN846" si="59">E783*80</f>
        <v>0</v>
      </c>
    </row>
    <row r="784" spans="1:40" x14ac:dyDescent="0.2">
      <c r="A784">
        <v>87</v>
      </c>
      <c r="B784" t="s">
        <v>2042</v>
      </c>
      <c r="C784">
        <v>0</v>
      </c>
      <c r="D784">
        <v>0</v>
      </c>
      <c r="E784">
        <v>0</v>
      </c>
      <c r="G784" s="2" t="s">
        <v>1186</v>
      </c>
      <c r="H784" t="s">
        <v>1191</v>
      </c>
      <c r="I784" s="2">
        <v>26</v>
      </c>
      <c r="J784" s="2" t="s">
        <v>2154</v>
      </c>
      <c r="K784">
        <v>2020</v>
      </c>
      <c r="L784" s="2" t="s">
        <v>32</v>
      </c>
      <c r="M784" t="s">
        <v>1934</v>
      </c>
      <c r="N784" s="31">
        <v>35</v>
      </c>
      <c r="O784" s="31">
        <v>3.5</v>
      </c>
      <c r="P784" s="31" t="s">
        <v>2163</v>
      </c>
      <c r="Q784" s="31" t="s">
        <v>38</v>
      </c>
      <c r="R784" s="31" t="s">
        <v>39</v>
      </c>
      <c r="W784" t="s">
        <v>898</v>
      </c>
      <c r="X784" s="31" t="s">
        <v>1938</v>
      </c>
      <c r="AJ784" s="41">
        <v>1</v>
      </c>
      <c r="AL784">
        <f t="shared" si="57"/>
        <v>0</v>
      </c>
      <c r="AM784">
        <f t="shared" si="58"/>
        <v>0</v>
      </c>
      <c r="AN784">
        <f t="shared" si="59"/>
        <v>0</v>
      </c>
    </row>
    <row r="785" spans="1:40" x14ac:dyDescent="0.2">
      <c r="A785">
        <v>87</v>
      </c>
      <c r="B785" t="s">
        <v>2043</v>
      </c>
      <c r="C785" s="3">
        <v>0</v>
      </c>
      <c r="D785">
        <v>0</v>
      </c>
      <c r="E785">
        <v>0</v>
      </c>
      <c r="G785" s="2" t="s">
        <v>1186</v>
      </c>
      <c r="H785" t="s">
        <v>1191</v>
      </c>
      <c r="I785" s="2">
        <v>26</v>
      </c>
      <c r="J785" s="2" t="s">
        <v>2154</v>
      </c>
      <c r="K785">
        <v>2020</v>
      </c>
      <c r="L785" s="2" t="s">
        <v>32</v>
      </c>
      <c r="M785" t="s">
        <v>1934</v>
      </c>
      <c r="N785" s="31">
        <v>39</v>
      </c>
      <c r="O785" s="31">
        <v>8.5</v>
      </c>
      <c r="P785" s="31" t="s">
        <v>1982</v>
      </c>
      <c r="Q785" s="31" t="s">
        <v>42</v>
      </c>
      <c r="R785" s="31" t="s">
        <v>39</v>
      </c>
      <c r="W785" t="s">
        <v>898</v>
      </c>
      <c r="X785" s="31" t="s">
        <v>1938</v>
      </c>
      <c r="AJ785" s="41">
        <v>1</v>
      </c>
      <c r="AL785">
        <f t="shared" si="57"/>
        <v>0</v>
      </c>
      <c r="AM785">
        <f t="shared" si="58"/>
        <v>0</v>
      </c>
      <c r="AN785">
        <f t="shared" si="59"/>
        <v>0</v>
      </c>
    </row>
    <row r="786" spans="1:40" x14ac:dyDescent="0.2">
      <c r="A786">
        <v>87</v>
      </c>
      <c r="B786" t="s">
        <v>2044</v>
      </c>
      <c r="C786" s="3">
        <v>0</v>
      </c>
      <c r="D786">
        <v>0</v>
      </c>
      <c r="E786">
        <v>0</v>
      </c>
      <c r="G786" s="2" t="s">
        <v>1186</v>
      </c>
      <c r="H786" t="s">
        <v>1191</v>
      </c>
      <c r="I786" s="2">
        <v>26</v>
      </c>
      <c r="J786" s="2" t="s">
        <v>2154</v>
      </c>
      <c r="K786">
        <v>2020</v>
      </c>
      <c r="L786" s="2" t="s">
        <v>32</v>
      </c>
      <c r="M786" t="s">
        <v>1934</v>
      </c>
      <c r="N786" s="31"/>
      <c r="O786" s="31"/>
      <c r="P786" s="32" t="s">
        <v>2164</v>
      </c>
      <c r="Q786" s="31" t="s">
        <v>38</v>
      </c>
      <c r="R786" s="31" t="s">
        <v>39</v>
      </c>
      <c r="W786" t="s">
        <v>898</v>
      </c>
      <c r="X786" s="31" t="s">
        <v>1938</v>
      </c>
      <c r="AJ786" s="41">
        <v>1</v>
      </c>
      <c r="AL786">
        <f t="shared" si="57"/>
        <v>0</v>
      </c>
      <c r="AM786">
        <f t="shared" si="58"/>
        <v>0</v>
      </c>
      <c r="AN786">
        <f t="shared" si="59"/>
        <v>0</v>
      </c>
    </row>
    <row r="787" spans="1:40" x14ac:dyDescent="0.2">
      <c r="A787">
        <v>88</v>
      </c>
      <c r="B787" t="s">
        <v>2045</v>
      </c>
      <c r="C787">
        <v>0</v>
      </c>
      <c r="D787">
        <v>0</v>
      </c>
      <c r="E787">
        <v>0</v>
      </c>
      <c r="G787" s="2" t="s">
        <v>1186</v>
      </c>
      <c r="H787" t="s">
        <v>1191</v>
      </c>
      <c r="I787" s="2">
        <v>26</v>
      </c>
      <c r="J787" s="2" t="s">
        <v>2154</v>
      </c>
      <c r="K787">
        <v>2020</v>
      </c>
      <c r="L787" s="2" t="s">
        <v>32</v>
      </c>
      <c r="M787" t="s">
        <v>1934</v>
      </c>
      <c r="N787" s="31">
        <v>35</v>
      </c>
      <c r="O787" s="31">
        <v>3</v>
      </c>
      <c r="P787" s="31" t="s">
        <v>2156</v>
      </c>
      <c r="Q787" s="31" t="s">
        <v>38</v>
      </c>
      <c r="R787" s="31" t="s">
        <v>39</v>
      </c>
      <c r="W787" t="s">
        <v>898</v>
      </c>
      <c r="X787" s="31" t="s">
        <v>1935</v>
      </c>
      <c r="AJ787" s="41">
        <v>1</v>
      </c>
      <c r="AL787">
        <f t="shared" si="57"/>
        <v>0</v>
      </c>
      <c r="AM787">
        <f t="shared" si="58"/>
        <v>0</v>
      </c>
      <c r="AN787">
        <f t="shared" si="59"/>
        <v>0</v>
      </c>
    </row>
    <row r="788" spans="1:40" x14ac:dyDescent="0.2">
      <c r="A788">
        <v>88</v>
      </c>
      <c r="B788" t="s">
        <v>2046</v>
      </c>
      <c r="C788">
        <v>0</v>
      </c>
      <c r="D788">
        <v>0</v>
      </c>
      <c r="E788">
        <v>0</v>
      </c>
      <c r="G788" s="2" t="s">
        <v>1186</v>
      </c>
      <c r="H788" t="s">
        <v>1191</v>
      </c>
      <c r="I788" s="2">
        <v>26</v>
      </c>
      <c r="J788" s="2" t="s">
        <v>2154</v>
      </c>
      <c r="K788">
        <v>2020</v>
      </c>
      <c r="L788" s="2" t="s">
        <v>32</v>
      </c>
      <c r="M788" t="s">
        <v>1934</v>
      </c>
      <c r="N788" s="31">
        <v>28</v>
      </c>
      <c r="O788" s="31">
        <v>2</v>
      </c>
      <c r="P788" s="32"/>
      <c r="Q788" s="31" t="s">
        <v>38</v>
      </c>
      <c r="R788" s="31" t="s">
        <v>39</v>
      </c>
      <c r="W788" t="s">
        <v>898</v>
      </c>
      <c r="X788" s="31" t="s">
        <v>1935</v>
      </c>
      <c r="AJ788" s="41">
        <v>1</v>
      </c>
      <c r="AL788">
        <f t="shared" si="57"/>
        <v>0</v>
      </c>
      <c r="AM788">
        <f t="shared" si="58"/>
        <v>0</v>
      </c>
      <c r="AN788">
        <f t="shared" si="59"/>
        <v>0</v>
      </c>
    </row>
    <row r="789" spans="1:40" x14ac:dyDescent="0.2">
      <c r="A789">
        <v>88</v>
      </c>
      <c r="B789" t="s">
        <v>2047</v>
      </c>
      <c r="C789">
        <v>0</v>
      </c>
      <c r="D789">
        <v>0</v>
      </c>
      <c r="E789">
        <v>0</v>
      </c>
      <c r="G789" s="2" t="s">
        <v>1186</v>
      </c>
      <c r="H789" t="s">
        <v>1191</v>
      </c>
      <c r="I789" s="2">
        <v>26</v>
      </c>
      <c r="J789" s="2" t="s">
        <v>2154</v>
      </c>
      <c r="K789">
        <v>2020</v>
      </c>
      <c r="L789" s="2" t="s">
        <v>32</v>
      </c>
      <c r="M789" t="s">
        <v>1934</v>
      </c>
      <c r="N789" s="31">
        <v>37</v>
      </c>
      <c r="O789" s="31">
        <v>3.5</v>
      </c>
      <c r="P789" s="32"/>
      <c r="Q789" s="31" t="s">
        <v>38</v>
      </c>
      <c r="R789" s="31" t="s">
        <v>39</v>
      </c>
      <c r="W789" t="s">
        <v>898</v>
      </c>
      <c r="X789" s="31" t="s">
        <v>1935</v>
      </c>
      <c r="AJ789" s="41">
        <v>1</v>
      </c>
      <c r="AL789">
        <f t="shared" si="57"/>
        <v>0</v>
      </c>
      <c r="AM789">
        <f t="shared" si="58"/>
        <v>0</v>
      </c>
      <c r="AN789">
        <f t="shared" si="59"/>
        <v>0</v>
      </c>
    </row>
    <row r="790" spans="1:40" x14ac:dyDescent="0.2">
      <c r="A790">
        <v>88</v>
      </c>
      <c r="B790" t="s">
        <v>2048</v>
      </c>
      <c r="C790">
        <v>0</v>
      </c>
      <c r="D790">
        <v>0</v>
      </c>
      <c r="E790">
        <v>0</v>
      </c>
      <c r="G790" s="2" t="s">
        <v>1186</v>
      </c>
      <c r="H790" t="s">
        <v>1191</v>
      </c>
      <c r="I790" s="2">
        <v>26</v>
      </c>
      <c r="J790" s="2" t="s">
        <v>2154</v>
      </c>
      <c r="K790">
        <v>2020</v>
      </c>
      <c r="L790" s="2" t="s">
        <v>32</v>
      </c>
      <c r="M790" t="s">
        <v>1934</v>
      </c>
      <c r="N790" s="31">
        <v>32</v>
      </c>
      <c r="O790" s="31">
        <v>4.5</v>
      </c>
      <c r="P790" s="32"/>
      <c r="Q790" s="31" t="s">
        <v>38</v>
      </c>
      <c r="R790" s="31" t="s">
        <v>39</v>
      </c>
      <c r="W790" t="s">
        <v>898</v>
      </c>
      <c r="X790" s="31" t="s">
        <v>1935</v>
      </c>
      <c r="AJ790" s="41">
        <v>1</v>
      </c>
      <c r="AL790">
        <f t="shared" si="57"/>
        <v>0</v>
      </c>
      <c r="AM790">
        <f t="shared" si="58"/>
        <v>0</v>
      </c>
      <c r="AN790">
        <f t="shared" si="59"/>
        <v>0</v>
      </c>
    </row>
    <row r="791" spans="1:40" x14ac:dyDescent="0.2">
      <c r="A791">
        <v>88</v>
      </c>
      <c r="B791" t="s">
        <v>2049</v>
      </c>
      <c r="C791">
        <v>0</v>
      </c>
      <c r="D791">
        <v>0</v>
      </c>
      <c r="E791">
        <v>0</v>
      </c>
      <c r="G791" s="2" t="s">
        <v>1186</v>
      </c>
      <c r="H791" t="s">
        <v>1191</v>
      </c>
      <c r="I791" s="2">
        <v>26</v>
      </c>
      <c r="J791" s="2" t="s">
        <v>2154</v>
      </c>
      <c r="K791">
        <v>2020</v>
      </c>
      <c r="L791" s="2" t="s">
        <v>32</v>
      </c>
      <c r="M791" t="s">
        <v>1934</v>
      </c>
      <c r="N791" s="31">
        <v>35</v>
      </c>
      <c r="O791" s="31">
        <v>2</v>
      </c>
      <c r="P791" s="32"/>
      <c r="Q791" s="31" t="s">
        <v>38</v>
      </c>
      <c r="R791" s="31" t="s">
        <v>39</v>
      </c>
      <c r="W791" t="s">
        <v>898</v>
      </c>
      <c r="X791" s="31" t="s">
        <v>1935</v>
      </c>
      <c r="AJ791" s="41">
        <v>1</v>
      </c>
      <c r="AL791">
        <f t="shared" si="57"/>
        <v>0</v>
      </c>
      <c r="AM791">
        <f t="shared" si="58"/>
        <v>0</v>
      </c>
      <c r="AN791">
        <f t="shared" si="59"/>
        <v>0</v>
      </c>
    </row>
    <row r="792" spans="1:40" x14ac:dyDescent="0.2">
      <c r="A792">
        <v>88</v>
      </c>
      <c r="B792" t="s">
        <v>2050</v>
      </c>
      <c r="C792">
        <v>0</v>
      </c>
      <c r="D792">
        <v>0</v>
      </c>
      <c r="E792">
        <v>0</v>
      </c>
      <c r="G792" s="2" t="s">
        <v>1186</v>
      </c>
      <c r="H792" t="s">
        <v>1191</v>
      </c>
      <c r="I792" s="2">
        <v>26</v>
      </c>
      <c r="J792" s="2" t="s">
        <v>2154</v>
      </c>
      <c r="K792">
        <v>2020</v>
      </c>
      <c r="L792" s="2" t="s">
        <v>32</v>
      </c>
      <c r="M792" t="s">
        <v>1934</v>
      </c>
      <c r="N792" s="31">
        <v>76</v>
      </c>
      <c r="O792" s="31">
        <v>2</v>
      </c>
      <c r="P792" s="32"/>
      <c r="Q792" s="31" t="s">
        <v>38</v>
      </c>
      <c r="R792" s="31" t="s">
        <v>39</v>
      </c>
      <c r="W792" t="s">
        <v>898</v>
      </c>
      <c r="X792" s="31" t="s">
        <v>1935</v>
      </c>
      <c r="AJ792" s="41">
        <v>1</v>
      </c>
      <c r="AL792">
        <f t="shared" si="57"/>
        <v>0</v>
      </c>
      <c r="AM792">
        <f t="shared" si="58"/>
        <v>0</v>
      </c>
      <c r="AN792">
        <f t="shared" si="59"/>
        <v>0</v>
      </c>
    </row>
    <row r="793" spans="1:40" x14ac:dyDescent="0.2">
      <c r="A793">
        <v>88</v>
      </c>
      <c r="B793" t="s">
        <v>2051</v>
      </c>
      <c r="C793">
        <v>0</v>
      </c>
      <c r="D793">
        <v>0</v>
      </c>
      <c r="E793">
        <v>0</v>
      </c>
      <c r="G793" s="2" t="s">
        <v>1186</v>
      </c>
      <c r="H793" t="s">
        <v>1191</v>
      </c>
      <c r="I793" s="2">
        <v>26</v>
      </c>
      <c r="J793" s="2" t="s">
        <v>2154</v>
      </c>
      <c r="K793">
        <v>2020</v>
      </c>
      <c r="L793" s="2" t="s">
        <v>32</v>
      </c>
      <c r="M793" t="s">
        <v>1934</v>
      </c>
      <c r="N793" s="31">
        <v>29</v>
      </c>
      <c r="O793" s="31">
        <v>4</v>
      </c>
      <c r="P793" s="31" t="s">
        <v>2156</v>
      </c>
      <c r="Q793" s="31" t="s">
        <v>38</v>
      </c>
      <c r="R793" s="31" t="s">
        <v>39</v>
      </c>
      <c r="W793" t="s">
        <v>898</v>
      </c>
      <c r="X793" s="31" t="s">
        <v>1935</v>
      </c>
      <c r="AJ793" s="41">
        <v>1</v>
      </c>
      <c r="AL793">
        <f t="shared" si="57"/>
        <v>0</v>
      </c>
      <c r="AM793">
        <f t="shared" si="58"/>
        <v>0</v>
      </c>
      <c r="AN793">
        <f t="shared" si="59"/>
        <v>0</v>
      </c>
    </row>
    <row r="794" spans="1:40" x14ac:dyDescent="0.2">
      <c r="A794">
        <v>88</v>
      </c>
      <c r="B794" t="s">
        <v>2052</v>
      </c>
      <c r="C794">
        <v>0</v>
      </c>
      <c r="D794">
        <v>0</v>
      </c>
      <c r="E794">
        <v>0</v>
      </c>
      <c r="G794" s="2" t="s">
        <v>1186</v>
      </c>
      <c r="H794" t="s">
        <v>1191</v>
      </c>
      <c r="I794" s="2">
        <v>26</v>
      </c>
      <c r="J794" s="2" t="s">
        <v>2154</v>
      </c>
      <c r="K794">
        <v>2020</v>
      </c>
      <c r="L794" s="2" t="s">
        <v>32</v>
      </c>
      <c r="M794" t="s">
        <v>1934</v>
      </c>
      <c r="N794" s="31">
        <v>30</v>
      </c>
      <c r="O794" s="31">
        <v>3.25</v>
      </c>
      <c r="P794" s="31" t="s">
        <v>2156</v>
      </c>
      <c r="Q794" s="31" t="s">
        <v>38</v>
      </c>
      <c r="R794" s="31" t="s">
        <v>39</v>
      </c>
      <c r="W794" t="s">
        <v>898</v>
      </c>
      <c r="X794" s="31" t="s">
        <v>1935</v>
      </c>
      <c r="AJ794" s="41">
        <v>1</v>
      </c>
      <c r="AL794">
        <f t="shared" si="57"/>
        <v>0</v>
      </c>
      <c r="AM794">
        <f t="shared" si="58"/>
        <v>0</v>
      </c>
      <c r="AN794">
        <f t="shared" si="59"/>
        <v>0</v>
      </c>
    </row>
    <row r="795" spans="1:40" x14ac:dyDescent="0.2">
      <c r="A795">
        <v>88</v>
      </c>
      <c r="B795" t="s">
        <v>2053</v>
      </c>
      <c r="C795">
        <v>0</v>
      </c>
      <c r="D795">
        <v>0</v>
      </c>
      <c r="E795">
        <v>0</v>
      </c>
      <c r="G795" s="2" t="s">
        <v>1186</v>
      </c>
      <c r="H795" t="s">
        <v>1191</v>
      </c>
      <c r="I795" s="2">
        <v>26</v>
      </c>
      <c r="J795" s="2" t="s">
        <v>2154</v>
      </c>
      <c r="K795">
        <v>2020</v>
      </c>
      <c r="L795" s="2" t="s">
        <v>32</v>
      </c>
      <c r="M795" t="s">
        <v>1934</v>
      </c>
      <c r="N795" s="31">
        <v>29</v>
      </c>
      <c r="O795" s="31">
        <v>1.75</v>
      </c>
      <c r="P795" s="31" t="s">
        <v>2156</v>
      </c>
      <c r="Q795" s="31" t="s">
        <v>38</v>
      </c>
      <c r="R795" s="31" t="s">
        <v>39</v>
      </c>
      <c r="W795" t="s">
        <v>898</v>
      </c>
      <c r="X795" s="31" t="s">
        <v>1935</v>
      </c>
      <c r="AJ795" s="41">
        <v>1</v>
      </c>
      <c r="AL795">
        <f t="shared" si="57"/>
        <v>0</v>
      </c>
      <c r="AM795">
        <f t="shared" si="58"/>
        <v>0</v>
      </c>
      <c r="AN795">
        <f t="shared" si="59"/>
        <v>0</v>
      </c>
    </row>
    <row r="796" spans="1:40" x14ac:dyDescent="0.2">
      <c r="A796">
        <v>89</v>
      </c>
      <c r="B796" t="s">
        <v>2054</v>
      </c>
      <c r="C796">
        <v>0</v>
      </c>
      <c r="D796">
        <v>0</v>
      </c>
      <c r="E796">
        <v>0</v>
      </c>
      <c r="G796" s="2" t="s">
        <v>1186</v>
      </c>
      <c r="H796" t="s">
        <v>1191</v>
      </c>
      <c r="I796" s="2">
        <v>27</v>
      </c>
      <c r="J796" s="2" t="s">
        <v>2154</v>
      </c>
      <c r="K796">
        <v>2020</v>
      </c>
      <c r="L796" s="2" t="s">
        <v>32</v>
      </c>
      <c r="M796" t="s">
        <v>1941</v>
      </c>
      <c r="N796" s="31">
        <v>29</v>
      </c>
      <c r="O796" s="31">
        <v>2.5</v>
      </c>
      <c r="P796" s="31" t="s">
        <v>2156</v>
      </c>
      <c r="Q796" s="31" t="s">
        <v>38</v>
      </c>
      <c r="R796" s="31" t="s">
        <v>39</v>
      </c>
      <c r="W796" t="s">
        <v>898</v>
      </c>
      <c r="X796" s="31" t="s">
        <v>2165</v>
      </c>
      <c r="AJ796" s="41">
        <v>1</v>
      </c>
      <c r="AL796">
        <f t="shared" si="57"/>
        <v>0</v>
      </c>
      <c r="AM796">
        <f t="shared" si="58"/>
        <v>0</v>
      </c>
      <c r="AN796">
        <f t="shared" si="59"/>
        <v>0</v>
      </c>
    </row>
    <row r="797" spans="1:40" x14ac:dyDescent="0.2">
      <c r="A797">
        <v>89</v>
      </c>
      <c r="B797" t="s">
        <v>2055</v>
      </c>
      <c r="C797" s="43"/>
      <c r="D797">
        <v>0</v>
      </c>
      <c r="E797">
        <v>0</v>
      </c>
      <c r="G797" s="2" t="s">
        <v>1186</v>
      </c>
      <c r="H797" t="s">
        <v>1191</v>
      </c>
      <c r="I797" s="2">
        <v>27</v>
      </c>
      <c r="J797" s="2" t="s">
        <v>2154</v>
      </c>
      <c r="K797">
        <v>2020</v>
      </c>
      <c r="L797" s="2" t="s">
        <v>32</v>
      </c>
      <c r="M797" t="s">
        <v>1941</v>
      </c>
      <c r="N797" s="31">
        <v>32</v>
      </c>
      <c r="O797" s="31">
        <v>2</v>
      </c>
      <c r="P797" s="31" t="s">
        <v>1982</v>
      </c>
      <c r="Q797" s="31" t="s">
        <v>38</v>
      </c>
      <c r="R797" s="31" t="s">
        <v>39</v>
      </c>
      <c r="W797" t="s">
        <v>898</v>
      </c>
      <c r="X797" s="31" t="s">
        <v>2165</v>
      </c>
      <c r="AJ797" s="41">
        <v>1</v>
      </c>
      <c r="AL797">
        <f t="shared" si="57"/>
        <v>0</v>
      </c>
      <c r="AM797">
        <f t="shared" si="58"/>
        <v>0</v>
      </c>
      <c r="AN797">
        <f t="shared" si="59"/>
        <v>0</v>
      </c>
    </row>
    <row r="798" spans="1:40" x14ac:dyDescent="0.2">
      <c r="A798">
        <v>89</v>
      </c>
      <c r="B798" t="s">
        <v>2056</v>
      </c>
      <c r="C798" s="43"/>
      <c r="D798">
        <v>0</v>
      </c>
      <c r="E798">
        <v>0</v>
      </c>
      <c r="G798" s="2" t="s">
        <v>1186</v>
      </c>
      <c r="H798" t="s">
        <v>1191</v>
      </c>
      <c r="I798" s="2">
        <v>27</v>
      </c>
      <c r="J798" s="2" t="s">
        <v>2154</v>
      </c>
      <c r="K798">
        <v>2020</v>
      </c>
      <c r="L798" s="2" t="s">
        <v>32</v>
      </c>
      <c r="M798" t="s">
        <v>1941</v>
      </c>
      <c r="N798" s="31">
        <v>43</v>
      </c>
      <c r="O798" s="31">
        <v>5</v>
      </c>
      <c r="P798" s="31" t="s">
        <v>2156</v>
      </c>
      <c r="Q798" s="31" t="s">
        <v>38</v>
      </c>
      <c r="R798" s="31" t="s">
        <v>39</v>
      </c>
      <c r="W798" t="s">
        <v>898</v>
      </c>
      <c r="X798" s="31" t="s">
        <v>2165</v>
      </c>
      <c r="Z798" t="s">
        <v>2166</v>
      </c>
      <c r="AJ798" s="41">
        <v>1</v>
      </c>
      <c r="AL798">
        <f t="shared" si="57"/>
        <v>0</v>
      </c>
      <c r="AM798">
        <f t="shared" si="58"/>
        <v>0</v>
      </c>
      <c r="AN798">
        <f t="shared" si="59"/>
        <v>0</v>
      </c>
    </row>
    <row r="799" spans="1:40" x14ac:dyDescent="0.2">
      <c r="A799">
        <v>89</v>
      </c>
      <c r="B799" t="s">
        <v>2057</v>
      </c>
      <c r="C799">
        <v>0.10412123054265976</v>
      </c>
      <c r="D799">
        <v>8.9656844735145569E-2</v>
      </c>
      <c r="E799">
        <v>0</v>
      </c>
      <c r="G799" s="2" t="s">
        <v>1186</v>
      </c>
      <c r="H799" t="s">
        <v>1191</v>
      </c>
      <c r="I799" s="2">
        <v>27</v>
      </c>
      <c r="J799" s="2" t="s">
        <v>2154</v>
      </c>
      <c r="K799">
        <v>2020</v>
      </c>
      <c r="L799" s="2" t="s">
        <v>32</v>
      </c>
      <c r="M799" t="s">
        <v>1941</v>
      </c>
      <c r="N799" s="31">
        <v>31</v>
      </c>
      <c r="O799" s="31">
        <v>2</v>
      </c>
      <c r="P799" s="31" t="s">
        <v>1982</v>
      </c>
      <c r="Q799" s="31" t="s">
        <v>38</v>
      </c>
      <c r="R799" s="31" t="s">
        <v>39</v>
      </c>
      <c r="W799" t="s">
        <v>898</v>
      </c>
      <c r="X799" s="31" t="s">
        <v>2165</v>
      </c>
      <c r="AJ799" s="41">
        <v>1</v>
      </c>
      <c r="AL799">
        <f t="shared" si="57"/>
        <v>8.3296984434127808</v>
      </c>
      <c r="AM799">
        <f t="shared" si="58"/>
        <v>7.1725475788116455</v>
      </c>
      <c r="AN799">
        <f t="shared" si="59"/>
        <v>0</v>
      </c>
    </row>
    <row r="800" spans="1:40" x14ac:dyDescent="0.2">
      <c r="A800">
        <v>89</v>
      </c>
      <c r="B800" t="s">
        <v>2058</v>
      </c>
      <c r="C800">
        <v>0</v>
      </c>
      <c r="D800">
        <v>0</v>
      </c>
      <c r="E800">
        <v>0</v>
      </c>
      <c r="G800" s="2" t="s">
        <v>1186</v>
      </c>
      <c r="H800" t="s">
        <v>1191</v>
      </c>
      <c r="I800" s="2">
        <v>27</v>
      </c>
      <c r="J800" s="2" t="s">
        <v>2154</v>
      </c>
      <c r="K800">
        <v>2020</v>
      </c>
      <c r="L800" s="2" t="s">
        <v>32</v>
      </c>
      <c r="M800" t="s">
        <v>1941</v>
      </c>
      <c r="N800" s="31">
        <v>36</v>
      </c>
      <c r="O800" s="31">
        <v>4</v>
      </c>
      <c r="P800" s="31" t="s">
        <v>1982</v>
      </c>
      <c r="Q800" s="31" t="s">
        <v>38</v>
      </c>
      <c r="R800" s="31" t="s">
        <v>39</v>
      </c>
      <c r="W800" t="s">
        <v>898</v>
      </c>
      <c r="X800" s="31" t="s">
        <v>2165</v>
      </c>
      <c r="AJ800" s="41">
        <v>1</v>
      </c>
      <c r="AL800">
        <f t="shared" si="57"/>
        <v>0</v>
      </c>
      <c r="AM800">
        <f t="shared" si="58"/>
        <v>0</v>
      </c>
      <c r="AN800">
        <f t="shared" si="59"/>
        <v>0</v>
      </c>
    </row>
    <row r="801" spans="1:40" x14ac:dyDescent="0.2">
      <c r="A801">
        <v>89</v>
      </c>
      <c r="B801" t="s">
        <v>2059</v>
      </c>
      <c r="C801">
        <v>0.41721054911613464</v>
      </c>
      <c r="D801">
        <v>0.34742099046707153</v>
      </c>
      <c r="E801">
        <v>0.33789467811584473</v>
      </c>
      <c r="G801" s="2" t="s">
        <v>1186</v>
      </c>
      <c r="H801" t="s">
        <v>1191</v>
      </c>
      <c r="I801" s="2">
        <v>27</v>
      </c>
      <c r="J801" s="2" t="s">
        <v>2154</v>
      </c>
      <c r="K801">
        <v>2020</v>
      </c>
      <c r="L801" s="2" t="s">
        <v>32</v>
      </c>
      <c r="M801" t="s">
        <v>1941</v>
      </c>
      <c r="N801" s="31">
        <v>36</v>
      </c>
      <c r="O801" s="31">
        <v>4</v>
      </c>
      <c r="P801" s="31" t="s">
        <v>2156</v>
      </c>
      <c r="Q801" s="31" t="s">
        <v>38</v>
      </c>
      <c r="R801" s="31" t="s">
        <v>39</v>
      </c>
      <c r="W801" t="s">
        <v>898</v>
      </c>
      <c r="X801" s="31" t="s">
        <v>2165</v>
      </c>
      <c r="AJ801" s="41">
        <v>1</v>
      </c>
      <c r="AL801">
        <f t="shared" si="57"/>
        <v>33.376843929290771</v>
      </c>
      <c r="AM801">
        <f t="shared" si="58"/>
        <v>27.793679237365723</v>
      </c>
      <c r="AN801">
        <f t="shared" si="59"/>
        <v>27.031574249267578</v>
      </c>
    </row>
    <row r="802" spans="1:40" x14ac:dyDescent="0.2">
      <c r="A802">
        <v>89</v>
      </c>
      <c r="B802" t="s">
        <v>2060</v>
      </c>
      <c r="C802">
        <v>0</v>
      </c>
      <c r="D802">
        <v>0</v>
      </c>
      <c r="E802">
        <v>0</v>
      </c>
      <c r="G802" s="2" t="s">
        <v>1186</v>
      </c>
      <c r="H802" t="s">
        <v>1191</v>
      </c>
      <c r="I802" s="2">
        <v>27</v>
      </c>
      <c r="J802" s="2" t="s">
        <v>2154</v>
      </c>
      <c r="K802">
        <v>2020</v>
      </c>
      <c r="L802" s="2" t="s">
        <v>32</v>
      </c>
      <c r="M802" t="s">
        <v>1941</v>
      </c>
      <c r="N802" s="31">
        <v>33</v>
      </c>
      <c r="O802" s="31">
        <v>4</v>
      </c>
      <c r="P802" s="31" t="s">
        <v>1982</v>
      </c>
      <c r="Q802" s="31" t="s">
        <v>38</v>
      </c>
      <c r="R802" s="31" t="s">
        <v>39</v>
      </c>
      <c r="W802" t="s">
        <v>898</v>
      </c>
      <c r="X802" s="31" t="s">
        <v>2165</v>
      </c>
      <c r="Z802" t="s">
        <v>2167</v>
      </c>
      <c r="AJ802" s="41">
        <v>1</v>
      </c>
      <c r="AL802">
        <f t="shared" si="57"/>
        <v>0</v>
      </c>
      <c r="AM802">
        <f t="shared" si="58"/>
        <v>0</v>
      </c>
      <c r="AN802">
        <f t="shared" si="59"/>
        <v>0</v>
      </c>
    </row>
    <row r="803" spans="1:40" x14ac:dyDescent="0.2">
      <c r="A803">
        <v>89</v>
      </c>
      <c r="B803" t="s">
        <v>2061</v>
      </c>
      <c r="C803">
        <v>0.10365011543035507</v>
      </c>
      <c r="D803">
        <v>0</v>
      </c>
      <c r="E803">
        <v>0</v>
      </c>
      <c r="G803" s="2" t="s">
        <v>1186</v>
      </c>
      <c r="H803" t="s">
        <v>1191</v>
      </c>
      <c r="I803" s="2">
        <v>27</v>
      </c>
      <c r="J803" s="2" t="s">
        <v>2154</v>
      </c>
      <c r="K803">
        <v>2020</v>
      </c>
      <c r="L803" s="2" t="s">
        <v>32</v>
      </c>
      <c r="M803" t="s">
        <v>1941</v>
      </c>
      <c r="N803" s="31">
        <v>39</v>
      </c>
      <c r="O803" s="31">
        <v>4</v>
      </c>
      <c r="P803" s="31" t="s">
        <v>2156</v>
      </c>
      <c r="Q803" s="31" t="s">
        <v>38</v>
      </c>
      <c r="R803" s="31" t="s">
        <v>39</v>
      </c>
      <c r="W803" t="s">
        <v>898</v>
      </c>
      <c r="X803" s="31" t="s">
        <v>2165</v>
      </c>
      <c r="AJ803" s="41">
        <v>1</v>
      </c>
      <c r="AL803">
        <f t="shared" si="57"/>
        <v>8.2920092344284058</v>
      </c>
      <c r="AM803">
        <f t="shared" si="58"/>
        <v>0</v>
      </c>
      <c r="AN803">
        <f t="shared" si="59"/>
        <v>0</v>
      </c>
    </row>
    <row r="804" spans="1:40" x14ac:dyDescent="0.2">
      <c r="A804">
        <v>89</v>
      </c>
      <c r="B804" t="s">
        <v>2062</v>
      </c>
      <c r="C804">
        <v>0.14433175325393677</v>
      </c>
      <c r="D804">
        <v>3.4811485558748245E-2</v>
      </c>
      <c r="E804">
        <v>6.336558610200882E-2</v>
      </c>
      <c r="G804" s="2" t="s">
        <v>1186</v>
      </c>
      <c r="H804" t="s">
        <v>1191</v>
      </c>
      <c r="I804" s="2">
        <v>27</v>
      </c>
      <c r="J804" s="2" t="s">
        <v>2154</v>
      </c>
      <c r="K804">
        <v>2020</v>
      </c>
      <c r="L804" s="2" t="s">
        <v>32</v>
      </c>
      <c r="M804" t="s">
        <v>1941</v>
      </c>
      <c r="N804" s="31">
        <v>31</v>
      </c>
      <c r="O804" s="31">
        <v>2.5</v>
      </c>
      <c r="P804" s="31" t="s">
        <v>2156</v>
      </c>
      <c r="Q804" s="31" t="s">
        <v>38</v>
      </c>
      <c r="R804" s="31" t="s">
        <v>39</v>
      </c>
      <c r="W804" t="s">
        <v>898</v>
      </c>
      <c r="X804" s="31" t="s">
        <v>2165</v>
      </c>
      <c r="AJ804" s="41">
        <v>1</v>
      </c>
      <c r="AL804">
        <f t="shared" si="57"/>
        <v>11.546540260314941</v>
      </c>
      <c r="AM804">
        <f t="shared" si="58"/>
        <v>2.7849188446998596</v>
      </c>
      <c r="AN804">
        <f t="shared" si="59"/>
        <v>5.0692468881607056</v>
      </c>
    </row>
    <row r="805" spans="1:40" x14ac:dyDescent="0.2">
      <c r="A805">
        <v>89</v>
      </c>
      <c r="B805" t="s">
        <v>2063</v>
      </c>
      <c r="C805">
        <v>0.21889853477478027</v>
      </c>
      <c r="D805">
        <v>0</v>
      </c>
      <c r="E805">
        <v>0</v>
      </c>
      <c r="G805" s="2" t="s">
        <v>1186</v>
      </c>
      <c r="H805" t="s">
        <v>1191</v>
      </c>
      <c r="I805" s="2">
        <v>27</v>
      </c>
      <c r="J805" s="2" t="s">
        <v>2154</v>
      </c>
      <c r="K805">
        <v>2020</v>
      </c>
      <c r="L805" s="2" t="s">
        <v>32</v>
      </c>
      <c r="M805" t="s">
        <v>1941</v>
      </c>
      <c r="N805" s="31">
        <v>30</v>
      </c>
      <c r="O805" s="31">
        <v>3</v>
      </c>
      <c r="P805" s="31" t="s">
        <v>1982</v>
      </c>
      <c r="Q805" s="31" t="s">
        <v>38</v>
      </c>
      <c r="R805" s="31" t="s">
        <v>39</v>
      </c>
      <c r="W805" t="s">
        <v>898</v>
      </c>
      <c r="X805" s="31" t="s">
        <v>2165</v>
      </c>
      <c r="AJ805" s="41">
        <v>1</v>
      </c>
      <c r="AL805">
        <f t="shared" si="57"/>
        <v>17.511882781982422</v>
      </c>
      <c r="AM805">
        <f t="shared" si="58"/>
        <v>0</v>
      </c>
      <c r="AN805">
        <f t="shared" si="59"/>
        <v>0</v>
      </c>
    </row>
    <row r="806" spans="1:40" x14ac:dyDescent="0.2">
      <c r="A806">
        <v>91</v>
      </c>
      <c r="B806" t="s">
        <v>2064</v>
      </c>
      <c r="C806">
        <v>0</v>
      </c>
      <c r="D806">
        <v>0</v>
      </c>
      <c r="E806">
        <v>0</v>
      </c>
      <c r="G806" s="2" t="s">
        <v>1186</v>
      </c>
      <c r="H806" t="s">
        <v>1191</v>
      </c>
      <c r="I806" s="2">
        <v>27</v>
      </c>
      <c r="J806" s="2" t="s">
        <v>2154</v>
      </c>
      <c r="K806">
        <v>2020</v>
      </c>
      <c r="L806" s="2" t="s">
        <v>32</v>
      </c>
      <c r="M806" t="s">
        <v>1941</v>
      </c>
      <c r="N806" s="31">
        <v>36</v>
      </c>
      <c r="O806" s="31">
        <v>4.5</v>
      </c>
      <c r="P806" s="31" t="s">
        <v>2156</v>
      </c>
      <c r="Q806" s="31" t="s">
        <v>38</v>
      </c>
      <c r="R806" s="31" t="s">
        <v>39</v>
      </c>
      <c r="W806" t="s">
        <v>898</v>
      </c>
      <c r="X806" s="31" t="s">
        <v>2169</v>
      </c>
      <c r="AJ806" s="41">
        <v>1</v>
      </c>
      <c r="AL806">
        <f t="shared" si="57"/>
        <v>0</v>
      </c>
      <c r="AM806">
        <f t="shared" si="58"/>
        <v>0</v>
      </c>
      <c r="AN806">
        <f t="shared" si="59"/>
        <v>0</v>
      </c>
    </row>
    <row r="807" spans="1:40" x14ac:dyDescent="0.2">
      <c r="A807">
        <v>91</v>
      </c>
      <c r="B807" t="s">
        <v>2065</v>
      </c>
      <c r="C807">
        <v>0</v>
      </c>
      <c r="D807">
        <v>0</v>
      </c>
      <c r="E807">
        <v>0</v>
      </c>
      <c r="G807" s="2" t="s">
        <v>1186</v>
      </c>
      <c r="H807" t="s">
        <v>1191</v>
      </c>
      <c r="I807" s="2">
        <v>27</v>
      </c>
      <c r="J807" s="2" t="s">
        <v>2154</v>
      </c>
      <c r="K807">
        <v>2020</v>
      </c>
      <c r="L807" s="2" t="s">
        <v>32</v>
      </c>
      <c r="M807" t="s">
        <v>1941</v>
      </c>
      <c r="N807" s="31">
        <v>35</v>
      </c>
      <c r="O807" s="31">
        <v>4</v>
      </c>
      <c r="P807" s="31" t="s">
        <v>2156</v>
      </c>
      <c r="Q807" s="31" t="s">
        <v>38</v>
      </c>
      <c r="R807" s="31" t="s">
        <v>39</v>
      </c>
      <c r="W807" t="s">
        <v>898</v>
      </c>
      <c r="X807" s="31" t="s">
        <v>2169</v>
      </c>
      <c r="AJ807" s="41">
        <v>1</v>
      </c>
      <c r="AL807">
        <f t="shared" si="57"/>
        <v>0</v>
      </c>
      <c r="AM807">
        <f t="shared" si="58"/>
        <v>0</v>
      </c>
      <c r="AN807">
        <f t="shared" si="59"/>
        <v>0</v>
      </c>
    </row>
    <row r="808" spans="1:40" x14ac:dyDescent="0.2">
      <c r="A808">
        <v>91</v>
      </c>
      <c r="B808" t="s">
        <v>2066</v>
      </c>
      <c r="C808">
        <v>0</v>
      </c>
      <c r="D808">
        <v>0</v>
      </c>
      <c r="E808">
        <v>0</v>
      </c>
      <c r="G808" s="2" t="s">
        <v>1186</v>
      </c>
      <c r="H808" t="s">
        <v>1191</v>
      </c>
      <c r="I808" s="2">
        <v>27</v>
      </c>
      <c r="J808" s="2" t="s">
        <v>2154</v>
      </c>
      <c r="K808">
        <v>2020</v>
      </c>
      <c r="L808" s="2" t="s">
        <v>32</v>
      </c>
      <c r="M808" t="s">
        <v>1941</v>
      </c>
      <c r="N808" s="31">
        <v>36</v>
      </c>
      <c r="O808" s="31">
        <v>3.5</v>
      </c>
      <c r="P808" s="31" t="s">
        <v>1982</v>
      </c>
      <c r="Q808" s="31" t="s">
        <v>38</v>
      </c>
      <c r="R808" s="31" t="s">
        <v>39</v>
      </c>
      <c r="W808" t="s">
        <v>898</v>
      </c>
      <c r="X808" s="31" t="s">
        <v>2169</v>
      </c>
      <c r="AJ808" s="41">
        <v>1</v>
      </c>
      <c r="AL808">
        <f t="shared" si="57"/>
        <v>0</v>
      </c>
      <c r="AM808">
        <f t="shared" si="58"/>
        <v>0</v>
      </c>
      <c r="AN808">
        <f t="shared" si="59"/>
        <v>0</v>
      </c>
    </row>
    <row r="809" spans="1:40" x14ac:dyDescent="0.2">
      <c r="A809">
        <v>91</v>
      </c>
      <c r="B809" t="s">
        <v>2067</v>
      </c>
      <c r="C809">
        <v>3.6621123552322388E-2</v>
      </c>
      <c r="D809">
        <v>0</v>
      </c>
      <c r="E809">
        <v>4.2682629078626633E-2</v>
      </c>
      <c r="G809" s="2" t="s">
        <v>1186</v>
      </c>
      <c r="H809" t="s">
        <v>1191</v>
      </c>
      <c r="I809" s="2">
        <v>27</v>
      </c>
      <c r="J809" s="2" t="s">
        <v>2154</v>
      </c>
      <c r="K809">
        <v>2020</v>
      </c>
      <c r="L809" s="2" t="s">
        <v>32</v>
      </c>
      <c r="M809" t="s">
        <v>1941</v>
      </c>
      <c r="N809" s="31">
        <v>34</v>
      </c>
      <c r="O809" s="31">
        <v>4</v>
      </c>
      <c r="P809" s="31" t="s">
        <v>1982</v>
      </c>
      <c r="Q809" s="31" t="s">
        <v>38</v>
      </c>
      <c r="R809" s="31" t="s">
        <v>39</v>
      </c>
      <c r="W809" t="s">
        <v>898</v>
      </c>
      <c r="X809" s="31" t="s">
        <v>2169</v>
      </c>
      <c r="AJ809" s="41">
        <v>1</v>
      </c>
      <c r="AL809">
        <f t="shared" si="57"/>
        <v>2.929689884185791</v>
      </c>
      <c r="AM809">
        <f t="shared" si="58"/>
        <v>0</v>
      </c>
      <c r="AN809">
        <f t="shared" si="59"/>
        <v>3.4146103262901306</v>
      </c>
    </row>
    <row r="810" spans="1:40" x14ac:dyDescent="0.2">
      <c r="A810">
        <v>91</v>
      </c>
      <c r="B810" t="s">
        <v>2068</v>
      </c>
      <c r="C810">
        <v>0</v>
      </c>
      <c r="D810">
        <v>0</v>
      </c>
      <c r="E810">
        <v>0</v>
      </c>
      <c r="G810" s="2" t="s">
        <v>1186</v>
      </c>
      <c r="H810" t="s">
        <v>1191</v>
      </c>
      <c r="I810" s="2">
        <v>27</v>
      </c>
      <c r="J810" s="2" t="s">
        <v>2154</v>
      </c>
      <c r="K810">
        <v>2020</v>
      </c>
      <c r="L810" s="2" t="s">
        <v>32</v>
      </c>
      <c r="M810" t="s">
        <v>1941</v>
      </c>
      <c r="N810" s="31">
        <v>34</v>
      </c>
      <c r="O810" s="31">
        <v>4</v>
      </c>
      <c r="P810" s="31" t="s">
        <v>1982</v>
      </c>
      <c r="Q810" s="31" t="s">
        <v>38</v>
      </c>
      <c r="R810" s="31" t="s">
        <v>39</v>
      </c>
      <c r="W810" t="s">
        <v>898</v>
      </c>
      <c r="X810" s="31" t="s">
        <v>2169</v>
      </c>
      <c r="AJ810" s="41">
        <v>1</v>
      </c>
      <c r="AL810">
        <f t="shared" si="57"/>
        <v>0</v>
      </c>
      <c r="AM810">
        <f t="shared" si="58"/>
        <v>0</v>
      </c>
      <c r="AN810">
        <f t="shared" si="59"/>
        <v>0</v>
      </c>
    </row>
    <row r="811" spans="1:40" x14ac:dyDescent="0.2">
      <c r="A811">
        <v>91</v>
      </c>
      <c r="B811" t="s">
        <v>2069</v>
      </c>
      <c r="C811">
        <v>0</v>
      </c>
      <c r="D811">
        <v>0</v>
      </c>
      <c r="E811">
        <v>0</v>
      </c>
      <c r="G811" s="2" t="s">
        <v>1186</v>
      </c>
      <c r="H811" t="s">
        <v>1191</v>
      </c>
      <c r="I811" s="2">
        <v>27</v>
      </c>
      <c r="J811" s="2" t="s">
        <v>2154</v>
      </c>
      <c r="K811">
        <v>2020</v>
      </c>
      <c r="L811" s="2" t="s">
        <v>32</v>
      </c>
      <c r="M811" t="s">
        <v>1941</v>
      </c>
      <c r="N811" s="31">
        <v>31</v>
      </c>
      <c r="O811" s="31">
        <v>3</v>
      </c>
      <c r="P811" s="31" t="s">
        <v>1982</v>
      </c>
      <c r="Q811" s="31" t="s">
        <v>38</v>
      </c>
      <c r="R811" s="31" t="s">
        <v>39</v>
      </c>
      <c r="W811" t="s">
        <v>898</v>
      </c>
      <c r="X811" s="31" t="s">
        <v>2169</v>
      </c>
      <c r="AJ811" s="41">
        <v>1</v>
      </c>
      <c r="AL811">
        <f t="shared" si="57"/>
        <v>0</v>
      </c>
      <c r="AM811">
        <f t="shared" si="58"/>
        <v>0</v>
      </c>
      <c r="AN811">
        <f t="shared" si="59"/>
        <v>0</v>
      </c>
    </row>
    <row r="812" spans="1:40" x14ac:dyDescent="0.2">
      <c r="A812">
        <v>91</v>
      </c>
      <c r="B812" t="s">
        <v>2070</v>
      </c>
      <c r="C812">
        <v>0</v>
      </c>
      <c r="D812">
        <v>0</v>
      </c>
      <c r="E812">
        <v>0</v>
      </c>
      <c r="G812" s="2" t="s">
        <v>1186</v>
      </c>
      <c r="H812" t="s">
        <v>1191</v>
      </c>
      <c r="I812" s="2">
        <v>27</v>
      </c>
      <c r="J812" s="2" t="s">
        <v>2154</v>
      </c>
      <c r="K812">
        <v>2020</v>
      </c>
      <c r="L812" s="2" t="s">
        <v>32</v>
      </c>
      <c r="M812" t="s">
        <v>1941</v>
      </c>
      <c r="N812" s="31">
        <v>33</v>
      </c>
      <c r="O812" s="31">
        <v>3.5</v>
      </c>
      <c r="P812" s="31" t="s">
        <v>1982</v>
      </c>
      <c r="Q812" s="31" t="s">
        <v>38</v>
      </c>
      <c r="R812" s="31" t="s">
        <v>39</v>
      </c>
      <c r="W812" t="s">
        <v>898</v>
      </c>
      <c r="X812" s="31" t="s">
        <v>2169</v>
      </c>
      <c r="AJ812" s="41">
        <v>1</v>
      </c>
      <c r="AL812">
        <f t="shared" si="57"/>
        <v>0</v>
      </c>
      <c r="AM812">
        <f t="shared" si="58"/>
        <v>0</v>
      </c>
      <c r="AN812">
        <f t="shared" si="59"/>
        <v>0</v>
      </c>
    </row>
    <row r="813" spans="1:40" x14ac:dyDescent="0.2">
      <c r="A813">
        <v>91</v>
      </c>
      <c r="B813" t="s">
        <v>2071</v>
      </c>
      <c r="C813">
        <v>0</v>
      </c>
      <c r="D813">
        <v>0</v>
      </c>
      <c r="E813">
        <v>0</v>
      </c>
      <c r="G813" s="2" t="s">
        <v>1186</v>
      </c>
      <c r="H813" t="s">
        <v>1191</v>
      </c>
      <c r="I813" s="2">
        <v>27</v>
      </c>
      <c r="J813" s="2" t="s">
        <v>2154</v>
      </c>
      <c r="K813">
        <v>2020</v>
      </c>
      <c r="L813" s="2" t="s">
        <v>32</v>
      </c>
      <c r="M813" t="s">
        <v>1941</v>
      </c>
      <c r="N813" s="31">
        <v>34</v>
      </c>
      <c r="O813" s="31">
        <v>3.5</v>
      </c>
      <c r="P813" s="31" t="s">
        <v>2156</v>
      </c>
      <c r="Q813" s="31" t="s">
        <v>38</v>
      </c>
      <c r="R813" s="31" t="s">
        <v>39</v>
      </c>
      <c r="W813" t="s">
        <v>898</v>
      </c>
      <c r="X813" s="31" t="s">
        <v>2169</v>
      </c>
      <c r="Z813" t="s">
        <v>2168</v>
      </c>
      <c r="AJ813" s="41">
        <v>1</v>
      </c>
      <c r="AL813">
        <f t="shared" si="57"/>
        <v>0</v>
      </c>
      <c r="AM813">
        <f t="shared" si="58"/>
        <v>0</v>
      </c>
      <c r="AN813">
        <f t="shared" si="59"/>
        <v>0</v>
      </c>
    </row>
    <row r="814" spans="1:40" x14ac:dyDescent="0.2">
      <c r="A814">
        <v>91</v>
      </c>
      <c r="B814" t="s">
        <v>2072</v>
      </c>
      <c r="C814">
        <v>0.46395400166511536</v>
      </c>
      <c r="D814">
        <v>0.1435779333114624</v>
      </c>
      <c r="E814">
        <v>0.11536204814910889</v>
      </c>
      <c r="G814" s="2" t="s">
        <v>1186</v>
      </c>
      <c r="H814" t="s">
        <v>1191</v>
      </c>
      <c r="I814" s="2">
        <v>27</v>
      </c>
      <c r="J814" s="2" t="s">
        <v>2154</v>
      </c>
      <c r="K814">
        <v>2020</v>
      </c>
      <c r="L814" s="2" t="s">
        <v>32</v>
      </c>
      <c r="M814" t="s">
        <v>1941</v>
      </c>
      <c r="N814" s="31">
        <v>34</v>
      </c>
      <c r="O814" s="31">
        <v>3.5</v>
      </c>
      <c r="P814" s="31" t="s">
        <v>41</v>
      </c>
      <c r="Q814" s="31" t="s">
        <v>38</v>
      </c>
      <c r="R814" s="31" t="s">
        <v>39</v>
      </c>
      <c r="W814" t="s">
        <v>898</v>
      </c>
      <c r="X814" s="31" t="s">
        <v>2169</v>
      </c>
      <c r="AJ814" s="41">
        <v>1</v>
      </c>
      <c r="AL814">
        <f t="shared" si="57"/>
        <v>37.116320133209229</v>
      </c>
      <c r="AM814">
        <f t="shared" si="58"/>
        <v>11.486234664916992</v>
      </c>
      <c r="AN814">
        <f t="shared" si="59"/>
        <v>9.2289638519287109</v>
      </c>
    </row>
    <row r="815" spans="1:40" x14ac:dyDescent="0.2">
      <c r="A815">
        <v>92</v>
      </c>
      <c r="B815" t="s">
        <v>2073</v>
      </c>
      <c r="C815">
        <v>0</v>
      </c>
      <c r="D815">
        <v>0</v>
      </c>
      <c r="E815">
        <v>0</v>
      </c>
      <c r="G815" s="2" t="s">
        <v>1186</v>
      </c>
      <c r="H815" t="s">
        <v>1191</v>
      </c>
      <c r="I815" s="2">
        <v>28</v>
      </c>
      <c r="J815" s="2" t="s">
        <v>2154</v>
      </c>
      <c r="K815">
        <v>2020</v>
      </c>
      <c r="L815" s="2" t="s">
        <v>32</v>
      </c>
      <c r="M815" t="s">
        <v>2170</v>
      </c>
      <c r="N815" s="31">
        <v>37</v>
      </c>
      <c r="O815" s="31">
        <v>4</v>
      </c>
      <c r="P815" s="31" t="s">
        <v>1982</v>
      </c>
      <c r="Q815" s="31" t="s">
        <v>38</v>
      </c>
      <c r="R815" s="31" t="s">
        <v>39</v>
      </c>
      <c r="W815" t="s">
        <v>898</v>
      </c>
      <c r="X815" s="31" t="s">
        <v>2171</v>
      </c>
      <c r="AJ815" s="41">
        <v>1</v>
      </c>
      <c r="AL815">
        <f t="shared" si="57"/>
        <v>0</v>
      </c>
      <c r="AM815">
        <f t="shared" si="58"/>
        <v>0</v>
      </c>
      <c r="AN815">
        <f t="shared" si="59"/>
        <v>0</v>
      </c>
    </row>
    <row r="816" spans="1:40" x14ac:dyDescent="0.2">
      <c r="A816">
        <v>92</v>
      </c>
      <c r="B816" t="s">
        <v>2074</v>
      </c>
      <c r="C816">
        <v>0</v>
      </c>
      <c r="D816">
        <v>0</v>
      </c>
      <c r="E816">
        <v>0</v>
      </c>
      <c r="G816" s="2" t="s">
        <v>1186</v>
      </c>
      <c r="H816" t="s">
        <v>1191</v>
      </c>
      <c r="I816" s="2">
        <v>28</v>
      </c>
      <c r="J816" s="2" t="s">
        <v>2154</v>
      </c>
      <c r="K816">
        <v>2020</v>
      </c>
      <c r="L816" s="2" t="s">
        <v>32</v>
      </c>
      <c r="M816" t="s">
        <v>2170</v>
      </c>
      <c r="N816" s="31">
        <v>34</v>
      </c>
      <c r="O816" s="31">
        <v>3.5</v>
      </c>
      <c r="P816" s="31" t="s">
        <v>1982</v>
      </c>
      <c r="Q816" s="31" t="s">
        <v>38</v>
      </c>
      <c r="R816" s="31" t="s">
        <v>39</v>
      </c>
      <c r="W816" t="s">
        <v>898</v>
      </c>
      <c r="X816" s="31" t="s">
        <v>2171</v>
      </c>
      <c r="AJ816" s="41">
        <v>1</v>
      </c>
      <c r="AL816">
        <f t="shared" si="57"/>
        <v>0</v>
      </c>
      <c r="AM816">
        <f t="shared" si="58"/>
        <v>0</v>
      </c>
      <c r="AN816">
        <f t="shared" si="59"/>
        <v>0</v>
      </c>
    </row>
    <row r="817" spans="1:40" x14ac:dyDescent="0.2">
      <c r="A817">
        <v>92</v>
      </c>
      <c r="B817" t="s">
        <v>2075</v>
      </c>
      <c r="C817">
        <v>0</v>
      </c>
      <c r="D817">
        <v>0</v>
      </c>
      <c r="E817">
        <v>0</v>
      </c>
      <c r="G817" s="2" t="s">
        <v>1186</v>
      </c>
      <c r="H817" t="s">
        <v>1191</v>
      </c>
      <c r="I817" s="2">
        <v>28</v>
      </c>
      <c r="J817" s="2" t="s">
        <v>2154</v>
      </c>
      <c r="K817">
        <v>2020</v>
      </c>
      <c r="L817" s="2" t="s">
        <v>32</v>
      </c>
      <c r="M817" t="s">
        <v>2170</v>
      </c>
      <c r="N817" s="31">
        <v>35</v>
      </c>
      <c r="O817" s="31">
        <v>4</v>
      </c>
      <c r="P817" s="31" t="s">
        <v>1982</v>
      </c>
      <c r="Q817" s="31" t="s">
        <v>38</v>
      </c>
      <c r="R817" s="31" t="s">
        <v>39</v>
      </c>
      <c r="W817" t="s">
        <v>898</v>
      </c>
      <c r="X817" s="31" t="s">
        <v>2171</v>
      </c>
      <c r="AJ817" s="41">
        <v>1</v>
      </c>
      <c r="AL817">
        <f t="shared" si="57"/>
        <v>0</v>
      </c>
      <c r="AM817">
        <f t="shared" si="58"/>
        <v>0</v>
      </c>
      <c r="AN817">
        <f t="shared" si="59"/>
        <v>0</v>
      </c>
    </row>
    <row r="818" spans="1:40" x14ac:dyDescent="0.2">
      <c r="A818">
        <v>92</v>
      </c>
      <c r="B818" t="s">
        <v>2076</v>
      </c>
      <c r="C818">
        <v>0</v>
      </c>
      <c r="D818">
        <v>0</v>
      </c>
      <c r="E818">
        <v>0</v>
      </c>
      <c r="G818" s="2" t="s">
        <v>1186</v>
      </c>
      <c r="H818" t="s">
        <v>1191</v>
      </c>
      <c r="I818" s="2">
        <v>28</v>
      </c>
      <c r="J818" s="2" t="s">
        <v>2154</v>
      </c>
      <c r="K818">
        <v>2020</v>
      </c>
      <c r="L818" s="2" t="s">
        <v>32</v>
      </c>
      <c r="M818" t="s">
        <v>2170</v>
      </c>
      <c r="N818" s="31">
        <v>31</v>
      </c>
      <c r="O818" s="31">
        <v>3</v>
      </c>
      <c r="P818" s="31" t="s">
        <v>1982</v>
      </c>
      <c r="Q818" s="31" t="s">
        <v>38</v>
      </c>
      <c r="R818" s="31" t="s">
        <v>39</v>
      </c>
      <c r="W818" t="s">
        <v>898</v>
      </c>
      <c r="X818" s="31" t="s">
        <v>2171</v>
      </c>
      <c r="Z818" t="s">
        <v>2172</v>
      </c>
      <c r="AJ818" s="41">
        <v>1</v>
      </c>
      <c r="AL818">
        <f t="shared" si="57"/>
        <v>0</v>
      </c>
      <c r="AM818">
        <f t="shared" si="58"/>
        <v>0</v>
      </c>
      <c r="AN818">
        <f t="shared" si="59"/>
        <v>0</v>
      </c>
    </row>
    <row r="819" spans="1:40" x14ac:dyDescent="0.2">
      <c r="A819">
        <v>92</v>
      </c>
      <c r="B819" t="s">
        <v>2077</v>
      </c>
      <c r="C819">
        <v>0</v>
      </c>
      <c r="D819">
        <v>0</v>
      </c>
      <c r="E819">
        <v>0</v>
      </c>
      <c r="G819" s="2" t="s">
        <v>1186</v>
      </c>
      <c r="H819" t="s">
        <v>1191</v>
      </c>
      <c r="I819" s="2">
        <v>28</v>
      </c>
      <c r="J819" s="2" t="s">
        <v>2154</v>
      </c>
      <c r="K819">
        <v>2020</v>
      </c>
      <c r="L819" s="2" t="s">
        <v>32</v>
      </c>
      <c r="M819" t="s">
        <v>2170</v>
      </c>
      <c r="N819" s="31">
        <v>32</v>
      </c>
      <c r="O819" s="31">
        <v>3</v>
      </c>
      <c r="P819" s="31" t="s">
        <v>1982</v>
      </c>
      <c r="Q819" s="31" t="s">
        <v>38</v>
      </c>
      <c r="R819" s="31" t="s">
        <v>39</v>
      </c>
      <c r="W819" t="s">
        <v>898</v>
      </c>
      <c r="X819" s="31" t="s">
        <v>2171</v>
      </c>
      <c r="AJ819" s="41">
        <v>1</v>
      </c>
      <c r="AL819">
        <f t="shared" si="57"/>
        <v>0</v>
      </c>
      <c r="AM819">
        <f t="shared" si="58"/>
        <v>0</v>
      </c>
      <c r="AN819">
        <f t="shared" si="59"/>
        <v>0</v>
      </c>
    </row>
    <row r="820" spans="1:40" x14ac:dyDescent="0.2">
      <c r="A820">
        <v>93</v>
      </c>
      <c r="B820" t="s">
        <v>2078</v>
      </c>
      <c r="C820">
        <v>0</v>
      </c>
      <c r="D820">
        <v>0</v>
      </c>
      <c r="E820">
        <v>0</v>
      </c>
      <c r="G820" s="2" t="s">
        <v>1186</v>
      </c>
      <c r="H820" t="s">
        <v>1191</v>
      </c>
      <c r="I820" s="2">
        <v>28</v>
      </c>
      <c r="J820" s="2" t="s">
        <v>2154</v>
      </c>
      <c r="K820">
        <v>2020</v>
      </c>
      <c r="L820" s="2" t="s">
        <v>32</v>
      </c>
      <c r="M820" t="s">
        <v>2170</v>
      </c>
      <c r="N820" s="31">
        <v>33</v>
      </c>
      <c r="O820" s="31">
        <v>3</v>
      </c>
      <c r="P820" s="31" t="s">
        <v>1982</v>
      </c>
      <c r="Q820" s="31" t="s">
        <v>38</v>
      </c>
      <c r="R820" s="31" t="s">
        <v>39</v>
      </c>
      <c r="W820" t="s">
        <v>898</v>
      </c>
      <c r="X820" s="31" t="s">
        <v>2173</v>
      </c>
      <c r="AJ820" s="41">
        <v>1</v>
      </c>
      <c r="AL820">
        <f t="shared" si="57"/>
        <v>0</v>
      </c>
      <c r="AM820">
        <f t="shared" si="58"/>
        <v>0</v>
      </c>
      <c r="AN820">
        <f t="shared" si="59"/>
        <v>0</v>
      </c>
    </row>
    <row r="821" spans="1:40" x14ac:dyDescent="0.2">
      <c r="A821">
        <v>93</v>
      </c>
      <c r="B821" t="s">
        <v>2079</v>
      </c>
      <c r="C821">
        <v>0</v>
      </c>
      <c r="D821">
        <v>0</v>
      </c>
      <c r="E821">
        <v>0</v>
      </c>
      <c r="G821" s="2" t="s">
        <v>1186</v>
      </c>
      <c r="H821" t="s">
        <v>1191</v>
      </c>
      <c r="I821" s="2">
        <v>28</v>
      </c>
      <c r="J821" s="2" t="s">
        <v>2154</v>
      </c>
      <c r="K821">
        <v>2020</v>
      </c>
      <c r="L821" s="2" t="s">
        <v>32</v>
      </c>
      <c r="M821" t="s">
        <v>2170</v>
      </c>
      <c r="N821" s="31">
        <v>32</v>
      </c>
      <c r="O821" s="31">
        <v>4.5</v>
      </c>
      <c r="P821" s="31" t="s">
        <v>1982</v>
      </c>
      <c r="Q821" s="31" t="s">
        <v>38</v>
      </c>
      <c r="R821" s="31" t="s">
        <v>39</v>
      </c>
      <c r="W821" t="s">
        <v>898</v>
      </c>
      <c r="X821" s="31" t="s">
        <v>2173</v>
      </c>
      <c r="AJ821" s="41">
        <v>1</v>
      </c>
      <c r="AL821">
        <f t="shared" si="57"/>
        <v>0</v>
      </c>
      <c r="AM821">
        <f t="shared" si="58"/>
        <v>0</v>
      </c>
      <c r="AN821">
        <f t="shared" si="59"/>
        <v>0</v>
      </c>
    </row>
    <row r="822" spans="1:40" x14ac:dyDescent="0.2">
      <c r="A822">
        <v>93</v>
      </c>
      <c r="B822" t="s">
        <v>2080</v>
      </c>
      <c r="C822">
        <v>0</v>
      </c>
      <c r="D822">
        <v>0</v>
      </c>
      <c r="E822">
        <v>0</v>
      </c>
      <c r="G822" s="2" t="s">
        <v>1186</v>
      </c>
      <c r="H822" t="s">
        <v>1191</v>
      </c>
      <c r="I822" s="2">
        <v>28</v>
      </c>
      <c r="J822" s="2" t="s">
        <v>2154</v>
      </c>
      <c r="K822">
        <v>2020</v>
      </c>
      <c r="L822" s="2" t="s">
        <v>32</v>
      </c>
      <c r="M822" t="s">
        <v>2170</v>
      </c>
      <c r="N822" s="31">
        <v>32</v>
      </c>
      <c r="O822" s="31">
        <v>3</v>
      </c>
      <c r="P822" s="31" t="s">
        <v>1982</v>
      </c>
      <c r="Q822" s="31" t="s">
        <v>38</v>
      </c>
      <c r="R822" s="31" t="s">
        <v>39</v>
      </c>
      <c r="W822" t="s">
        <v>898</v>
      </c>
      <c r="X822" s="31" t="s">
        <v>2173</v>
      </c>
      <c r="AJ822" s="41">
        <v>1</v>
      </c>
      <c r="AL822">
        <f t="shared" si="57"/>
        <v>0</v>
      </c>
      <c r="AM822">
        <f t="shared" si="58"/>
        <v>0</v>
      </c>
      <c r="AN822">
        <f t="shared" si="59"/>
        <v>0</v>
      </c>
    </row>
    <row r="823" spans="1:40" x14ac:dyDescent="0.2">
      <c r="A823">
        <v>94</v>
      </c>
      <c r="B823" t="s">
        <v>2081</v>
      </c>
      <c r="C823">
        <v>6.062847375869751E-2</v>
      </c>
      <c r="D823">
        <v>7.6992280781269073E-2</v>
      </c>
      <c r="E823">
        <v>0</v>
      </c>
      <c r="G823" s="2" t="s">
        <v>1186</v>
      </c>
      <c r="H823" t="s">
        <v>1191</v>
      </c>
      <c r="I823" s="2">
        <v>28</v>
      </c>
      <c r="J823" s="2" t="s">
        <v>2154</v>
      </c>
      <c r="K823">
        <v>2021</v>
      </c>
      <c r="L823" s="2" t="s">
        <v>32</v>
      </c>
      <c r="M823" t="s">
        <v>2170</v>
      </c>
      <c r="N823" s="31">
        <v>32</v>
      </c>
      <c r="O823" s="31">
        <v>3.5</v>
      </c>
      <c r="P823" s="31" t="s">
        <v>1982</v>
      </c>
      <c r="Q823" s="31" t="s">
        <v>38</v>
      </c>
      <c r="R823" s="31" t="s">
        <v>39</v>
      </c>
      <c r="W823" t="s">
        <v>898</v>
      </c>
      <c r="X823" s="31" t="s">
        <v>2174</v>
      </c>
      <c r="AJ823" s="41">
        <v>1</v>
      </c>
      <c r="AL823">
        <f t="shared" si="57"/>
        <v>4.8502779006958008</v>
      </c>
      <c r="AM823">
        <f t="shared" si="58"/>
        <v>6.1593824625015259</v>
      </c>
      <c r="AN823">
        <f t="shared" si="59"/>
        <v>0</v>
      </c>
    </row>
    <row r="824" spans="1:40" x14ac:dyDescent="0.2">
      <c r="A824">
        <v>96</v>
      </c>
      <c r="B824" t="s">
        <v>2082</v>
      </c>
      <c r="C824">
        <v>0</v>
      </c>
      <c r="D824">
        <v>0</v>
      </c>
      <c r="E824">
        <v>0</v>
      </c>
      <c r="G824" s="2" t="s">
        <v>1186</v>
      </c>
      <c r="H824" t="s">
        <v>1191</v>
      </c>
      <c r="I824" s="2">
        <v>29</v>
      </c>
      <c r="J824" s="2" t="s">
        <v>2154</v>
      </c>
      <c r="K824">
        <v>2020</v>
      </c>
      <c r="L824" s="2" t="s">
        <v>32</v>
      </c>
      <c r="M824" t="s">
        <v>897</v>
      </c>
      <c r="N824" s="31">
        <v>33</v>
      </c>
      <c r="O824">
        <f>21.5-19.5</f>
        <v>2</v>
      </c>
      <c r="P824" s="31" t="s">
        <v>2208</v>
      </c>
      <c r="Q824" s="31" t="s">
        <v>38</v>
      </c>
      <c r="R824" s="31" t="s">
        <v>39</v>
      </c>
      <c r="S824" s="4">
        <v>37.38964</v>
      </c>
      <c r="T824" s="4">
        <v>-121.73273</v>
      </c>
      <c r="U824">
        <v>2353</v>
      </c>
      <c r="V824" s="6">
        <f t="shared" ref="V812:V875" si="60">U824*0.3048</f>
        <v>717.19440000000009</v>
      </c>
      <c r="W824" t="s">
        <v>898</v>
      </c>
      <c r="X824" s="31" t="s">
        <v>2209</v>
      </c>
      <c r="Y824" t="s">
        <v>2390</v>
      </c>
      <c r="AA824" t="s">
        <v>2216</v>
      </c>
      <c r="AJ824" s="41">
        <v>0</v>
      </c>
      <c r="AL824">
        <f t="shared" si="57"/>
        <v>0</v>
      </c>
      <c r="AM824">
        <f t="shared" si="58"/>
        <v>0</v>
      </c>
      <c r="AN824">
        <f t="shared" si="59"/>
        <v>0</v>
      </c>
    </row>
    <row r="825" spans="1:40" x14ac:dyDescent="0.2">
      <c r="A825">
        <v>96</v>
      </c>
      <c r="B825" t="s">
        <v>2083</v>
      </c>
      <c r="C825">
        <v>0</v>
      </c>
      <c r="D825">
        <v>0</v>
      </c>
      <c r="E825">
        <v>0</v>
      </c>
      <c r="G825" s="2" t="s">
        <v>1186</v>
      </c>
      <c r="H825" t="s">
        <v>1191</v>
      </c>
      <c r="I825" s="2">
        <v>29</v>
      </c>
      <c r="J825" s="2" t="s">
        <v>2154</v>
      </c>
      <c r="K825">
        <v>2020</v>
      </c>
      <c r="L825" s="2" t="s">
        <v>32</v>
      </c>
      <c r="M825" t="s">
        <v>897</v>
      </c>
      <c r="N825" s="31">
        <v>35</v>
      </c>
      <c r="O825">
        <f>23-19.5</f>
        <v>3.5</v>
      </c>
      <c r="P825" s="31" t="s">
        <v>2208</v>
      </c>
      <c r="Q825" s="31" t="s">
        <v>38</v>
      </c>
      <c r="R825" s="31" t="s">
        <v>39</v>
      </c>
      <c r="S825" s="4">
        <v>37.38964</v>
      </c>
      <c r="T825" s="4">
        <v>-121.73273</v>
      </c>
      <c r="U825">
        <v>2353</v>
      </c>
      <c r="V825" s="6">
        <f t="shared" si="60"/>
        <v>717.19440000000009</v>
      </c>
      <c r="W825" t="s">
        <v>898</v>
      </c>
      <c r="X825" s="31" t="s">
        <v>2209</v>
      </c>
      <c r="Y825" t="s">
        <v>2391</v>
      </c>
      <c r="AA825" t="s">
        <v>2217</v>
      </c>
      <c r="AJ825" s="41">
        <v>0</v>
      </c>
      <c r="AL825">
        <f t="shared" si="57"/>
        <v>0</v>
      </c>
      <c r="AM825">
        <f t="shared" si="58"/>
        <v>0</v>
      </c>
      <c r="AN825">
        <f t="shared" si="59"/>
        <v>0</v>
      </c>
    </row>
    <row r="826" spans="1:40" x14ac:dyDescent="0.2">
      <c r="A826">
        <v>96</v>
      </c>
      <c r="B826" t="s">
        <v>2084</v>
      </c>
      <c r="C826">
        <v>0</v>
      </c>
      <c r="D826">
        <v>0</v>
      </c>
      <c r="E826">
        <v>0</v>
      </c>
      <c r="G826" s="2" t="s">
        <v>1186</v>
      </c>
      <c r="H826" t="s">
        <v>1191</v>
      </c>
      <c r="I826" s="2">
        <v>29</v>
      </c>
      <c r="J826" s="2" t="s">
        <v>2154</v>
      </c>
      <c r="K826">
        <v>2020</v>
      </c>
      <c r="L826" s="2" t="s">
        <v>32</v>
      </c>
      <c r="M826" t="s">
        <v>897</v>
      </c>
      <c r="N826" s="31">
        <v>33</v>
      </c>
      <c r="O826">
        <f>22.5-19.5</f>
        <v>3</v>
      </c>
      <c r="P826" s="31" t="s">
        <v>2208</v>
      </c>
      <c r="Q826" s="31" t="s">
        <v>38</v>
      </c>
      <c r="R826" s="31" t="s">
        <v>39</v>
      </c>
      <c r="S826" s="4">
        <v>37.38964</v>
      </c>
      <c r="T826" s="4">
        <v>-121.73273</v>
      </c>
      <c r="U826">
        <v>2353</v>
      </c>
      <c r="V826" s="6">
        <f t="shared" si="60"/>
        <v>717.19440000000009</v>
      </c>
      <c r="W826" t="s">
        <v>898</v>
      </c>
      <c r="X826" s="31" t="s">
        <v>2209</v>
      </c>
      <c r="Y826" t="s">
        <v>2392</v>
      </c>
      <c r="AA826" t="s">
        <v>2218</v>
      </c>
      <c r="AJ826" s="41">
        <v>0</v>
      </c>
      <c r="AL826">
        <f t="shared" si="57"/>
        <v>0</v>
      </c>
      <c r="AM826">
        <f t="shared" si="58"/>
        <v>0</v>
      </c>
      <c r="AN826">
        <f t="shared" si="59"/>
        <v>0</v>
      </c>
    </row>
    <row r="827" spans="1:40" x14ac:dyDescent="0.2">
      <c r="A827">
        <v>97</v>
      </c>
      <c r="B827" t="s">
        <v>2085</v>
      </c>
      <c r="C827">
        <v>0</v>
      </c>
      <c r="D827">
        <v>0</v>
      </c>
      <c r="E827">
        <v>0</v>
      </c>
      <c r="G827" s="2" t="s">
        <v>1186</v>
      </c>
      <c r="H827" t="s">
        <v>1191</v>
      </c>
      <c r="I827" s="2">
        <v>29</v>
      </c>
      <c r="J827" s="2" t="s">
        <v>2154</v>
      </c>
      <c r="K827">
        <v>2020</v>
      </c>
      <c r="L827" s="2" t="s">
        <v>32</v>
      </c>
      <c r="M827" t="s">
        <v>897</v>
      </c>
      <c r="N827" s="31">
        <v>38</v>
      </c>
      <c r="O827">
        <f>24.5-19.5</f>
        <v>5</v>
      </c>
      <c r="P827" s="31" t="s">
        <v>2208</v>
      </c>
      <c r="Q827" s="31" t="s">
        <v>38</v>
      </c>
      <c r="R827" s="31" t="s">
        <v>39</v>
      </c>
      <c r="S827" s="4">
        <v>37.396090000000001</v>
      </c>
      <c r="T827" s="4">
        <v>-121.73437</v>
      </c>
      <c r="U827">
        <v>2447</v>
      </c>
      <c r="V827" s="6">
        <f t="shared" si="60"/>
        <v>745.84559999999999</v>
      </c>
      <c r="W827" t="s">
        <v>898</v>
      </c>
      <c r="X827" s="31" t="s">
        <v>2385</v>
      </c>
      <c r="Y827" t="s">
        <v>2393</v>
      </c>
      <c r="AA827" t="s">
        <v>2219</v>
      </c>
      <c r="AJ827" s="41">
        <v>0</v>
      </c>
      <c r="AL827">
        <f t="shared" si="57"/>
        <v>0</v>
      </c>
      <c r="AM827">
        <f t="shared" si="58"/>
        <v>0</v>
      </c>
      <c r="AN827">
        <f t="shared" si="59"/>
        <v>0</v>
      </c>
    </row>
    <row r="828" spans="1:40" x14ac:dyDescent="0.2">
      <c r="A828">
        <v>97</v>
      </c>
      <c r="B828" t="s">
        <v>2086</v>
      </c>
      <c r="C828">
        <v>0</v>
      </c>
      <c r="D828">
        <v>0</v>
      </c>
      <c r="E828">
        <v>0</v>
      </c>
      <c r="G828" s="2" t="s">
        <v>1186</v>
      </c>
      <c r="H828" t="s">
        <v>1191</v>
      </c>
      <c r="I828" s="2">
        <v>29</v>
      </c>
      <c r="J828" s="2" t="s">
        <v>2154</v>
      </c>
      <c r="K828">
        <v>2020</v>
      </c>
      <c r="L828" s="2" t="s">
        <v>32</v>
      </c>
      <c r="M828" t="s">
        <v>897</v>
      </c>
      <c r="N828" s="31">
        <v>37</v>
      </c>
      <c r="O828">
        <f>23-19.5</f>
        <v>3.5</v>
      </c>
      <c r="P828" s="31" t="s">
        <v>2208</v>
      </c>
      <c r="Q828" s="31" t="s">
        <v>38</v>
      </c>
      <c r="R828" s="31" t="s">
        <v>39</v>
      </c>
      <c r="S828" s="4">
        <v>37.396090000000001</v>
      </c>
      <c r="T828" s="4">
        <v>-121.73437</v>
      </c>
      <c r="U828">
        <v>2447</v>
      </c>
      <c r="V828" s="6">
        <f t="shared" si="60"/>
        <v>745.84559999999999</v>
      </c>
      <c r="W828" t="s">
        <v>898</v>
      </c>
      <c r="X828" s="31" t="s">
        <v>2385</v>
      </c>
      <c r="Y828" t="s">
        <v>2196</v>
      </c>
      <c r="AA828" t="s">
        <v>2220</v>
      </c>
      <c r="AJ828" s="41">
        <v>0</v>
      </c>
      <c r="AL828">
        <f t="shared" si="57"/>
        <v>0</v>
      </c>
      <c r="AM828">
        <f t="shared" si="58"/>
        <v>0</v>
      </c>
      <c r="AN828">
        <f t="shared" si="59"/>
        <v>0</v>
      </c>
    </row>
    <row r="829" spans="1:40" x14ac:dyDescent="0.2">
      <c r="A829">
        <v>97</v>
      </c>
      <c r="B829" t="s">
        <v>2087</v>
      </c>
      <c r="C829">
        <v>0</v>
      </c>
      <c r="D829">
        <v>0</v>
      </c>
      <c r="E829">
        <v>0</v>
      </c>
      <c r="G829" s="2" t="s">
        <v>1186</v>
      </c>
      <c r="H829" t="s">
        <v>1191</v>
      </c>
      <c r="I829" s="2">
        <v>29</v>
      </c>
      <c r="J829" s="2" t="s">
        <v>2154</v>
      </c>
      <c r="K829">
        <v>2020</v>
      </c>
      <c r="L829" s="2" t="s">
        <v>32</v>
      </c>
      <c r="M829" t="s">
        <v>897</v>
      </c>
      <c r="N829" s="31">
        <v>36</v>
      </c>
      <c r="O829">
        <f>23.5-19.5</f>
        <v>4</v>
      </c>
      <c r="P829" s="31" t="s">
        <v>2208</v>
      </c>
      <c r="Q829" s="31" t="s">
        <v>38</v>
      </c>
      <c r="R829" s="31" t="s">
        <v>39</v>
      </c>
      <c r="S829" s="4">
        <v>37.396090000000001</v>
      </c>
      <c r="T829" s="4">
        <v>-121.73437</v>
      </c>
      <c r="U829">
        <v>2447</v>
      </c>
      <c r="V829" s="6">
        <f t="shared" si="60"/>
        <v>745.84559999999999</v>
      </c>
      <c r="W829" t="s">
        <v>898</v>
      </c>
      <c r="X829" s="31" t="s">
        <v>2385</v>
      </c>
      <c r="Y829" t="s">
        <v>430</v>
      </c>
      <c r="Z829" t="s">
        <v>2210</v>
      </c>
      <c r="AA829" t="s">
        <v>2221</v>
      </c>
      <c r="AJ829" s="41">
        <v>0</v>
      </c>
      <c r="AL829">
        <f t="shared" si="57"/>
        <v>0</v>
      </c>
      <c r="AM829">
        <f t="shared" si="58"/>
        <v>0</v>
      </c>
      <c r="AN829">
        <f t="shared" si="59"/>
        <v>0</v>
      </c>
    </row>
    <row r="830" spans="1:40" x14ac:dyDescent="0.2">
      <c r="A830">
        <v>97</v>
      </c>
      <c r="B830" t="s">
        <v>2088</v>
      </c>
      <c r="C830">
        <v>0</v>
      </c>
      <c r="D830">
        <v>0</v>
      </c>
      <c r="E830">
        <v>0</v>
      </c>
      <c r="G830" s="2" t="s">
        <v>1186</v>
      </c>
      <c r="H830" t="s">
        <v>1191</v>
      </c>
      <c r="I830" s="2">
        <v>29</v>
      </c>
      <c r="J830" s="2" t="s">
        <v>2154</v>
      </c>
      <c r="K830">
        <v>2020</v>
      </c>
      <c r="L830" s="2" t="s">
        <v>32</v>
      </c>
      <c r="M830" t="s">
        <v>897</v>
      </c>
      <c r="N830" s="31">
        <v>42</v>
      </c>
      <c r="O830">
        <f>25-19.5</f>
        <v>5.5</v>
      </c>
      <c r="P830" s="31" t="s">
        <v>2208</v>
      </c>
      <c r="Q830" s="31" t="s">
        <v>38</v>
      </c>
      <c r="R830" s="31" t="s">
        <v>39</v>
      </c>
      <c r="S830" s="4">
        <v>37.396090000000001</v>
      </c>
      <c r="T830" s="4">
        <v>-121.73437</v>
      </c>
      <c r="U830">
        <v>2447</v>
      </c>
      <c r="V830" s="6">
        <f t="shared" si="60"/>
        <v>745.84559999999999</v>
      </c>
      <c r="W830" t="s">
        <v>898</v>
      </c>
      <c r="X830" s="31" t="s">
        <v>2385</v>
      </c>
      <c r="Y830" t="s">
        <v>430</v>
      </c>
      <c r="Z830" t="s">
        <v>2210</v>
      </c>
      <c r="AA830" t="s">
        <v>2222</v>
      </c>
      <c r="AJ830" s="41">
        <v>0</v>
      </c>
      <c r="AL830">
        <f t="shared" si="57"/>
        <v>0</v>
      </c>
      <c r="AM830">
        <f t="shared" si="58"/>
        <v>0</v>
      </c>
      <c r="AN830">
        <f t="shared" si="59"/>
        <v>0</v>
      </c>
    </row>
    <row r="831" spans="1:40" x14ac:dyDescent="0.2">
      <c r="A831">
        <v>103</v>
      </c>
      <c r="B831" t="s">
        <v>2089</v>
      </c>
      <c r="C831">
        <v>0</v>
      </c>
      <c r="D831">
        <v>0</v>
      </c>
      <c r="E831">
        <v>0</v>
      </c>
      <c r="G831" s="2" t="s">
        <v>1186</v>
      </c>
      <c r="H831" t="s">
        <v>1191</v>
      </c>
      <c r="I831" s="2">
        <v>31</v>
      </c>
      <c r="J831" s="2" t="s">
        <v>2154</v>
      </c>
      <c r="K831">
        <v>2020</v>
      </c>
      <c r="L831" s="2" t="s">
        <v>32</v>
      </c>
      <c r="M831" t="s">
        <v>759</v>
      </c>
      <c r="N831" s="31">
        <v>42</v>
      </c>
      <c r="O831">
        <f>26-19.5</f>
        <v>6.5</v>
      </c>
      <c r="P831" s="31" t="s">
        <v>2211</v>
      </c>
      <c r="Q831" s="31" t="s">
        <v>38</v>
      </c>
      <c r="R831" s="31" t="s">
        <v>39</v>
      </c>
      <c r="S831" s="4">
        <v>39.74615</v>
      </c>
      <c r="T831" s="4">
        <v>-123.63486</v>
      </c>
      <c r="U831">
        <v>1418</v>
      </c>
      <c r="V831" s="6">
        <f t="shared" si="60"/>
        <v>432.20640000000003</v>
      </c>
      <c r="W831" t="s">
        <v>869</v>
      </c>
      <c r="X831" s="31" t="s">
        <v>2212</v>
      </c>
      <c r="Y831" t="s">
        <v>2394</v>
      </c>
      <c r="Z831" t="s">
        <v>2213</v>
      </c>
      <c r="AA831" t="s">
        <v>2223</v>
      </c>
      <c r="AJ831" s="41">
        <v>0</v>
      </c>
      <c r="AL831">
        <f t="shared" si="57"/>
        <v>0</v>
      </c>
      <c r="AM831">
        <f t="shared" si="58"/>
        <v>0</v>
      </c>
      <c r="AN831">
        <f t="shared" si="59"/>
        <v>0</v>
      </c>
    </row>
    <row r="832" spans="1:40" x14ac:dyDescent="0.2">
      <c r="A832">
        <v>103</v>
      </c>
      <c r="B832" t="s">
        <v>2090</v>
      </c>
      <c r="C832">
        <v>0</v>
      </c>
      <c r="D832">
        <v>0</v>
      </c>
      <c r="E832">
        <v>0</v>
      </c>
      <c r="G832" s="2" t="s">
        <v>1186</v>
      </c>
      <c r="H832" t="s">
        <v>1191</v>
      </c>
      <c r="I832" s="2">
        <v>31</v>
      </c>
      <c r="J832" s="2" t="s">
        <v>2154</v>
      </c>
      <c r="K832">
        <v>2020</v>
      </c>
      <c r="L832" s="2" t="s">
        <v>32</v>
      </c>
      <c r="M832" t="s">
        <v>759</v>
      </c>
      <c r="N832" s="31">
        <v>44</v>
      </c>
      <c r="O832">
        <f>25-19.5</f>
        <v>5.5</v>
      </c>
      <c r="P832" s="31" t="s">
        <v>2211</v>
      </c>
      <c r="Q832" s="31" t="s">
        <v>42</v>
      </c>
      <c r="R832" s="31" t="s">
        <v>39</v>
      </c>
      <c r="S832" s="4">
        <v>39.74615</v>
      </c>
      <c r="T832" s="4">
        <v>-123.63486</v>
      </c>
      <c r="U832">
        <v>1418</v>
      </c>
      <c r="V832" s="6">
        <f t="shared" si="60"/>
        <v>432.20640000000003</v>
      </c>
      <c r="W832" t="s">
        <v>869</v>
      </c>
      <c r="X832" s="31" t="s">
        <v>2212</v>
      </c>
      <c r="Y832" t="s">
        <v>2395</v>
      </c>
      <c r="Z832" t="s">
        <v>2214</v>
      </c>
      <c r="AA832" t="s">
        <v>2224</v>
      </c>
      <c r="AJ832" s="41">
        <v>0</v>
      </c>
      <c r="AL832">
        <f t="shared" si="57"/>
        <v>0</v>
      </c>
      <c r="AM832">
        <f t="shared" si="58"/>
        <v>0</v>
      </c>
      <c r="AN832">
        <f t="shared" si="59"/>
        <v>0</v>
      </c>
    </row>
    <row r="833" spans="1:40" x14ac:dyDescent="0.2">
      <c r="A833">
        <v>106</v>
      </c>
      <c r="B833" t="s">
        <v>2091</v>
      </c>
      <c r="C833">
        <v>0</v>
      </c>
      <c r="D833">
        <v>0</v>
      </c>
      <c r="E833">
        <v>0</v>
      </c>
      <c r="G833" s="2" t="s">
        <v>1186</v>
      </c>
      <c r="H833" t="s">
        <v>1191</v>
      </c>
      <c r="I833" s="2">
        <v>31</v>
      </c>
      <c r="J833" s="2" t="s">
        <v>2154</v>
      </c>
      <c r="K833">
        <v>2020</v>
      </c>
      <c r="L833" s="2" t="s">
        <v>32</v>
      </c>
      <c r="M833" t="s">
        <v>759</v>
      </c>
      <c r="N833" s="31">
        <v>32.5</v>
      </c>
      <c r="O833">
        <f>22.5-19.5</f>
        <v>3</v>
      </c>
      <c r="P833" s="31" t="s">
        <v>2211</v>
      </c>
      <c r="Q833" s="31" t="s">
        <v>38</v>
      </c>
      <c r="R833" s="31" t="s">
        <v>39</v>
      </c>
      <c r="S833" s="4">
        <v>39.746839999999999</v>
      </c>
      <c r="T833" s="4">
        <v>-123.63509000000001</v>
      </c>
      <c r="U833">
        <v>1281</v>
      </c>
      <c r="V833" s="6">
        <f t="shared" si="60"/>
        <v>390.44880000000001</v>
      </c>
      <c r="W833" t="s">
        <v>869</v>
      </c>
      <c r="X833" s="31" t="s">
        <v>2212</v>
      </c>
      <c r="Y833" t="s">
        <v>2396</v>
      </c>
      <c r="AA833" t="s">
        <v>2225</v>
      </c>
      <c r="AJ833" s="41">
        <v>0</v>
      </c>
      <c r="AL833">
        <f t="shared" si="57"/>
        <v>0</v>
      </c>
      <c r="AM833">
        <f t="shared" si="58"/>
        <v>0</v>
      </c>
      <c r="AN833">
        <f t="shared" si="59"/>
        <v>0</v>
      </c>
    </row>
    <row r="834" spans="1:40" x14ac:dyDescent="0.2">
      <c r="A834">
        <v>106</v>
      </c>
      <c r="B834" t="s">
        <v>2092</v>
      </c>
      <c r="C834">
        <v>11.21573543548584</v>
      </c>
      <c r="D834">
        <v>0.62589555978775024</v>
      </c>
      <c r="E834">
        <v>0.71270501613616943</v>
      </c>
      <c r="G834" s="2" t="s">
        <v>1186</v>
      </c>
      <c r="H834" t="s">
        <v>1191</v>
      </c>
      <c r="I834" s="2">
        <v>31</v>
      </c>
      <c r="J834" s="2" t="s">
        <v>2154</v>
      </c>
      <c r="K834">
        <v>2020</v>
      </c>
      <c r="L834" s="2" t="s">
        <v>32</v>
      </c>
      <c r="M834" t="s">
        <v>759</v>
      </c>
      <c r="N834" s="31">
        <v>36</v>
      </c>
      <c r="O834">
        <f>22.5-19.5</f>
        <v>3</v>
      </c>
      <c r="P834" s="31" t="s">
        <v>2211</v>
      </c>
      <c r="Q834" s="31" t="s">
        <v>38</v>
      </c>
      <c r="R834" s="31" t="s">
        <v>39</v>
      </c>
      <c r="S834" s="4">
        <v>39.746949999999998</v>
      </c>
      <c r="T834" s="4">
        <v>-123.63621999999999</v>
      </c>
      <c r="U834">
        <v>1280</v>
      </c>
      <c r="V834" s="6">
        <f t="shared" si="60"/>
        <v>390.14400000000001</v>
      </c>
      <c r="W834" t="s">
        <v>869</v>
      </c>
      <c r="X834" s="31" t="s">
        <v>2212</v>
      </c>
      <c r="Y834" t="s">
        <v>2397</v>
      </c>
      <c r="Z834" t="s">
        <v>2215</v>
      </c>
      <c r="AA834" t="s">
        <v>2226</v>
      </c>
      <c r="AJ834" s="41">
        <v>0</v>
      </c>
      <c r="AL834">
        <f t="shared" si="57"/>
        <v>897.25883483886719</v>
      </c>
      <c r="AM834">
        <f t="shared" si="58"/>
        <v>50.07164478302002</v>
      </c>
      <c r="AN834">
        <f t="shared" si="59"/>
        <v>57.016401290893555</v>
      </c>
    </row>
    <row r="835" spans="1:40" x14ac:dyDescent="0.2">
      <c r="A835">
        <v>106</v>
      </c>
      <c r="B835" t="s">
        <v>2093</v>
      </c>
      <c r="C835">
        <v>2.6277070045471191</v>
      </c>
      <c r="D835">
        <v>0.11641238629817963</v>
      </c>
      <c r="E835">
        <v>0.13704405725002289</v>
      </c>
      <c r="G835" s="2" t="s">
        <v>1186</v>
      </c>
      <c r="H835" t="s">
        <v>1186</v>
      </c>
      <c r="I835" s="2">
        <v>31</v>
      </c>
      <c r="J835" s="2" t="s">
        <v>2154</v>
      </c>
      <c r="K835">
        <v>2020</v>
      </c>
      <c r="L835" s="2" t="s">
        <v>32</v>
      </c>
      <c r="M835" t="s">
        <v>759</v>
      </c>
      <c r="N835" s="31">
        <v>39</v>
      </c>
      <c r="O835">
        <f>24-19.5</f>
        <v>4.5</v>
      </c>
      <c r="P835" s="31" t="s">
        <v>2211</v>
      </c>
      <c r="Q835" s="31" t="s">
        <v>38</v>
      </c>
      <c r="R835" s="31" t="s">
        <v>39</v>
      </c>
      <c r="S835" s="4">
        <v>39.746920000000003</v>
      </c>
      <c r="T835" s="4">
        <v>-123.63646</v>
      </c>
      <c r="U835">
        <v>1280</v>
      </c>
      <c r="V835" s="6">
        <f t="shared" si="60"/>
        <v>390.14400000000001</v>
      </c>
      <c r="W835" t="s">
        <v>869</v>
      </c>
      <c r="X835" s="31" t="s">
        <v>2212</v>
      </c>
      <c r="Y835" t="s">
        <v>2398</v>
      </c>
      <c r="AA835" t="s">
        <v>2227</v>
      </c>
      <c r="AJ835" s="41">
        <v>0</v>
      </c>
      <c r="AL835">
        <f t="shared" si="57"/>
        <v>210.21656036376953</v>
      </c>
      <c r="AM835">
        <f t="shared" si="58"/>
        <v>9.3129909038543701</v>
      </c>
      <c r="AN835">
        <f t="shared" si="59"/>
        <v>10.963524580001831</v>
      </c>
    </row>
    <row r="836" spans="1:40" x14ac:dyDescent="0.2">
      <c r="A836">
        <v>106</v>
      </c>
      <c r="B836" t="s">
        <v>2094</v>
      </c>
      <c r="C836">
        <v>0.27640703320503235</v>
      </c>
      <c r="D836">
        <v>0</v>
      </c>
      <c r="E836">
        <v>0</v>
      </c>
      <c r="G836" s="2" t="s">
        <v>1186</v>
      </c>
      <c r="H836" t="s">
        <v>1191</v>
      </c>
      <c r="I836" s="2">
        <v>31</v>
      </c>
      <c r="J836" s="2" t="s">
        <v>2154</v>
      </c>
      <c r="K836">
        <v>2020</v>
      </c>
      <c r="L836" s="2" t="s">
        <v>32</v>
      </c>
      <c r="M836" t="s">
        <v>759</v>
      </c>
      <c r="N836" s="31">
        <v>31</v>
      </c>
      <c r="O836">
        <f>22.5-19.5</f>
        <v>3</v>
      </c>
      <c r="P836" s="31" t="s">
        <v>2211</v>
      </c>
      <c r="Q836" s="31" t="s">
        <v>38</v>
      </c>
      <c r="R836" s="31" t="s">
        <v>39</v>
      </c>
      <c r="S836" s="4">
        <v>39.746920000000003</v>
      </c>
      <c r="T836" s="4">
        <v>-123.63646</v>
      </c>
      <c r="U836">
        <v>1280</v>
      </c>
      <c r="V836" s="6">
        <f t="shared" si="60"/>
        <v>390.14400000000001</v>
      </c>
      <c r="W836" t="s">
        <v>869</v>
      </c>
      <c r="X836" s="31" t="s">
        <v>2212</v>
      </c>
      <c r="Y836" t="s">
        <v>2399</v>
      </c>
      <c r="AA836" t="s">
        <v>2228</v>
      </c>
      <c r="AJ836" s="41">
        <v>0</v>
      </c>
      <c r="AL836">
        <f t="shared" si="57"/>
        <v>22.112562656402588</v>
      </c>
      <c r="AM836">
        <f t="shared" si="58"/>
        <v>0</v>
      </c>
      <c r="AN836">
        <f t="shared" si="59"/>
        <v>0</v>
      </c>
    </row>
    <row r="837" spans="1:40" x14ac:dyDescent="0.2">
      <c r="A837">
        <v>106</v>
      </c>
      <c r="B837" t="s">
        <v>2095</v>
      </c>
      <c r="C837" s="2">
        <v>3.9952125400304794E-2</v>
      </c>
      <c r="D837">
        <v>0</v>
      </c>
      <c r="E837">
        <v>3.827773779630661E-2</v>
      </c>
      <c r="G837" s="2" t="s">
        <v>1186</v>
      </c>
      <c r="H837" t="s">
        <v>1191</v>
      </c>
      <c r="I837" s="2">
        <v>31</v>
      </c>
      <c r="J837" s="2" t="s">
        <v>2154</v>
      </c>
      <c r="K837">
        <v>2020</v>
      </c>
      <c r="L837" s="2" t="s">
        <v>32</v>
      </c>
      <c r="M837" t="s">
        <v>759</v>
      </c>
      <c r="N837" s="31">
        <v>35</v>
      </c>
      <c r="O837">
        <f>23-19.5</f>
        <v>3.5</v>
      </c>
      <c r="P837" s="31" t="s">
        <v>2211</v>
      </c>
      <c r="Q837" s="31" t="s">
        <v>38</v>
      </c>
      <c r="R837" s="31" t="s">
        <v>39</v>
      </c>
      <c r="S837" s="4">
        <v>39.746920000000003</v>
      </c>
      <c r="T837" s="4">
        <v>-123.63646</v>
      </c>
      <c r="U837">
        <v>1280</v>
      </c>
      <c r="V837" s="6">
        <f t="shared" si="60"/>
        <v>390.14400000000001</v>
      </c>
      <c r="W837" t="s">
        <v>869</v>
      </c>
      <c r="X837" s="31" t="s">
        <v>2212</v>
      </c>
      <c r="Y837" t="s">
        <v>2400</v>
      </c>
      <c r="AA837" t="s">
        <v>2229</v>
      </c>
      <c r="AJ837" s="41">
        <v>0</v>
      </c>
      <c r="AL837">
        <f t="shared" si="57"/>
        <v>3.1961700320243835</v>
      </c>
      <c r="AM837">
        <f t="shared" si="58"/>
        <v>0</v>
      </c>
      <c r="AN837">
        <f t="shared" si="59"/>
        <v>3.0622190237045288</v>
      </c>
    </row>
    <row r="838" spans="1:40" x14ac:dyDescent="0.2">
      <c r="A838">
        <v>106</v>
      </c>
      <c r="B838" t="s">
        <v>2096</v>
      </c>
      <c r="C838" s="2">
        <v>0</v>
      </c>
      <c r="D838">
        <v>0</v>
      </c>
      <c r="E838">
        <v>0</v>
      </c>
      <c r="G838" s="2" t="s">
        <v>1186</v>
      </c>
      <c r="H838" t="s">
        <v>1191</v>
      </c>
      <c r="I838" s="2">
        <v>31</v>
      </c>
      <c r="J838" s="2" t="s">
        <v>2154</v>
      </c>
      <c r="K838">
        <v>2020</v>
      </c>
      <c r="L838" s="2" t="s">
        <v>32</v>
      </c>
      <c r="M838" t="s">
        <v>759</v>
      </c>
      <c r="N838" s="31">
        <v>35</v>
      </c>
      <c r="O838">
        <f>23.5-19.5</f>
        <v>4</v>
      </c>
      <c r="P838" s="31" t="s">
        <v>2211</v>
      </c>
      <c r="Q838" s="31" t="s">
        <v>38</v>
      </c>
      <c r="R838" s="31" t="s">
        <v>39</v>
      </c>
      <c r="S838" s="4">
        <v>39.74691</v>
      </c>
      <c r="T838" s="4">
        <v>-123.63645</v>
      </c>
      <c r="U838">
        <v>1279</v>
      </c>
      <c r="V838" s="6">
        <f t="shared" si="60"/>
        <v>389.83920000000001</v>
      </c>
      <c r="W838" t="s">
        <v>869</v>
      </c>
      <c r="X838" s="31" t="s">
        <v>2212</v>
      </c>
      <c r="Y838" t="s">
        <v>2401</v>
      </c>
      <c r="AA838" t="s">
        <v>2230</v>
      </c>
      <c r="AJ838" s="41">
        <v>0</v>
      </c>
      <c r="AL838">
        <f t="shared" si="57"/>
        <v>0</v>
      </c>
      <c r="AM838">
        <f t="shared" si="58"/>
        <v>0</v>
      </c>
      <c r="AN838">
        <f t="shared" si="59"/>
        <v>0</v>
      </c>
    </row>
    <row r="839" spans="1:40" x14ac:dyDescent="0.2">
      <c r="A839">
        <v>106</v>
      </c>
      <c r="B839" t="s">
        <v>2097</v>
      </c>
      <c r="C839" s="2">
        <v>3.4816008061170578E-2</v>
      </c>
      <c r="D839">
        <v>0</v>
      </c>
      <c r="E839">
        <v>0</v>
      </c>
      <c r="G839" s="2" t="s">
        <v>1186</v>
      </c>
      <c r="H839" t="s">
        <v>1191</v>
      </c>
      <c r="I839" s="2">
        <v>31</v>
      </c>
      <c r="J839" s="2" t="s">
        <v>2154</v>
      </c>
      <c r="K839">
        <v>2020</v>
      </c>
      <c r="L839" s="2" t="s">
        <v>32</v>
      </c>
      <c r="M839" t="s">
        <v>759</v>
      </c>
      <c r="N839" s="31">
        <v>35</v>
      </c>
      <c r="O839">
        <f>22.5-19.5</f>
        <v>3</v>
      </c>
      <c r="P839" s="31" t="s">
        <v>2211</v>
      </c>
      <c r="Q839" s="31" t="s">
        <v>38</v>
      </c>
      <c r="R839" s="31" t="s">
        <v>39</v>
      </c>
      <c r="S839" s="4">
        <v>39.746940000000002</v>
      </c>
      <c r="T839" s="4">
        <v>-123.63695</v>
      </c>
      <c r="U839">
        <v>1278</v>
      </c>
      <c r="V839" s="6">
        <f t="shared" si="60"/>
        <v>389.53440000000001</v>
      </c>
      <c r="W839" t="s">
        <v>869</v>
      </c>
      <c r="X839" s="31" t="s">
        <v>2212</v>
      </c>
      <c r="Y839" t="s">
        <v>2402</v>
      </c>
      <c r="AA839" t="s">
        <v>2231</v>
      </c>
      <c r="AJ839" s="41">
        <v>0</v>
      </c>
      <c r="AL839">
        <f t="shared" si="57"/>
        <v>2.7852806448936462</v>
      </c>
      <c r="AM839">
        <f t="shared" si="58"/>
        <v>0</v>
      </c>
      <c r="AN839">
        <f t="shared" si="59"/>
        <v>0</v>
      </c>
    </row>
    <row r="840" spans="1:40" x14ac:dyDescent="0.2">
      <c r="A840">
        <v>106</v>
      </c>
      <c r="B840" t="s">
        <v>2098</v>
      </c>
      <c r="C840" s="2">
        <v>4.1985064744949341E-2</v>
      </c>
      <c r="D840">
        <v>0</v>
      </c>
      <c r="E840">
        <v>0.12153849005699158</v>
      </c>
      <c r="G840" s="2" t="s">
        <v>1186</v>
      </c>
      <c r="H840" t="s">
        <v>1191</v>
      </c>
      <c r="I840" s="2">
        <v>31</v>
      </c>
      <c r="J840" s="2" t="s">
        <v>2154</v>
      </c>
      <c r="K840">
        <v>2020</v>
      </c>
      <c r="L840" s="2" t="s">
        <v>32</v>
      </c>
      <c r="M840" t="s">
        <v>759</v>
      </c>
      <c r="N840" s="31">
        <v>36</v>
      </c>
      <c r="O840">
        <f>23.5-19.5</f>
        <v>4</v>
      </c>
      <c r="P840" s="31" t="s">
        <v>2211</v>
      </c>
      <c r="Q840" s="31" t="s">
        <v>38</v>
      </c>
      <c r="R840" s="31" t="s">
        <v>39</v>
      </c>
      <c r="S840" s="4">
        <v>39.746940000000002</v>
      </c>
      <c r="T840" s="4">
        <v>-123.63695</v>
      </c>
      <c r="U840">
        <v>1278</v>
      </c>
      <c r="V840" s="6">
        <f t="shared" si="60"/>
        <v>389.53440000000001</v>
      </c>
      <c r="W840" t="s">
        <v>869</v>
      </c>
      <c r="X840" s="31" t="s">
        <v>2212</v>
      </c>
      <c r="Y840" t="s">
        <v>2403</v>
      </c>
      <c r="AA840" t="s">
        <v>2232</v>
      </c>
      <c r="AJ840" s="41">
        <v>0</v>
      </c>
      <c r="AL840">
        <f t="shared" si="57"/>
        <v>3.3588051795959473</v>
      </c>
      <c r="AM840">
        <f t="shared" si="58"/>
        <v>0</v>
      </c>
      <c r="AN840">
        <f t="shared" si="59"/>
        <v>9.7230792045593262</v>
      </c>
    </row>
    <row r="841" spans="1:40" x14ac:dyDescent="0.2">
      <c r="A841">
        <v>106</v>
      </c>
      <c r="B841" t="s">
        <v>2099</v>
      </c>
      <c r="C841" s="2">
        <v>3.4135792404413223E-2</v>
      </c>
      <c r="D841">
        <v>0</v>
      </c>
      <c r="E841">
        <v>4.4688969850540161E-2</v>
      </c>
      <c r="G841" s="2" t="s">
        <v>1186</v>
      </c>
      <c r="H841" t="s">
        <v>1191</v>
      </c>
      <c r="I841" s="2">
        <v>31</v>
      </c>
      <c r="J841" s="2" t="s">
        <v>2154</v>
      </c>
      <c r="K841">
        <v>2020</v>
      </c>
      <c r="L841" s="2" t="s">
        <v>32</v>
      </c>
      <c r="M841" t="s">
        <v>759</v>
      </c>
      <c r="N841" s="31">
        <v>36</v>
      </c>
      <c r="O841">
        <f>24-19.5</f>
        <v>4.5</v>
      </c>
      <c r="P841" s="31" t="s">
        <v>2211</v>
      </c>
      <c r="Q841" s="31" t="s">
        <v>38</v>
      </c>
      <c r="R841" s="31" t="s">
        <v>39</v>
      </c>
      <c r="S841" s="4">
        <v>39.747030000000002</v>
      </c>
      <c r="T841" s="4">
        <v>-123.63715000000001</v>
      </c>
      <c r="U841">
        <v>1279</v>
      </c>
      <c r="V841" s="6">
        <f t="shared" si="60"/>
        <v>389.83920000000001</v>
      </c>
      <c r="W841" t="s">
        <v>869</v>
      </c>
      <c r="X841" s="31" t="s">
        <v>2212</v>
      </c>
      <c r="Y841" t="s">
        <v>2404</v>
      </c>
      <c r="AA841" t="s">
        <v>2233</v>
      </c>
      <c r="AJ841" s="41">
        <v>0</v>
      </c>
      <c r="AL841">
        <f t="shared" si="57"/>
        <v>2.7308633923530579</v>
      </c>
      <c r="AM841">
        <f t="shared" si="58"/>
        <v>0</v>
      </c>
      <c r="AN841">
        <f t="shared" si="59"/>
        <v>3.5751175880432129</v>
      </c>
    </row>
    <row r="842" spans="1:40" x14ac:dyDescent="0.2">
      <c r="A842">
        <v>106</v>
      </c>
      <c r="B842" t="s">
        <v>2100</v>
      </c>
      <c r="C842" s="2">
        <v>0.87669855356216431</v>
      </c>
      <c r="D842">
        <v>0.51827436685562134</v>
      </c>
      <c r="E842">
        <v>1.464478611946106</v>
      </c>
      <c r="G842" s="2" t="s">
        <v>1186</v>
      </c>
      <c r="H842" t="s">
        <v>1191</v>
      </c>
      <c r="I842" s="2">
        <v>31</v>
      </c>
      <c r="J842" s="2" t="s">
        <v>2154</v>
      </c>
      <c r="K842">
        <v>2020</v>
      </c>
      <c r="L842" s="2" t="s">
        <v>32</v>
      </c>
      <c r="M842" t="s">
        <v>759</v>
      </c>
      <c r="N842" s="31">
        <v>36</v>
      </c>
      <c r="O842">
        <f>24-19.5</f>
        <v>4.5</v>
      </c>
      <c r="P842" s="31" t="s">
        <v>2211</v>
      </c>
      <c r="Q842" s="31" t="s">
        <v>38</v>
      </c>
      <c r="R842" s="31" t="s">
        <v>39</v>
      </c>
      <c r="S842" s="4">
        <v>39.747030000000002</v>
      </c>
      <c r="T842" s="4">
        <v>-123.63715000000001</v>
      </c>
      <c r="U842">
        <v>1279</v>
      </c>
      <c r="V842" s="6">
        <f t="shared" si="60"/>
        <v>389.83920000000001</v>
      </c>
      <c r="W842" t="s">
        <v>869</v>
      </c>
      <c r="X842" s="31" t="s">
        <v>2212</v>
      </c>
      <c r="Y842" t="s">
        <v>2404</v>
      </c>
      <c r="AA842" t="s">
        <v>1670</v>
      </c>
      <c r="AJ842" s="41">
        <v>0</v>
      </c>
      <c r="AL842">
        <f t="shared" si="57"/>
        <v>70.135884284973145</v>
      </c>
      <c r="AM842">
        <f t="shared" si="58"/>
        <v>41.461949348449707</v>
      </c>
      <c r="AN842">
        <f t="shared" si="59"/>
        <v>117.15828895568848</v>
      </c>
    </row>
    <row r="843" spans="1:40" x14ac:dyDescent="0.2">
      <c r="A843">
        <v>106</v>
      </c>
      <c r="B843" t="s">
        <v>2101</v>
      </c>
      <c r="C843" s="2">
        <v>0</v>
      </c>
      <c r="D843" s="2">
        <v>0</v>
      </c>
      <c r="E843" s="2">
        <v>0</v>
      </c>
      <c r="G843" s="2" t="s">
        <v>1186</v>
      </c>
      <c r="H843" t="s">
        <v>1191</v>
      </c>
      <c r="I843" s="2">
        <v>31</v>
      </c>
      <c r="J843" s="2" t="s">
        <v>2154</v>
      </c>
      <c r="K843">
        <v>2020</v>
      </c>
      <c r="L843" s="2" t="s">
        <v>32</v>
      </c>
      <c r="M843" t="s">
        <v>759</v>
      </c>
      <c r="N843" s="31">
        <v>38.5</v>
      </c>
      <c r="O843">
        <f>22.5-19.5</f>
        <v>3</v>
      </c>
      <c r="P843" s="31" t="s">
        <v>2211</v>
      </c>
      <c r="Q843" s="31" t="s">
        <v>38</v>
      </c>
      <c r="R843" s="31" t="s">
        <v>39</v>
      </c>
      <c r="S843" s="4">
        <v>39.747039999999998</v>
      </c>
      <c r="T843" s="4">
        <v>-123.63718</v>
      </c>
      <c r="U843">
        <v>1276</v>
      </c>
      <c r="V843" s="6">
        <f t="shared" si="60"/>
        <v>388.9248</v>
      </c>
      <c r="W843" t="s">
        <v>869</v>
      </c>
      <c r="X843" s="31" t="s">
        <v>2212</v>
      </c>
      <c r="Y843" t="s">
        <v>2405</v>
      </c>
      <c r="AA843" t="s">
        <v>2234</v>
      </c>
      <c r="AJ843" s="41">
        <v>0</v>
      </c>
      <c r="AL843">
        <f t="shared" si="57"/>
        <v>0</v>
      </c>
      <c r="AM843">
        <f t="shared" si="58"/>
        <v>0</v>
      </c>
      <c r="AN843">
        <f t="shared" si="59"/>
        <v>0</v>
      </c>
    </row>
    <row r="844" spans="1:40" x14ac:dyDescent="0.2">
      <c r="A844">
        <v>106</v>
      </c>
      <c r="B844" t="s">
        <v>2102</v>
      </c>
      <c r="C844" s="2">
        <v>0</v>
      </c>
      <c r="D844" s="2">
        <v>0</v>
      </c>
      <c r="E844" s="2">
        <v>0</v>
      </c>
      <c r="G844" s="2" t="s">
        <v>1186</v>
      </c>
      <c r="H844" t="s">
        <v>1191</v>
      </c>
      <c r="I844" s="2">
        <v>31</v>
      </c>
      <c r="J844" s="2" t="s">
        <v>2154</v>
      </c>
      <c r="K844">
        <v>2020</v>
      </c>
      <c r="L844" s="2" t="s">
        <v>32</v>
      </c>
      <c r="M844" t="s">
        <v>759</v>
      </c>
      <c r="N844" s="31">
        <v>36</v>
      </c>
      <c r="O844">
        <f>23-19.5</f>
        <v>3.5</v>
      </c>
      <c r="P844" s="31" t="s">
        <v>2211</v>
      </c>
      <c r="Q844" s="31" t="s">
        <v>38</v>
      </c>
      <c r="R844" s="31" t="s">
        <v>39</v>
      </c>
      <c r="S844" s="4">
        <v>39.747059999999998</v>
      </c>
      <c r="T844" s="4">
        <v>-123.63721</v>
      </c>
      <c r="U844">
        <v>1278</v>
      </c>
      <c r="V844" s="6">
        <f t="shared" si="60"/>
        <v>389.53440000000001</v>
      </c>
      <c r="W844" t="s">
        <v>869</v>
      </c>
      <c r="X844" s="31" t="s">
        <v>2212</v>
      </c>
      <c r="Y844" t="s">
        <v>2406</v>
      </c>
      <c r="AA844" t="s">
        <v>2235</v>
      </c>
      <c r="AJ844" s="41">
        <v>0</v>
      </c>
      <c r="AL844">
        <f t="shared" si="57"/>
        <v>0</v>
      </c>
      <c r="AM844">
        <f t="shared" si="58"/>
        <v>0</v>
      </c>
      <c r="AN844">
        <f t="shared" si="59"/>
        <v>0</v>
      </c>
    </row>
    <row r="845" spans="1:40" x14ac:dyDescent="0.2">
      <c r="A845">
        <v>106</v>
      </c>
      <c r="B845" t="s">
        <v>2103</v>
      </c>
      <c r="C845" s="2">
        <v>0</v>
      </c>
      <c r="D845" s="2">
        <v>0</v>
      </c>
      <c r="E845" s="2">
        <v>0</v>
      </c>
      <c r="G845" s="2" t="s">
        <v>1186</v>
      </c>
      <c r="H845" t="s">
        <v>1191</v>
      </c>
      <c r="I845" s="2">
        <v>31</v>
      </c>
      <c r="J845" s="2" t="s">
        <v>2154</v>
      </c>
      <c r="K845">
        <v>2020</v>
      </c>
      <c r="L845" s="2" t="s">
        <v>32</v>
      </c>
      <c r="M845" t="s">
        <v>759</v>
      </c>
      <c r="N845" s="31">
        <v>36</v>
      </c>
      <c r="O845">
        <f>23.5-19.5</f>
        <v>4</v>
      </c>
      <c r="P845" s="31" t="s">
        <v>2211</v>
      </c>
      <c r="Q845" s="31" t="s">
        <v>38</v>
      </c>
      <c r="R845" s="31" t="s">
        <v>39</v>
      </c>
      <c r="S845" s="4">
        <v>39.747059999999998</v>
      </c>
      <c r="T845" s="4">
        <v>-123.63721</v>
      </c>
      <c r="U845">
        <v>1278</v>
      </c>
      <c r="V845" s="6">
        <f t="shared" si="60"/>
        <v>389.53440000000001</v>
      </c>
      <c r="W845" t="s">
        <v>869</v>
      </c>
      <c r="X845" s="31" t="s">
        <v>2212</v>
      </c>
      <c r="Y845" t="s">
        <v>1334</v>
      </c>
      <c r="AA845" t="s">
        <v>2236</v>
      </c>
      <c r="AJ845" s="41">
        <v>0</v>
      </c>
      <c r="AL845">
        <f t="shared" si="57"/>
        <v>0</v>
      </c>
      <c r="AM845">
        <f t="shared" si="58"/>
        <v>0</v>
      </c>
      <c r="AN845">
        <f t="shared" si="59"/>
        <v>0</v>
      </c>
    </row>
    <row r="846" spans="1:40" x14ac:dyDescent="0.2">
      <c r="A846">
        <v>106</v>
      </c>
      <c r="B846" t="s">
        <v>2104</v>
      </c>
      <c r="C846" s="2">
        <v>0</v>
      </c>
      <c r="D846" s="2">
        <v>0</v>
      </c>
      <c r="E846" s="2">
        <v>0</v>
      </c>
      <c r="G846" s="2" t="s">
        <v>1186</v>
      </c>
      <c r="H846" t="s">
        <v>1191</v>
      </c>
      <c r="I846" s="2">
        <v>31</v>
      </c>
      <c r="J846" s="2" t="s">
        <v>2154</v>
      </c>
      <c r="K846">
        <v>2020</v>
      </c>
      <c r="L846" s="2" t="s">
        <v>32</v>
      </c>
      <c r="M846" t="s">
        <v>759</v>
      </c>
      <c r="N846" s="31">
        <v>34.5</v>
      </c>
      <c r="O846">
        <f>22.5-19.5</f>
        <v>3</v>
      </c>
      <c r="P846" s="31" t="s">
        <v>2208</v>
      </c>
      <c r="Q846" s="31" t="s">
        <v>38</v>
      </c>
      <c r="R846" s="31" t="s">
        <v>39</v>
      </c>
      <c r="S846" s="4">
        <v>39.74709</v>
      </c>
      <c r="T846" s="4">
        <v>-123.63728999999999</v>
      </c>
      <c r="U846">
        <v>1277</v>
      </c>
      <c r="V846" s="6">
        <f t="shared" si="60"/>
        <v>389.2296</v>
      </c>
      <c r="W846" t="s">
        <v>869</v>
      </c>
      <c r="X846" s="31" t="s">
        <v>2212</v>
      </c>
      <c r="Y846" t="s">
        <v>2010</v>
      </c>
      <c r="AA846" t="s">
        <v>2237</v>
      </c>
      <c r="AJ846" s="41">
        <v>0</v>
      </c>
      <c r="AL846">
        <f t="shared" si="57"/>
        <v>0</v>
      </c>
      <c r="AM846">
        <f t="shared" si="58"/>
        <v>0</v>
      </c>
      <c r="AN846">
        <f t="shared" si="59"/>
        <v>0</v>
      </c>
    </row>
    <row r="847" spans="1:40" x14ac:dyDescent="0.2">
      <c r="A847">
        <v>106</v>
      </c>
      <c r="B847" t="s">
        <v>2105</v>
      </c>
      <c r="C847" s="2">
        <v>0.25713634490966797</v>
      </c>
      <c r="D847">
        <v>0.1426025778055191</v>
      </c>
      <c r="E847">
        <v>0.17447912693023682</v>
      </c>
      <c r="G847" s="2" t="s">
        <v>1186</v>
      </c>
      <c r="H847" t="s">
        <v>1191</v>
      </c>
      <c r="I847" s="2">
        <v>31</v>
      </c>
      <c r="J847" s="2" t="s">
        <v>2154</v>
      </c>
      <c r="K847">
        <v>2020</v>
      </c>
      <c r="L847" s="2" t="s">
        <v>32</v>
      </c>
      <c r="M847" t="s">
        <v>759</v>
      </c>
      <c r="N847" s="31">
        <v>37</v>
      </c>
      <c r="O847">
        <f>23-19.5</f>
        <v>3.5</v>
      </c>
      <c r="P847" s="31" t="s">
        <v>2211</v>
      </c>
      <c r="Q847" s="31" t="s">
        <v>38</v>
      </c>
      <c r="R847" s="31" t="s">
        <v>39</v>
      </c>
      <c r="S847" s="4">
        <v>39.747079999999997</v>
      </c>
      <c r="T847" s="4">
        <v>-123.63731</v>
      </c>
      <c r="U847">
        <v>1278</v>
      </c>
      <c r="V847" s="6">
        <f t="shared" si="60"/>
        <v>389.53440000000001</v>
      </c>
      <c r="W847" t="s">
        <v>869</v>
      </c>
      <c r="X847" s="31" t="s">
        <v>2212</v>
      </c>
      <c r="Y847" t="s">
        <v>1618</v>
      </c>
      <c r="AJ847" s="41">
        <v>0</v>
      </c>
      <c r="AL847">
        <f t="shared" ref="AL847:AL910" si="61">C847*80</f>
        <v>20.570907592773438</v>
      </c>
      <c r="AM847">
        <f t="shared" ref="AM847:AM910" si="62">D847*80</f>
        <v>11.408206224441528</v>
      </c>
      <c r="AN847">
        <f t="shared" ref="AN847:AN910" si="63">E847*80</f>
        <v>13.958330154418945</v>
      </c>
    </row>
    <row r="848" spans="1:40" x14ac:dyDescent="0.2">
      <c r="A848">
        <v>106</v>
      </c>
      <c r="B848" t="s">
        <v>2106</v>
      </c>
      <c r="C848" s="2">
        <v>0</v>
      </c>
      <c r="D848">
        <v>0</v>
      </c>
      <c r="E848">
        <v>0</v>
      </c>
      <c r="G848" s="2" t="s">
        <v>1186</v>
      </c>
      <c r="H848" t="s">
        <v>1191</v>
      </c>
      <c r="I848" s="2">
        <v>31</v>
      </c>
      <c r="J848" s="2" t="s">
        <v>2154</v>
      </c>
      <c r="K848">
        <v>2020</v>
      </c>
      <c r="L848" s="2" t="s">
        <v>32</v>
      </c>
      <c r="M848" t="s">
        <v>759</v>
      </c>
      <c r="N848" s="31">
        <v>37</v>
      </c>
      <c r="O848">
        <f>10.5-6</f>
        <v>4.5</v>
      </c>
      <c r="P848" s="31" t="s">
        <v>2211</v>
      </c>
      <c r="Q848" s="31" t="s">
        <v>38</v>
      </c>
      <c r="R848" s="31" t="s">
        <v>39</v>
      </c>
      <c r="S848" s="4">
        <v>39.747100000000003</v>
      </c>
      <c r="T848" s="4">
        <v>-123.63736</v>
      </c>
      <c r="U848">
        <v>1276</v>
      </c>
      <c r="V848" s="6">
        <f t="shared" si="60"/>
        <v>388.9248</v>
      </c>
      <c r="W848" t="s">
        <v>869</v>
      </c>
      <c r="X848" s="31" t="s">
        <v>2212</v>
      </c>
      <c r="Y848" t="s">
        <v>2407</v>
      </c>
      <c r="AJ848" s="41">
        <v>0</v>
      </c>
      <c r="AL848">
        <f t="shared" si="61"/>
        <v>0</v>
      </c>
      <c r="AM848">
        <f t="shared" si="62"/>
        <v>0</v>
      </c>
      <c r="AN848">
        <f t="shared" si="63"/>
        <v>0</v>
      </c>
    </row>
    <row r="849" spans="1:40" x14ac:dyDescent="0.2">
      <c r="A849">
        <v>106</v>
      </c>
      <c r="B849" t="s">
        <v>2107</v>
      </c>
      <c r="C849" s="2">
        <v>0.17798691987991333</v>
      </c>
      <c r="D849">
        <v>5.3519017994403839E-2</v>
      </c>
      <c r="E849">
        <v>0.16743852198123932</v>
      </c>
      <c r="G849" s="2" t="s">
        <v>1186</v>
      </c>
      <c r="H849" t="s">
        <v>1191</v>
      </c>
      <c r="I849" s="2">
        <v>31</v>
      </c>
      <c r="J849" s="2" t="s">
        <v>2154</v>
      </c>
      <c r="K849">
        <v>2020</v>
      </c>
      <c r="L849" s="2" t="s">
        <v>32</v>
      </c>
      <c r="M849" t="s">
        <v>759</v>
      </c>
      <c r="N849" s="31">
        <v>38</v>
      </c>
      <c r="O849">
        <f>24-19.5</f>
        <v>4.5</v>
      </c>
      <c r="P849" s="31" t="s">
        <v>2208</v>
      </c>
      <c r="Q849" s="31" t="s">
        <v>38</v>
      </c>
      <c r="R849" s="31" t="s">
        <v>39</v>
      </c>
      <c r="S849" s="4">
        <v>39.747120000000002</v>
      </c>
      <c r="T849" s="4">
        <v>-123.63736</v>
      </c>
      <c r="U849">
        <v>1275</v>
      </c>
      <c r="V849" s="6">
        <f t="shared" si="60"/>
        <v>388.62</v>
      </c>
      <c r="W849" t="s">
        <v>869</v>
      </c>
      <c r="X849" s="31" t="s">
        <v>2212</v>
      </c>
      <c r="Y849" t="s">
        <v>1620</v>
      </c>
      <c r="AJ849" s="41">
        <v>0</v>
      </c>
      <c r="AL849">
        <f t="shared" si="61"/>
        <v>14.238953590393066</v>
      </c>
      <c r="AM849">
        <f t="shared" si="62"/>
        <v>4.2815214395523071</v>
      </c>
      <c r="AN849">
        <f t="shared" si="63"/>
        <v>13.395081758499146</v>
      </c>
    </row>
    <row r="850" spans="1:40" x14ac:dyDescent="0.2">
      <c r="A850">
        <v>110</v>
      </c>
      <c r="B850" t="s">
        <v>2108</v>
      </c>
      <c r="C850" s="2">
        <v>0</v>
      </c>
      <c r="D850">
        <v>0</v>
      </c>
      <c r="E850">
        <v>3.9365746080875397E-2</v>
      </c>
      <c r="G850" s="2" t="s">
        <v>1186</v>
      </c>
      <c r="H850" t="s">
        <v>1191</v>
      </c>
      <c r="I850" s="2">
        <v>3</v>
      </c>
      <c r="J850" s="2" t="s">
        <v>2238</v>
      </c>
      <c r="K850">
        <v>2020</v>
      </c>
      <c r="L850" s="2" t="s">
        <v>32</v>
      </c>
      <c r="M850" t="s">
        <v>1319</v>
      </c>
      <c r="N850" s="31">
        <v>37</v>
      </c>
      <c r="O850">
        <f>23-19.5</f>
        <v>3.5</v>
      </c>
      <c r="P850" s="31" t="s">
        <v>2208</v>
      </c>
      <c r="Q850" s="31" t="s">
        <v>38</v>
      </c>
      <c r="R850" s="31" t="s">
        <v>39</v>
      </c>
      <c r="S850" s="4">
        <v>38.477719999999998</v>
      </c>
      <c r="T850" s="4">
        <v>-122.14245</v>
      </c>
      <c r="U850">
        <v>1096</v>
      </c>
      <c r="V850" s="6">
        <f t="shared" si="60"/>
        <v>334.06080000000003</v>
      </c>
      <c r="W850" t="s">
        <v>898</v>
      </c>
      <c r="X850" s="31" t="s">
        <v>2239</v>
      </c>
      <c r="Y850" s="1" t="s">
        <v>2408</v>
      </c>
      <c r="AA850" t="s">
        <v>2240</v>
      </c>
      <c r="AJ850" s="41">
        <v>0</v>
      </c>
      <c r="AL850">
        <f t="shared" si="61"/>
        <v>0</v>
      </c>
      <c r="AM850">
        <f t="shared" si="62"/>
        <v>0</v>
      </c>
      <c r="AN850">
        <f t="shared" si="63"/>
        <v>3.1492596864700317</v>
      </c>
    </row>
    <row r="851" spans="1:40" x14ac:dyDescent="0.2">
      <c r="A851">
        <v>115</v>
      </c>
      <c r="B851" t="s">
        <v>2109</v>
      </c>
      <c r="C851" s="2">
        <v>8.029618114233017E-2</v>
      </c>
      <c r="D851">
        <v>0.14882074296474457</v>
      </c>
      <c r="E851">
        <v>0.10441762208938599</v>
      </c>
      <c r="G851" s="2" t="s">
        <v>1186</v>
      </c>
      <c r="H851" t="s">
        <v>1191</v>
      </c>
      <c r="I851" s="2">
        <v>8</v>
      </c>
      <c r="J851" s="2" t="s">
        <v>2238</v>
      </c>
      <c r="K851">
        <v>2020</v>
      </c>
      <c r="L851" s="2" t="s">
        <v>32</v>
      </c>
      <c r="M851" t="s">
        <v>29</v>
      </c>
      <c r="N851" s="31">
        <v>26</v>
      </c>
      <c r="O851">
        <f>37-35</f>
        <v>2</v>
      </c>
      <c r="P851" s="31" t="s">
        <v>2208</v>
      </c>
      <c r="Q851" s="31" t="s">
        <v>38</v>
      </c>
      <c r="R851" s="31" t="s">
        <v>39</v>
      </c>
      <c r="S851" s="4">
        <v>34.09798</v>
      </c>
      <c r="T851" s="4">
        <v>-118.6557</v>
      </c>
      <c r="U851">
        <v>1010</v>
      </c>
      <c r="V851" s="6">
        <f t="shared" si="60"/>
        <v>307.84800000000001</v>
      </c>
      <c r="W851" t="s">
        <v>2015</v>
      </c>
      <c r="X851" s="31" t="s">
        <v>2241</v>
      </c>
      <c r="Y851" s="1" t="s">
        <v>2409</v>
      </c>
      <c r="Z851" t="s">
        <v>2244</v>
      </c>
      <c r="AA851" t="s">
        <v>2242</v>
      </c>
      <c r="AJ851" s="41">
        <v>0</v>
      </c>
      <c r="AL851">
        <f t="shared" si="61"/>
        <v>6.4236944913864136</v>
      </c>
      <c r="AM851">
        <f t="shared" si="62"/>
        <v>11.905659437179565</v>
      </c>
      <c r="AN851">
        <f t="shared" si="63"/>
        <v>8.3534097671508789</v>
      </c>
    </row>
    <row r="852" spans="1:40" x14ac:dyDescent="0.2">
      <c r="A852">
        <v>115</v>
      </c>
      <c r="B852" t="s">
        <v>2110</v>
      </c>
      <c r="C852" s="2">
        <v>0.5224185585975647</v>
      </c>
      <c r="D852">
        <v>0.71379315853118896</v>
      </c>
      <c r="E852">
        <v>0.40695452690124512</v>
      </c>
      <c r="G852" s="2" t="s">
        <v>1186</v>
      </c>
      <c r="H852" t="s">
        <v>1191</v>
      </c>
      <c r="I852" s="2">
        <v>8</v>
      </c>
      <c r="J852" s="2" t="s">
        <v>2238</v>
      </c>
      <c r="K852">
        <v>2020</v>
      </c>
      <c r="L852" s="2" t="s">
        <v>32</v>
      </c>
      <c r="M852" t="s">
        <v>29</v>
      </c>
      <c r="N852" s="31">
        <v>33</v>
      </c>
      <c r="O852">
        <f>21.5-19.5</f>
        <v>2</v>
      </c>
      <c r="P852" s="31" t="s">
        <v>2208</v>
      </c>
      <c r="Q852" s="31" t="s">
        <v>38</v>
      </c>
      <c r="R852" s="31" t="s">
        <v>39</v>
      </c>
      <c r="S852" s="4">
        <v>34.09798</v>
      </c>
      <c r="T852" s="4">
        <v>-118.6557</v>
      </c>
      <c r="U852" s="13">
        <v>1010</v>
      </c>
      <c r="V852" s="6">
        <f t="shared" si="60"/>
        <v>307.84800000000001</v>
      </c>
      <c r="W852" t="s">
        <v>2015</v>
      </c>
      <c r="X852" s="31" t="s">
        <v>2241</v>
      </c>
      <c r="Y852" s="1" t="s">
        <v>2409</v>
      </c>
      <c r="Z852" t="s">
        <v>2244</v>
      </c>
      <c r="AA852" t="s">
        <v>2243</v>
      </c>
      <c r="AJ852" s="41">
        <v>0</v>
      </c>
      <c r="AL852">
        <f t="shared" si="61"/>
        <v>41.793484687805176</v>
      </c>
      <c r="AM852">
        <f t="shared" si="62"/>
        <v>57.103452682495117</v>
      </c>
      <c r="AN852">
        <f t="shared" si="63"/>
        <v>32.556362152099609</v>
      </c>
    </row>
    <row r="853" spans="1:40" x14ac:dyDescent="0.2">
      <c r="A853">
        <v>115</v>
      </c>
      <c r="B853" t="s">
        <v>2111</v>
      </c>
      <c r="C853" s="2">
        <v>0.35841676592826843</v>
      </c>
      <c r="D853">
        <v>0.26877489686012268</v>
      </c>
      <c r="E853">
        <v>0.3386724591255188</v>
      </c>
      <c r="G853" s="2" t="s">
        <v>1186</v>
      </c>
      <c r="H853" t="s">
        <v>1191</v>
      </c>
      <c r="I853" s="2">
        <v>8</v>
      </c>
      <c r="J853" s="2" t="s">
        <v>2238</v>
      </c>
      <c r="K853">
        <v>2020</v>
      </c>
      <c r="L853" s="2" t="s">
        <v>32</v>
      </c>
      <c r="M853" t="s">
        <v>29</v>
      </c>
      <c r="N853" s="31">
        <v>32.5</v>
      </c>
      <c r="O853">
        <f>22-19.5</f>
        <v>2.5</v>
      </c>
      <c r="P853" s="31" t="s">
        <v>2208</v>
      </c>
      <c r="Q853" s="31" t="s">
        <v>38</v>
      </c>
      <c r="R853" s="31" t="s">
        <v>39</v>
      </c>
      <c r="S853" s="4">
        <v>34.097969999999997</v>
      </c>
      <c r="T853" s="4">
        <v>-118.65575</v>
      </c>
      <c r="U853">
        <v>1010</v>
      </c>
      <c r="V853" s="6">
        <f t="shared" si="60"/>
        <v>307.84800000000001</v>
      </c>
      <c r="W853" t="s">
        <v>2015</v>
      </c>
      <c r="X853" s="31" t="s">
        <v>2241</v>
      </c>
      <c r="Y853" s="1" t="s">
        <v>2410</v>
      </c>
      <c r="Z853" t="s">
        <v>2244</v>
      </c>
      <c r="AJ853" s="41">
        <v>0</v>
      </c>
      <c r="AL853">
        <f t="shared" si="61"/>
        <v>28.673341274261475</v>
      </c>
      <c r="AM853">
        <f t="shared" si="62"/>
        <v>21.501991748809814</v>
      </c>
      <c r="AN853">
        <f t="shared" si="63"/>
        <v>27.093796730041504</v>
      </c>
    </row>
    <row r="854" spans="1:40" x14ac:dyDescent="0.2">
      <c r="A854">
        <v>115</v>
      </c>
      <c r="B854" t="s">
        <v>2112</v>
      </c>
      <c r="C854" s="2">
        <v>0</v>
      </c>
      <c r="D854">
        <v>0</v>
      </c>
      <c r="E854">
        <v>0</v>
      </c>
      <c r="G854" s="2" t="s">
        <v>1186</v>
      </c>
      <c r="H854" t="s">
        <v>1191</v>
      </c>
      <c r="I854" s="2">
        <v>8</v>
      </c>
      <c r="J854" s="2" t="s">
        <v>2238</v>
      </c>
      <c r="K854">
        <v>2020</v>
      </c>
      <c r="L854" s="2" t="s">
        <v>32</v>
      </c>
      <c r="M854" t="s">
        <v>29</v>
      </c>
      <c r="N854" s="31">
        <v>27.5</v>
      </c>
      <c r="O854">
        <v>2.5</v>
      </c>
      <c r="P854" s="31" t="s">
        <v>2208</v>
      </c>
      <c r="Q854" s="31" t="s">
        <v>42</v>
      </c>
      <c r="R854" s="31" t="s">
        <v>39</v>
      </c>
      <c r="S854" s="4">
        <v>34.097969999999997</v>
      </c>
      <c r="T854" s="4">
        <v>-118.65575</v>
      </c>
      <c r="U854">
        <v>1010</v>
      </c>
      <c r="V854" s="6">
        <f t="shared" si="60"/>
        <v>307.84800000000001</v>
      </c>
      <c r="W854" t="s">
        <v>2015</v>
      </c>
      <c r="X854" s="31" t="s">
        <v>2241</v>
      </c>
      <c r="Y854" s="1" t="s">
        <v>2411</v>
      </c>
      <c r="Z854" t="s">
        <v>2244</v>
      </c>
      <c r="AJ854" s="41">
        <v>0</v>
      </c>
      <c r="AL854">
        <f t="shared" si="61"/>
        <v>0</v>
      </c>
      <c r="AM854">
        <f t="shared" si="62"/>
        <v>0</v>
      </c>
      <c r="AN854">
        <f t="shared" si="63"/>
        <v>0</v>
      </c>
    </row>
    <row r="855" spans="1:40" x14ac:dyDescent="0.2">
      <c r="A855">
        <v>115</v>
      </c>
      <c r="B855" t="s">
        <v>2113</v>
      </c>
      <c r="C855" s="2">
        <v>6.3926853239536285E-2</v>
      </c>
      <c r="D855">
        <v>0.1034986823797226</v>
      </c>
      <c r="E855">
        <v>0</v>
      </c>
      <c r="G855" s="2" t="s">
        <v>1186</v>
      </c>
      <c r="H855" t="s">
        <v>1191</v>
      </c>
      <c r="I855" s="2">
        <v>8</v>
      </c>
      <c r="J855" s="2" t="s">
        <v>2238</v>
      </c>
      <c r="K855">
        <v>2020</v>
      </c>
      <c r="L855" s="2" t="s">
        <v>32</v>
      </c>
      <c r="M855" t="s">
        <v>29</v>
      </c>
      <c r="N855" s="31">
        <v>30</v>
      </c>
      <c r="O855">
        <v>2.5</v>
      </c>
      <c r="P855" s="31" t="s">
        <v>2208</v>
      </c>
      <c r="Q855" s="31" t="s">
        <v>38</v>
      </c>
      <c r="R855" s="31" t="s">
        <v>39</v>
      </c>
      <c r="S855" s="4">
        <v>34.097969999999997</v>
      </c>
      <c r="T855" s="4">
        <v>-118.65575</v>
      </c>
      <c r="U855">
        <v>1010</v>
      </c>
      <c r="V855" s="6">
        <f t="shared" si="60"/>
        <v>307.84800000000001</v>
      </c>
      <c r="W855" t="s">
        <v>2015</v>
      </c>
      <c r="X855" s="31" t="s">
        <v>2241</v>
      </c>
      <c r="Y855" s="1" t="s">
        <v>2412</v>
      </c>
      <c r="Z855" t="s">
        <v>2244</v>
      </c>
      <c r="AJ855" s="41">
        <v>0</v>
      </c>
      <c r="AL855">
        <f t="shared" si="61"/>
        <v>5.1141482591629028</v>
      </c>
      <c r="AM855">
        <f t="shared" si="62"/>
        <v>8.2798945903778076</v>
      </c>
      <c r="AN855">
        <f t="shared" si="63"/>
        <v>0</v>
      </c>
    </row>
    <row r="856" spans="1:40" x14ac:dyDescent="0.2">
      <c r="A856">
        <v>115</v>
      </c>
      <c r="B856" t="s">
        <v>2114</v>
      </c>
      <c r="C856" s="2">
        <v>3.9383713155984879E-2</v>
      </c>
      <c r="D856">
        <v>0</v>
      </c>
      <c r="E856">
        <v>3.6362718790769577E-2</v>
      </c>
      <c r="G856" s="2" t="s">
        <v>1186</v>
      </c>
      <c r="H856" t="s">
        <v>1191</v>
      </c>
      <c r="I856" s="2">
        <v>8</v>
      </c>
      <c r="J856" s="2" t="s">
        <v>2238</v>
      </c>
      <c r="K856">
        <v>2020</v>
      </c>
      <c r="L856" s="2" t="s">
        <v>32</v>
      </c>
      <c r="M856" t="s">
        <v>29</v>
      </c>
      <c r="N856" s="31">
        <v>29</v>
      </c>
      <c r="O856">
        <f>22.5-19.5</f>
        <v>3</v>
      </c>
      <c r="P856" s="31" t="s">
        <v>2208</v>
      </c>
      <c r="Q856" s="31" t="s">
        <v>38</v>
      </c>
      <c r="R856" s="31" t="s">
        <v>39</v>
      </c>
      <c r="S856" s="4">
        <v>34.09798</v>
      </c>
      <c r="T856" s="4">
        <v>-118.65591000000001</v>
      </c>
      <c r="U856">
        <v>997</v>
      </c>
      <c r="V856" s="6">
        <f t="shared" si="60"/>
        <v>303.88560000000001</v>
      </c>
      <c r="W856" t="s">
        <v>2015</v>
      </c>
      <c r="X856" s="31" t="s">
        <v>2241</v>
      </c>
      <c r="Y856" s="1" t="s">
        <v>1330</v>
      </c>
      <c r="Z856" t="s">
        <v>2244</v>
      </c>
      <c r="AJ856" s="41">
        <v>0</v>
      </c>
      <c r="AL856">
        <f t="shared" si="61"/>
        <v>3.1506970524787903</v>
      </c>
      <c r="AM856">
        <f t="shared" si="62"/>
        <v>0</v>
      </c>
      <c r="AN856">
        <f t="shared" si="63"/>
        <v>2.9090175032615662</v>
      </c>
    </row>
    <row r="857" spans="1:40" x14ac:dyDescent="0.2">
      <c r="A857">
        <v>115</v>
      </c>
      <c r="B857" t="s">
        <v>2115</v>
      </c>
      <c r="C857" s="2">
        <v>0</v>
      </c>
      <c r="D857">
        <v>0</v>
      </c>
      <c r="E857">
        <v>0</v>
      </c>
      <c r="G857" s="2" t="s">
        <v>1186</v>
      </c>
      <c r="H857" t="s">
        <v>1191</v>
      </c>
      <c r="I857" s="2">
        <v>8</v>
      </c>
      <c r="J857" s="2" t="s">
        <v>2238</v>
      </c>
      <c r="K857">
        <v>2020</v>
      </c>
      <c r="L857" s="2" t="s">
        <v>32</v>
      </c>
      <c r="M857" t="s">
        <v>29</v>
      </c>
      <c r="N857" s="31">
        <v>30.5</v>
      </c>
      <c r="O857">
        <v>2.5</v>
      </c>
      <c r="P857" s="31" t="s">
        <v>2208</v>
      </c>
      <c r="Q857" s="31" t="s">
        <v>38</v>
      </c>
      <c r="R857" s="31" t="s">
        <v>39</v>
      </c>
      <c r="S857" s="4">
        <v>34.09798</v>
      </c>
      <c r="T857" s="4">
        <v>-118.65591000000001</v>
      </c>
      <c r="U857">
        <v>997</v>
      </c>
      <c r="V857" s="6">
        <f t="shared" si="60"/>
        <v>303.88560000000001</v>
      </c>
      <c r="W857" t="s">
        <v>2015</v>
      </c>
      <c r="X857" s="31" t="s">
        <v>2241</v>
      </c>
      <c r="Y857" s="1" t="s">
        <v>2404</v>
      </c>
      <c r="Z857" t="s">
        <v>2244</v>
      </c>
      <c r="AJ857" s="41">
        <v>0</v>
      </c>
      <c r="AL857">
        <f t="shared" si="61"/>
        <v>0</v>
      </c>
      <c r="AM857">
        <f t="shared" si="62"/>
        <v>0</v>
      </c>
      <c r="AN857">
        <f t="shared" si="63"/>
        <v>0</v>
      </c>
    </row>
    <row r="858" spans="1:40" x14ac:dyDescent="0.2">
      <c r="A858">
        <v>115</v>
      </c>
      <c r="B858" t="s">
        <v>2116</v>
      </c>
      <c r="C858" s="2">
        <v>0</v>
      </c>
      <c r="D858">
        <v>0</v>
      </c>
      <c r="E858">
        <v>0</v>
      </c>
      <c r="G858" s="2" t="s">
        <v>1186</v>
      </c>
      <c r="H858" t="s">
        <v>1191</v>
      </c>
      <c r="I858" s="2">
        <v>8</v>
      </c>
      <c r="J858" s="2" t="s">
        <v>2238</v>
      </c>
      <c r="K858">
        <v>2020</v>
      </c>
      <c r="L858" s="2" t="s">
        <v>32</v>
      </c>
      <c r="M858" t="s">
        <v>29</v>
      </c>
      <c r="N858" s="31">
        <v>34.5</v>
      </c>
      <c r="O858">
        <v>3</v>
      </c>
      <c r="P858" s="31" t="s">
        <v>2208</v>
      </c>
      <c r="Q858" s="31" t="s">
        <v>38</v>
      </c>
      <c r="R858" s="31" t="s">
        <v>39</v>
      </c>
      <c r="S858" s="4">
        <v>34.097999999999999</v>
      </c>
      <c r="T858" s="4">
        <v>-118.65594</v>
      </c>
      <c r="U858">
        <v>998</v>
      </c>
      <c r="V858" s="6">
        <f t="shared" si="60"/>
        <v>304.19040000000001</v>
      </c>
      <c r="W858" t="s">
        <v>2015</v>
      </c>
      <c r="X858" s="31" t="s">
        <v>2241</v>
      </c>
      <c r="Y858" s="1" t="s">
        <v>1331</v>
      </c>
      <c r="Z858" t="s">
        <v>2244</v>
      </c>
      <c r="AJ858" s="41">
        <v>0</v>
      </c>
      <c r="AL858">
        <f t="shared" si="61"/>
        <v>0</v>
      </c>
      <c r="AM858">
        <f t="shared" si="62"/>
        <v>0</v>
      </c>
      <c r="AN858">
        <f t="shared" si="63"/>
        <v>0</v>
      </c>
    </row>
    <row r="859" spans="1:40" x14ac:dyDescent="0.2">
      <c r="A859">
        <v>115</v>
      </c>
      <c r="B859" t="s">
        <v>2117</v>
      </c>
      <c r="C859" s="2">
        <v>2.4430637359619141</v>
      </c>
      <c r="D859">
        <v>3.3266005516052246</v>
      </c>
      <c r="E859">
        <v>4.0662989616394043</v>
      </c>
      <c r="G859" s="2" t="s">
        <v>1186</v>
      </c>
      <c r="H859" t="s">
        <v>1191</v>
      </c>
      <c r="I859" s="2">
        <v>8</v>
      </c>
      <c r="J859" s="2" t="s">
        <v>2238</v>
      </c>
      <c r="K859">
        <v>2020</v>
      </c>
      <c r="L859" s="2" t="s">
        <v>32</v>
      </c>
      <c r="M859" t="s">
        <v>29</v>
      </c>
      <c r="N859" s="31">
        <v>32.5</v>
      </c>
      <c r="O859">
        <v>3</v>
      </c>
      <c r="P859" s="31" t="s">
        <v>30</v>
      </c>
      <c r="Q859" s="31" t="s">
        <v>38</v>
      </c>
      <c r="R859" s="31" t="s">
        <v>39</v>
      </c>
      <c r="S859" s="4">
        <v>34.097990000000003</v>
      </c>
      <c r="T859" s="4">
        <v>-118.65585</v>
      </c>
      <c r="U859">
        <v>1005</v>
      </c>
      <c r="V859" s="6">
        <f t="shared" si="60"/>
        <v>306.32400000000001</v>
      </c>
      <c r="W859" t="s">
        <v>2015</v>
      </c>
      <c r="X859" s="31" t="s">
        <v>2241</v>
      </c>
      <c r="Y859" s="1" t="s">
        <v>1619</v>
      </c>
      <c r="Z859" t="s">
        <v>2244</v>
      </c>
      <c r="AJ859" s="41">
        <v>0</v>
      </c>
      <c r="AL859">
        <f t="shared" si="61"/>
        <v>195.44509887695312</v>
      </c>
      <c r="AM859">
        <f t="shared" si="62"/>
        <v>266.12804412841797</v>
      </c>
      <c r="AN859">
        <f t="shared" si="63"/>
        <v>325.30391693115234</v>
      </c>
    </row>
    <row r="860" spans="1:40" x14ac:dyDescent="0.2">
      <c r="A860">
        <v>115</v>
      </c>
      <c r="B860" t="s">
        <v>2118</v>
      </c>
      <c r="C860" s="2">
        <v>0.18362045288085938</v>
      </c>
      <c r="D860">
        <v>0.38831982016563416</v>
      </c>
      <c r="E860">
        <v>0.13685928285121918</v>
      </c>
      <c r="G860" s="2" t="s">
        <v>1186</v>
      </c>
      <c r="H860" t="s">
        <v>1191</v>
      </c>
      <c r="I860" s="2">
        <v>8</v>
      </c>
      <c r="J860" s="2" t="s">
        <v>2238</v>
      </c>
      <c r="K860">
        <v>2020</v>
      </c>
      <c r="L860" s="2" t="s">
        <v>32</v>
      </c>
      <c r="M860" t="s">
        <v>29</v>
      </c>
      <c r="N860" s="31">
        <v>31</v>
      </c>
      <c r="O860">
        <f>22-19.5</f>
        <v>2.5</v>
      </c>
      <c r="P860" s="31" t="s">
        <v>2208</v>
      </c>
      <c r="Q860" s="31" t="s">
        <v>38</v>
      </c>
      <c r="R860" s="31" t="s">
        <v>39</v>
      </c>
      <c r="S860" s="4">
        <v>34.097990000000003</v>
      </c>
      <c r="T860" s="4">
        <v>-118.65585</v>
      </c>
      <c r="U860">
        <v>1005</v>
      </c>
      <c r="V860" s="6">
        <f t="shared" si="60"/>
        <v>306.32400000000001</v>
      </c>
      <c r="W860" t="s">
        <v>2015</v>
      </c>
      <c r="X860" s="31" t="s">
        <v>2241</v>
      </c>
      <c r="Y860" s="1" t="s">
        <v>2413</v>
      </c>
      <c r="Z860" t="s">
        <v>2244</v>
      </c>
      <c r="AJ860" s="41">
        <v>0</v>
      </c>
      <c r="AL860">
        <f t="shared" si="61"/>
        <v>14.68963623046875</v>
      </c>
      <c r="AM860">
        <f t="shared" si="62"/>
        <v>31.065585613250732</v>
      </c>
      <c r="AN860">
        <f t="shared" si="63"/>
        <v>10.948742628097534</v>
      </c>
    </row>
    <row r="861" spans="1:40" x14ac:dyDescent="0.2">
      <c r="A861">
        <v>115</v>
      </c>
      <c r="B861" t="s">
        <v>2119</v>
      </c>
      <c r="C861" s="2">
        <v>1.0059635639190674</v>
      </c>
      <c r="D861">
        <v>5.5020041763782501E-2</v>
      </c>
      <c r="E861">
        <v>1.4496514797210693</v>
      </c>
      <c r="G861" s="2" t="s">
        <v>1186</v>
      </c>
      <c r="H861" t="s">
        <v>1191</v>
      </c>
      <c r="I861" s="2">
        <v>8</v>
      </c>
      <c r="J861" s="2" t="s">
        <v>2238</v>
      </c>
      <c r="K861">
        <v>2020</v>
      </c>
      <c r="L861" s="2" t="s">
        <v>32</v>
      </c>
      <c r="M861" t="s">
        <v>29</v>
      </c>
      <c r="N861" s="31">
        <v>30.5</v>
      </c>
      <c r="O861">
        <f>22.5-19.5</f>
        <v>3</v>
      </c>
      <c r="P861" s="31" t="s">
        <v>2208</v>
      </c>
      <c r="Q861" s="31" t="s">
        <v>38</v>
      </c>
      <c r="R861" s="31" t="s">
        <v>39</v>
      </c>
      <c r="S861" s="4">
        <v>34.097990000000003</v>
      </c>
      <c r="T861" s="4">
        <v>-118.65585</v>
      </c>
      <c r="U861">
        <v>1005</v>
      </c>
      <c r="V861" s="6">
        <f t="shared" si="60"/>
        <v>306.32400000000001</v>
      </c>
      <c r="W861" t="s">
        <v>2015</v>
      </c>
      <c r="X861" s="31" t="s">
        <v>2241</v>
      </c>
      <c r="Y861" s="1" t="s">
        <v>2414</v>
      </c>
      <c r="Z861" t="s">
        <v>2244</v>
      </c>
      <c r="AJ861" s="41">
        <v>0</v>
      </c>
      <c r="AL861">
        <f t="shared" si="61"/>
        <v>80.477085113525391</v>
      </c>
      <c r="AM861">
        <f t="shared" si="62"/>
        <v>4.4016033411026001</v>
      </c>
      <c r="AN861">
        <f t="shared" si="63"/>
        <v>115.97211837768555</v>
      </c>
    </row>
    <row r="862" spans="1:40" x14ac:dyDescent="0.2">
      <c r="A862">
        <v>115</v>
      </c>
      <c r="B862" t="s">
        <v>2120</v>
      </c>
      <c r="C862" s="2">
        <v>0</v>
      </c>
      <c r="D862">
        <v>0</v>
      </c>
      <c r="E862">
        <v>0</v>
      </c>
      <c r="G862" s="2" t="s">
        <v>1186</v>
      </c>
      <c r="H862" t="s">
        <v>1191</v>
      </c>
      <c r="I862" s="2">
        <v>8</v>
      </c>
      <c r="J862" s="2" t="s">
        <v>2238</v>
      </c>
      <c r="K862">
        <v>2020</v>
      </c>
      <c r="L862" s="2" t="s">
        <v>32</v>
      </c>
      <c r="M862" t="s">
        <v>29</v>
      </c>
      <c r="N862" s="31">
        <v>27</v>
      </c>
      <c r="O862" s="34">
        <v>2</v>
      </c>
      <c r="P862" s="31" t="s">
        <v>30</v>
      </c>
      <c r="Q862" s="31" t="s">
        <v>38</v>
      </c>
      <c r="R862" s="31" t="s">
        <v>39</v>
      </c>
      <c r="S862" s="4">
        <v>34.097990000000003</v>
      </c>
      <c r="T862" s="4">
        <v>-118.65585</v>
      </c>
      <c r="U862">
        <v>1005</v>
      </c>
      <c r="V862" s="6">
        <f t="shared" si="60"/>
        <v>306.32400000000001</v>
      </c>
      <c r="W862" t="s">
        <v>2015</v>
      </c>
      <c r="X862" s="31" t="s">
        <v>2241</v>
      </c>
      <c r="Y862" s="1" t="s">
        <v>2012</v>
      </c>
      <c r="Z862" t="s">
        <v>2244</v>
      </c>
      <c r="AJ862" s="41">
        <v>0</v>
      </c>
      <c r="AL862">
        <f t="shared" si="61"/>
        <v>0</v>
      </c>
      <c r="AM862">
        <f t="shared" si="62"/>
        <v>0</v>
      </c>
      <c r="AN862">
        <f t="shared" si="63"/>
        <v>0</v>
      </c>
    </row>
    <row r="863" spans="1:40" x14ac:dyDescent="0.2">
      <c r="A863">
        <v>115</v>
      </c>
      <c r="B863" t="s">
        <v>2121</v>
      </c>
      <c r="C863" s="2">
        <v>8.8926019668579102</v>
      </c>
      <c r="D863">
        <v>8.8872842788696289</v>
      </c>
      <c r="E863">
        <v>13.150718688964844</v>
      </c>
      <c r="G863" s="2" t="s">
        <v>1186</v>
      </c>
      <c r="H863" t="s">
        <v>1191</v>
      </c>
      <c r="I863" s="2">
        <v>8</v>
      </c>
      <c r="J863" s="2" t="s">
        <v>2238</v>
      </c>
      <c r="K863">
        <v>2020</v>
      </c>
      <c r="L863" s="2" t="s">
        <v>32</v>
      </c>
      <c r="M863" t="s">
        <v>29</v>
      </c>
      <c r="N863" s="31">
        <v>30</v>
      </c>
      <c r="O863">
        <f>12.5-9.5</f>
        <v>3</v>
      </c>
      <c r="P863" s="31" t="s">
        <v>30</v>
      </c>
      <c r="Q863" s="31" t="s">
        <v>38</v>
      </c>
      <c r="R863" s="31" t="s">
        <v>39</v>
      </c>
      <c r="S863" s="4">
        <v>34.097990000000003</v>
      </c>
      <c r="T863" s="4">
        <v>-118.65585</v>
      </c>
      <c r="U863">
        <v>1005</v>
      </c>
      <c r="V863" s="6">
        <f t="shared" si="60"/>
        <v>306.32400000000001</v>
      </c>
      <c r="W863" t="s">
        <v>2015</v>
      </c>
      <c r="X863" s="31" t="s">
        <v>2241</v>
      </c>
      <c r="Y863" s="1" t="s">
        <v>2415</v>
      </c>
      <c r="Z863" t="s">
        <v>2244</v>
      </c>
      <c r="AJ863" s="41">
        <v>0</v>
      </c>
      <c r="AL863">
        <f t="shared" si="61"/>
        <v>711.40815734863281</v>
      </c>
      <c r="AM863">
        <f t="shared" si="62"/>
        <v>710.98274230957031</v>
      </c>
      <c r="AN863">
        <f t="shared" si="63"/>
        <v>1052.0574951171875</v>
      </c>
    </row>
    <row r="864" spans="1:40" x14ac:dyDescent="0.2">
      <c r="A864">
        <v>116</v>
      </c>
      <c r="B864" t="s">
        <v>2122</v>
      </c>
      <c r="C864" s="2">
        <v>0</v>
      </c>
      <c r="D864">
        <v>0</v>
      </c>
      <c r="E864">
        <v>0</v>
      </c>
      <c r="G864" s="2" t="s">
        <v>1186</v>
      </c>
      <c r="H864" t="s">
        <v>1191</v>
      </c>
      <c r="I864" s="2">
        <v>9</v>
      </c>
      <c r="J864" s="2" t="s">
        <v>2238</v>
      </c>
      <c r="K864">
        <v>2020</v>
      </c>
      <c r="L864" s="2" t="s">
        <v>32</v>
      </c>
      <c r="M864" t="s">
        <v>29</v>
      </c>
      <c r="N864" s="31">
        <v>28</v>
      </c>
      <c r="O864">
        <v>2</v>
      </c>
      <c r="P864" s="31" t="s">
        <v>37</v>
      </c>
      <c r="Q864" s="31" t="s">
        <v>38</v>
      </c>
      <c r="R864" s="31" t="s">
        <v>39</v>
      </c>
      <c r="S864" s="4">
        <v>34.095829999999999</v>
      </c>
      <c r="T864" s="4">
        <v>-118.65333</v>
      </c>
      <c r="U864">
        <v>1089</v>
      </c>
      <c r="V864" s="6">
        <f t="shared" si="60"/>
        <v>331.92720000000003</v>
      </c>
      <c r="W864" t="s">
        <v>2015</v>
      </c>
      <c r="X864" s="31" t="s">
        <v>2245</v>
      </c>
      <c r="Y864" s="1" t="s">
        <v>2416</v>
      </c>
      <c r="AA864" t="s">
        <v>2247</v>
      </c>
      <c r="AJ864" s="41">
        <v>0</v>
      </c>
      <c r="AL864">
        <f t="shared" si="61"/>
        <v>0</v>
      </c>
      <c r="AM864">
        <f t="shared" si="62"/>
        <v>0</v>
      </c>
      <c r="AN864">
        <f t="shared" si="63"/>
        <v>0</v>
      </c>
    </row>
    <row r="865" spans="1:40" x14ac:dyDescent="0.2">
      <c r="A865">
        <v>116</v>
      </c>
      <c r="B865" t="s">
        <v>2123</v>
      </c>
      <c r="C865" s="2">
        <v>0.63565671443939209</v>
      </c>
      <c r="D865">
        <v>0.83377528190612793</v>
      </c>
      <c r="E865">
        <v>0.84071522951126099</v>
      </c>
      <c r="G865" s="2" t="s">
        <v>1186</v>
      </c>
      <c r="H865" t="s">
        <v>1191</v>
      </c>
      <c r="I865" s="2">
        <v>9</v>
      </c>
      <c r="J865" s="2" t="s">
        <v>2238</v>
      </c>
      <c r="K865">
        <v>2020</v>
      </c>
      <c r="L865" s="2" t="s">
        <v>28</v>
      </c>
      <c r="M865" t="s">
        <v>29</v>
      </c>
      <c r="N865" s="31">
        <v>30</v>
      </c>
      <c r="O865">
        <f>23-19.5</f>
        <v>3.5</v>
      </c>
      <c r="P865" s="31" t="s">
        <v>30</v>
      </c>
      <c r="R865" s="31" t="s">
        <v>89</v>
      </c>
      <c r="S865" s="4">
        <v>34.096069999999997</v>
      </c>
      <c r="T865" s="4">
        <v>-118.65352</v>
      </c>
      <c r="U865">
        <v>1073</v>
      </c>
      <c r="V865" s="6">
        <f t="shared" si="60"/>
        <v>327.05040000000002</v>
      </c>
      <c r="W865" t="s">
        <v>2015</v>
      </c>
      <c r="X865" s="31" t="s">
        <v>2245</v>
      </c>
      <c r="Y865" s="1" t="s">
        <v>2417</v>
      </c>
      <c r="Z865" t="s">
        <v>2534</v>
      </c>
      <c r="AA865" t="s">
        <v>2248</v>
      </c>
      <c r="AJ865" s="41">
        <v>0</v>
      </c>
      <c r="AL865">
        <f t="shared" si="61"/>
        <v>50.852537155151367</v>
      </c>
      <c r="AM865">
        <f t="shared" si="62"/>
        <v>66.702022552490234</v>
      </c>
      <c r="AN865">
        <f t="shared" si="63"/>
        <v>67.257218360900879</v>
      </c>
    </row>
    <row r="866" spans="1:40" x14ac:dyDescent="0.2">
      <c r="A866">
        <v>116</v>
      </c>
      <c r="B866" t="s">
        <v>2124</v>
      </c>
      <c r="C866" s="2">
        <v>28.379405975341797</v>
      </c>
      <c r="D866">
        <v>41.672431945800781</v>
      </c>
      <c r="E866">
        <v>44.581390380859375</v>
      </c>
      <c r="G866" s="2" t="s">
        <v>1186</v>
      </c>
      <c r="H866" t="s">
        <v>1191</v>
      </c>
      <c r="I866" s="2">
        <v>9</v>
      </c>
      <c r="J866" s="2" t="s">
        <v>2238</v>
      </c>
      <c r="K866">
        <v>2020</v>
      </c>
      <c r="L866" s="2" t="s">
        <v>32</v>
      </c>
      <c r="M866" t="s">
        <v>29</v>
      </c>
      <c r="N866" s="31">
        <v>30</v>
      </c>
      <c r="O866">
        <f>21.5-19.5</f>
        <v>2</v>
      </c>
      <c r="P866" s="31" t="s">
        <v>30</v>
      </c>
      <c r="Q866" s="31" t="s">
        <v>38</v>
      </c>
      <c r="R866" s="31" t="s">
        <v>39</v>
      </c>
      <c r="S866" s="4">
        <v>34.096119999999999</v>
      </c>
      <c r="T866" s="4">
        <v>-118.65358999999999</v>
      </c>
      <c r="U866">
        <v>1077</v>
      </c>
      <c r="V866" s="6">
        <f t="shared" si="60"/>
        <v>328.26960000000003</v>
      </c>
      <c r="W866" t="s">
        <v>2015</v>
      </c>
      <c r="X866" s="31" t="s">
        <v>2245</v>
      </c>
      <c r="Y866" s="1" t="s">
        <v>2418</v>
      </c>
      <c r="AA866" t="s">
        <v>1678</v>
      </c>
      <c r="AJ866" s="41">
        <v>0</v>
      </c>
      <c r="AL866">
        <f t="shared" si="61"/>
        <v>2270.3524780273438</v>
      </c>
      <c r="AM866">
        <f t="shared" si="62"/>
        <v>3333.7945556640625</v>
      </c>
      <c r="AN866">
        <f t="shared" si="63"/>
        <v>3566.51123046875</v>
      </c>
    </row>
    <row r="867" spans="1:40" x14ac:dyDescent="0.2">
      <c r="A867">
        <v>116</v>
      </c>
      <c r="B867" t="s">
        <v>2125</v>
      </c>
      <c r="C867" s="2">
        <v>0.59859007596969604</v>
      </c>
      <c r="D867">
        <v>0.53445881605148315</v>
      </c>
      <c r="E867">
        <v>0.8078961968421936</v>
      </c>
      <c r="G867" s="2" t="s">
        <v>1186</v>
      </c>
      <c r="H867" t="s">
        <v>1191</v>
      </c>
      <c r="I867" s="2">
        <v>9</v>
      </c>
      <c r="J867" s="2" t="s">
        <v>2238</v>
      </c>
      <c r="K867">
        <v>2020</v>
      </c>
      <c r="L867" s="2" t="s">
        <v>32</v>
      </c>
      <c r="M867" t="s">
        <v>29</v>
      </c>
      <c r="N867" s="31">
        <v>34</v>
      </c>
      <c r="O867">
        <f>23-19.5</f>
        <v>3.5</v>
      </c>
      <c r="P867" s="31" t="s">
        <v>30</v>
      </c>
      <c r="Q867" s="31" t="s">
        <v>38</v>
      </c>
      <c r="R867" s="31" t="s">
        <v>39</v>
      </c>
      <c r="S867" s="4">
        <v>34.096029999999999</v>
      </c>
      <c r="T867" s="4">
        <v>-118.65347</v>
      </c>
      <c r="U867">
        <v>1082</v>
      </c>
      <c r="V867" s="6">
        <f t="shared" si="60"/>
        <v>329.79360000000003</v>
      </c>
      <c r="W867" t="s">
        <v>2015</v>
      </c>
      <c r="X867" s="31" t="s">
        <v>2245</v>
      </c>
      <c r="Y867" s="1" t="s">
        <v>2419</v>
      </c>
      <c r="AA867" t="s">
        <v>2249</v>
      </c>
      <c r="AJ867" s="41">
        <v>0</v>
      </c>
      <c r="AL867">
        <f t="shared" si="61"/>
        <v>47.887206077575684</v>
      </c>
      <c r="AM867">
        <f t="shared" si="62"/>
        <v>42.756705284118652</v>
      </c>
      <c r="AN867">
        <f t="shared" si="63"/>
        <v>64.631695747375488</v>
      </c>
    </row>
    <row r="868" spans="1:40" x14ac:dyDescent="0.2">
      <c r="A868">
        <v>116</v>
      </c>
      <c r="B868" t="s">
        <v>2126</v>
      </c>
      <c r="C868" s="2">
        <v>137.42971801757812</v>
      </c>
      <c r="D868">
        <v>181.19345092773438</v>
      </c>
      <c r="E868">
        <v>226.14631652832031</v>
      </c>
      <c r="G868" s="2" t="s">
        <v>1186</v>
      </c>
      <c r="H868" t="s">
        <v>1191</v>
      </c>
      <c r="I868" s="2">
        <v>9</v>
      </c>
      <c r="J868" s="2" t="s">
        <v>2238</v>
      </c>
      <c r="K868">
        <v>2020</v>
      </c>
      <c r="L868" s="2" t="s">
        <v>32</v>
      </c>
      <c r="M868" t="s">
        <v>29</v>
      </c>
      <c r="N868" s="31">
        <v>31</v>
      </c>
      <c r="O868">
        <f>22-19.5</f>
        <v>2.5</v>
      </c>
      <c r="P868" s="31" t="s">
        <v>30</v>
      </c>
      <c r="Q868" s="31" t="s">
        <v>38</v>
      </c>
      <c r="R868" s="31" t="s">
        <v>39</v>
      </c>
      <c r="S868" s="4">
        <v>34.096029999999999</v>
      </c>
      <c r="T868" s="4">
        <v>-118.65347</v>
      </c>
      <c r="U868">
        <v>1082</v>
      </c>
      <c r="V868" s="6">
        <f t="shared" si="60"/>
        <v>329.79360000000003</v>
      </c>
      <c r="W868" t="s">
        <v>2015</v>
      </c>
      <c r="X868" s="31" t="s">
        <v>2245</v>
      </c>
      <c r="Y868" s="1" t="s">
        <v>2419</v>
      </c>
      <c r="Z868" t="s">
        <v>2246</v>
      </c>
      <c r="AA868" t="s">
        <v>1681</v>
      </c>
      <c r="AJ868" s="41">
        <v>0</v>
      </c>
      <c r="AL868">
        <f t="shared" si="61"/>
        <v>10994.37744140625</v>
      </c>
      <c r="AM868">
        <f t="shared" si="62"/>
        <v>14495.47607421875</v>
      </c>
      <c r="AN868">
        <f t="shared" si="63"/>
        <v>18091.705322265625</v>
      </c>
    </row>
    <row r="869" spans="1:40" x14ac:dyDescent="0.2">
      <c r="A869">
        <v>116</v>
      </c>
      <c r="B869" t="s">
        <v>2127</v>
      </c>
      <c r="C869" s="2">
        <v>8.643885612487793</v>
      </c>
      <c r="D869">
        <v>10.160453796386719</v>
      </c>
      <c r="E869">
        <v>18.279457092285156</v>
      </c>
      <c r="G869" s="2" t="s">
        <v>1186</v>
      </c>
      <c r="H869" t="s">
        <v>1191</v>
      </c>
      <c r="I869" s="2">
        <v>9</v>
      </c>
      <c r="J869" s="2" t="s">
        <v>2238</v>
      </c>
      <c r="K869">
        <v>2020</v>
      </c>
      <c r="L869" s="2" t="s">
        <v>32</v>
      </c>
      <c r="M869" t="s">
        <v>29</v>
      </c>
      <c r="N869" s="31">
        <v>33</v>
      </c>
      <c r="O869">
        <f>22-19.5</f>
        <v>2.5</v>
      </c>
      <c r="P869" s="31" t="s">
        <v>30</v>
      </c>
      <c r="Q869" s="31" t="s">
        <v>38</v>
      </c>
      <c r="R869" s="31" t="s">
        <v>39</v>
      </c>
      <c r="S869" s="4">
        <v>34.096119999999999</v>
      </c>
      <c r="T869" s="4">
        <v>-118.65358999999999</v>
      </c>
      <c r="U869">
        <v>1077</v>
      </c>
      <c r="V869" s="6">
        <f t="shared" si="60"/>
        <v>328.26960000000003</v>
      </c>
      <c r="W869" t="s">
        <v>2015</v>
      </c>
      <c r="X869" s="31" t="s">
        <v>2245</v>
      </c>
      <c r="Y869" s="1" t="s">
        <v>2397</v>
      </c>
      <c r="AA869" t="s">
        <v>1682</v>
      </c>
      <c r="AJ869" s="41">
        <v>0</v>
      </c>
      <c r="AL869">
        <f t="shared" si="61"/>
        <v>691.51084899902344</v>
      </c>
      <c r="AM869">
        <f t="shared" si="62"/>
        <v>812.8363037109375</v>
      </c>
      <c r="AN869">
        <f t="shared" si="63"/>
        <v>1462.3565673828125</v>
      </c>
    </row>
    <row r="870" spans="1:40" x14ac:dyDescent="0.2">
      <c r="A870">
        <v>116</v>
      </c>
      <c r="B870" t="s">
        <v>2128</v>
      </c>
      <c r="C870" s="2">
        <v>4.6433810144662857E-2</v>
      </c>
      <c r="D870">
        <v>4.0757287293672562E-2</v>
      </c>
      <c r="E870">
        <v>0</v>
      </c>
      <c r="G870" s="2" t="s">
        <v>1186</v>
      </c>
      <c r="H870" t="s">
        <v>1191</v>
      </c>
      <c r="I870" s="2">
        <v>9</v>
      </c>
      <c r="J870" s="2" t="s">
        <v>2238</v>
      </c>
      <c r="K870">
        <v>2020</v>
      </c>
      <c r="L870" s="2" t="s">
        <v>32</v>
      </c>
      <c r="M870" t="s">
        <v>29</v>
      </c>
      <c r="N870" s="31">
        <v>32</v>
      </c>
      <c r="O870">
        <f>22-19.5</f>
        <v>2.5</v>
      </c>
      <c r="P870" s="31" t="s">
        <v>30</v>
      </c>
      <c r="Q870" s="31" t="s">
        <v>38</v>
      </c>
      <c r="R870" s="31" t="s">
        <v>39</v>
      </c>
      <c r="S870" s="4">
        <v>34.095829999999999</v>
      </c>
      <c r="T870" s="4">
        <v>-118.65333</v>
      </c>
      <c r="U870">
        <v>1089</v>
      </c>
      <c r="V870" s="6">
        <f t="shared" si="60"/>
        <v>331.92720000000003</v>
      </c>
      <c r="W870" t="s">
        <v>2015</v>
      </c>
      <c r="X870" s="31" t="s">
        <v>2245</v>
      </c>
      <c r="Y870" s="1" t="s">
        <v>2420</v>
      </c>
      <c r="AA870" t="s">
        <v>2250</v>
      </c>
      <c r="AJ870" s="41">
        <v>0</v>
      </c>
      <c r="AL870">
        <f t="shared" si="61"/>
        <v>3.7147048115730286</v>
      </c>
      <c r="AM870">
        <f t="shared" si="62"/>
        <v>3.2605829834938049</v>
      </c>
      <c r="AN870">
        <f t="shared" si="63"/>
        <v>0</v>
      </c>
    </row>
    <row r="871" spans="1:40" x14ac:dyDescent="0.2">
      <c r="A871">
        <v>116</v>
      </c>
      <c r="B871" t="s">
        <v>2129</v>
      </c>
      <c r="C871" s="2">
        <v>0</v>
      </c>
      <c r="D871">
        <v>0</v>
      </c>
      <c r="E871">
        <v>4.3167360126972198E-2</v>
      </c>
      <c r="G871" s="2" t="s">
        <v>1186</v>
      </c>
      <c r="H871" t="s">
        <v>1191</v>
      </c>
      <c r="I871" s="2">
        <v>9</v>
      </c>
      <c r="J871" s="2" t="s">
        <v>2238</v>
      </c>
      <c r="K871">
        <v>2020</v>
      </c>
      <c r="L871" s="2" t="s">
        <v>32</v>
      </c>
      <c r="M871" t="s">
        <v>29</v>
      </c>
      <c r="N871" s="31">
        <v>29.5</v>
      </c>
      <c r="O871">
        <f>21.5-19.5</f>
        <v>2</v>
      </c>
      <c r="P871" s="31" t="s">
        <v>30</v>
      </c>
      <c r="Q871" s="31" t="s">
        <v>38</v>
      </c>
      <c r="R871" s="31" t="s">
        <v>39</v>
      </c>
      <c r="S871" s="4">
        <v>34.095829999999999</v>
      </c>
      <c r="T871" s="4">
        <v>-118.65333</v>
      </c>
      <c r="U871">
        <v>1089</v>
      </c>
      <c r="V871" s="6">
        <f t="shared" si="60"/>
        <v>331.92720000000003</v>
      </c>
      <c r="W871" t="s">
        <v>2015</v>
      </c>
      <c r="X871" s="31" t="s">
        <v>2245</v>
      </c>
      <c r="Y871" s="1" t="s">
        <v>2404</v>
      </c>
      <c r="AA871" t="s">
        <v>2251</v>
      </c>
      <c r="AJ871" s="41">
        <v>0</v>
      </c>
      <c r="AL871">
        <f t="shared" si="61"/>
        <v>0</v>
      </c>
      <c r="AM871">
        <f t="shared" si="62"/>
        <v>0</v>
      </c>
      <c r="AN871">
        <f t="shared" si="63"/>
        <v>3.4533888101577759</v>
      </c>
    </row>
    <row r="872" spans="1:40" x14ac:dyDescent="0.2">
      <c r="A872">
        <v>116</v>
      </c>
      <c r="B872" t="s">
        <v>2130</v>
      </c>
      <c r="C872" s="2">
        <v>0.26653003692626953</v>
      </c>
      <c r="D872">
        <v>0.21357437968254089</v>
      </c>
      <c r="E872">
        <v>0.40866082906723022</v>
      </c>
      <c r="G872" s="2" t="s">
        <v>1186</v>
      </c>
      <c r="H872" t="s">
        <v>1191</v>
      </c>
      <c r="I872" s="2">
        <v>9</v>
      </c>
      <c r="J872" s="2" t="s">
        <v>2238</v>
      </c>
      <c r="K872">
        <v>2020</v>
      </c>
      <c r="L872" s="2" t="s">
        <v>32</v>
      </c>
      <c r="M872" t="s">
        <v>29</v>
      </c>
      <c r="N872" s="31">
        <v>33</v>
      </c>
      <c r="O872">
        <f>22-19.5</f>
        <v>2.5</v>
      </c>
      <c r="P872" s="31" t="s">
        <v>30</v>
      </c>
      <c r="Q872" s="31" t="s">
        <v>38</v>
      </c>
      <c r="R872" s="31" t="s">
        <v>39</v>
      </c>
      <c r="S872" s="4">
        <v>34.095730000000003</v>
      </c>
      <c r="T872" s="4">
        <v>-118.65327000000001</v>
      </c>
      <c r="U872">
        <v>1091</v>
      </c>
      <c r="V872" s="6">
        <f t="shared" si="60"/>
        <v>332.53680000000003</v>
      </c>
      <c r="W872" t="s">
        <v>2015</v>
      </c>
      <c r="X872" s="31" t="s">
        <v>2245</v>
      </c>
      <c r="Y872" s="1" t="s">
        <v>1334</v>
      </c>
      <c r="AA872" t="s">
        <v>2252</v>
      </c>
      <c r="AJ872" s="41">
        <v>0</v>
      </c>
      <c r="AL872">
        <f t="shared" si="61"/>
        <v>21.322402954101562</v>
      </c>
      <c r="AM872">
        <f t="shared" si="62"/>
        <v>17.085950374603271</v>
      </c>
      <c r="AN872">
        <f t="shared" si="63"/>
        <v>32.692866325378418</v>
      </c>
    </row>
    <row r="873" spans="1:40" x14ac:dyDescent="0.2">
      <c r="A873">
        <v>117</v>
      </c>
      <c r="B873" t="s">
        <v>2131</v>
      </c>
      <c r="C873" s="2">
        <v>15.821880340576172</v>
      </c>
      <c r="D873">
        <v>22.964790344238281</v>
      </c>
      <c r="E873">
        <v>23.759683609008789</v>
      </c>
      <c r="G873" s="2" t="s">
        <v>1186</v>
      </c>
      <c r="H873" t="s">
        <v>1191</v>
      </c>
      <c r="I873" s="2">
        <v>12</v>
      </c>
      <c r="J873" s="2" t="s">
        <v>2238</v>
      </c>
      <c r="K873">
        <v>2020</v>
      </c>
      <c r="L873" s="2" t="s">
        <v>32</v>
      </c>
      <c r="M873" t="s">
        <v>46</v>
      </c>
      <c r="N873" s="31">
        <v>30</v>
      </c>
      <c r="O873">
        <f>20.5-17</f>
        <v>3.5</v>
      </c>
      <c r="P873" s="31" t="s">
        <v>1981</v>
      </c>
      <c r="Q873" s="31" t="s">
        <v>38</v>
      </c>
      <c r="R873" s="31" t="s">
        <v>39</v>
      </c>
      <c r="S873" s="29">
        <v>34.69332</v>
      </c>
      <c r="T873" s="29">
        <v>-120.03913</v>
      </c>
      <c r="U873" s="13">
        <v>1079</v>
      </c>
      <c r="V873" s="6">
        <f t="shared" si="60"/>
        <v>328.87920000000003</v>
      </c>
      <c r="W873" t="s">
        <v>2346</v>
      </c>
      <c r="X873" s="2" t="s">
        <v>2330</v>
      </c>
      <c r="Y873" s="1" t="s">
        <v>2421</v>
      </c>
      <c r="AA873" t="s">
        <v>2257</v>
      </c>
      <c r="AB873">
        <v>20.399999999999999</v>
      </c>
      <c r="AC873">
        <v>4</v>
      </c>
      <c r="AH873">
        <v>27.8</v>
      </c>
      <c r="AI873">
        <v>-4.5999999999999996</v>
      </c>
      <c r="AJ873" s="41">
        <v>0</v>
      </c>
      <c r="AL873">
        <f t="shared" si="61"/>
        <v>1265.7504272460938</v>
      </c>
      <c r="AM873">
        <f t="shared" si="62"/>
        <v>1837.1832275390625</v>
      </c>
      <c r="AN873">
        <f t="shared" si="63"/>
        <v>1900.7746887207031</v>
      </c>
    </row>
    <row r="874" spans="1:40" x14ac:dyDescent="0.2">
      <c r="A874">
        <v>117</v>
      </c>
      <c r="B874" t="s">
        <v>2132</v>
      </c>
      <c r="C874" s="2">
        <v>97.885887145996094</v>
      </c>
      <c r="D874">
        <v>113.56723785400391</v>
      </c>
      <c r="E874">
        <v>177.42767333984375</v>
      </c>
      <c r="G874" s="2" t="s">
        <v>1186</v>
      </c>
      <c r="H874" t="s">
        <v>1191</v>
      </c>
      <c r="I874" s="2">
        <v>12</v>
      </c>
      <c r="J874" s="2" t="s">
        <v>2238</v>
      </c>
      <c r="K874">
        <v>2020</v>
      </c>
      <c r="L874" s="2" t="s">
        <v>32</v>
      </c>
      <c r="M874" t="s">
        <v>46</v>
      </c>
      <c r="N874" s="31">
        <v>36</v>
      </c>
      <c r="O874">
        <f>17.5-13.5</f>
        <v>4</v>
      </c>
      <c r="P874" s="31" t="s">
        <v>1981</v>
      </c>
      <c r="Q874" s="31" t="s">
        <v>38</v>
      </c>
      <c r="R874" s="31" t="s">
        <v>39</v>
      </c>
      <c r="S874" s="29">
        <v>34.69332</v>
      </c>
      <c r="T874" s="29">
        <v>-120.03913</v>
      </c>
      <c r="U874" s="13">
        <v>1079</v>
      </c>
      <c r="V874" s="6">
        <f t="shared" si="60"/>
        <v>328.87920000000003</v>
      </c>
      <c r="W874" t="s">
        <v>2346</v>
      </c>
      <c r="X874" s="2" t="s">
        <v>2330</v>
      </c>
      <c r="Y874" s="1" t="s">
        <v>2422</v>
      </c>
      <c r="AA874" t="s">
        <v>2258</v>
      </c>
      <c r="AH874">
        <v>27.8</v>
      </c>
      <c r="AI874">
        <v>-4.5999999999999996</v>
      </c>
      <c r="AJ874" s="41">
        <v>0</v>
      </c>
      <c r="AL874">
        <f t="shared" si="61"/>
        <v>7830.8709716796875</v>
      </c>
      <c r="AM874">
        <f t="shared" si="62"/>
        <v>9085.3790283203125</v>
      </c>
      <c r="AN874">
        <f t="shared" si="63"/>
        <v>14194.2138671875</v>
      </c>
    </row>
    <row r="875" spans="1:40" x14ac:dyDescent="0.2">
      <c r="A875">
        <v>117</v>
      </c>
      <c r="B875" t="s">
        <v>2133</v>
      </c>
      <c r="C875" s="2">
        <v>145.64276123046875</v>
      </c>
      <c r="D875">
        <v>24.188253402709961</v>
      </c>
      <c r="E875">
        <v>290.03622436523438</v>
      </c>
      <c r="G875" s="2" t="s">
        <v>1186</v>
      </c>
      <c r="H875" t="s">
        <v>1191</v>
      </c>
      <c r="I875" s="2">
        <v>12</v>
      </c>
      <c r="J875" s="2" t="s">
        <v>2238</v>
      </c>
      <c r="K875">
        <v>2020</v>
      </c>
      <c r="L875" s="2" t="s">
        <v>32</v>
      </c>
      <c r="M875" t="s">
        <v>46</v>
      </c>
      <c r="N875" s="31">
        <v>33</v>
      </c>
      <c r="O875">
        <f>14.5-11</f>
        <v>3.5</v>
      </c>
      <c r="P875" s="31" t="s">
        <v>1981</v>
      </c>
      <c r="Q875" s="31" t="s">
        <v>38</v>
      </c>
      <c r="R875" s="31" t="s">
        <v>39</v>
      </c>
      <c r="S875" s="29">
        <v>34.69332</v>
      </c>
      <c r="T875" s="29">
        <v>-120.03913</v>
      </c>
      <c r="U875" s="13">
        <v>1079</v>
      </c>
      <c r="V875" s="6">
        <f t="shared" si="60"/>
        <v>328.87920000000003</v>
      </c>
      <c r="W875" t="s">
        <v>2346</v>
      </c>
      <c r="X875" s="2" t="s">
        <v>2330</v>
      </c>
      <c r="Y875" s="1" t="s">
        <v>2423</v>
      </c>
      <c r="AA875" t="s">
        <v>2259</v>
      </c>
      <c r="AH875">
        <v>27.8</v>
      </c>
      <c r="AI875">
        <v>-4.5999999999999996</v>
      </c>
      <c r="AJ875" s="41">
        <v>0</v>
      </c>
      <c r="AL875">
        <f t="shared" si="61"/>
        <v>11651.4208984375</v>
      </c>
      <c r="AM875">
        <f t="shared" si="62"/>
        <v>1935.0602722167969</v>
      </c>
      <c r="AN875">
        <f t="shared" si="63"/>
        <v>23202.89794921875</v>
      </c>
    </row>
    <row r="876" spans="1:40" x14ac:dyDescent="0.2">
      <c r="A876">
        <v>117</v>
      </c>
      <c r="B876" t="s">
        <v>2134</v>
      </c>
      <c r="C876" s="2">
        <v>3.9252232760190964E-2</v>
      </c>
      <c r="D876">
        <v>3.5467378795146942E-2</v>
      </c>
      <c r="E876">
        <v>3.722473606467247E-2</v>
      </c>
      <c r="G876" s="2" t="s">
        <v>1186</v>
      </c>
      <c r="H876" t="s">
        <v>1191</v>
      </c>
      <c r="I876" s="2">
        <v>12</v>
      </c>
      <c r="J876" s="2" t="s">
        <v>2238</v>
      </c>
      <c r="K876">
        <v>2020</v>
      </c>
      <c r="L876" s="2" t="s">
        <v>32</v>
      </c>
      <c r="M876" t="s">
        <v>46</v>
      </c>
      <c r="N876" s="31">
        <v>30</v>
      </c>
      <c r="O876">
        <f>12-7.5</f>
        <v>4.5</v>
      </c>
      <c r="P876" s="31" t="s">
        <v>1981</v>
      </c>
      <c r="Q876" s="31" t="s">
        <v>38</v>
      </c>
      <c r="R876" s="31" t="s">
        <v>39</v>
      </c>
      <c r="S876" s="29">
        <v>34.69332</v>
      </c>
      <c r="T876" s="29">
        <v>-120.03913</v>
      </c>
      <c r="U876" s="13">
        <v>1079</v>
      </c>
      <c r="V876" s="6">
        <f t="shared" ref="V876:V930" si="64">U876*0.3048</f>
        <v>328.87920000000003</v>
      </c>
      <c r="W876" t="s">
        <v>2346</v>
      </c>
      <c r="X876" s="2" t="s">
        <v>2330</v>
      </c>
      <c r="Y876" s="1" t="s">
        <v>2424</v>
      </c>
      <c r="AA876" t="s">
        <v>2260</v>
      </c>
      <c r="AH876">
        <v>27.8</v>
      </c>
      <c r="AI876">
        <v>-4.5999999999999996</v>
      </c>
      <c r="AJ876" s="41">
        <v>0</v>
      </c>
      <c r="AL876">
        <f t="shared" si="61"/>
        <v>3.1401786208152771</v>
      </c>
      <c r="AM876">
        <f t="shared" si="62"/>
        <v>2.8373903036117554</v>
      </c>
      <c r="AN876">
        <f t="shared" si="63"/>
        <v>2.9779788851737976</v>
      </c>
    </row>
    <row r="877" spans="1:40" x14ac:dyDescent="0.2">
      <c r="A877">
        <v>117</v>
      </c>
      <c r="B877" t="s">
        <v>2135</v>
      </c>
      <c r="C877" s="2">
        <v>3.3195126056671143</v>
      </c>
      <c r="D877">
        <v>14.74858283996582</v>
      </c>
      <c r="E877">
        <v>4.1886420249938965</v>
      </c>
      <c r="G877" s="2" t="s">
        <v>1186</v>
      </c>
      <c r="H877" t="s">
        <v>1191</v>
      </c>
      <c r="I877" s="2">
        <v>12</v>
      </c>
      <c r="J877" s="2" t="s">
        <v>2238</v>
      </c>
      <c r="K877">
        <v>2020</v>
      </c>
      <c r="L877" s="2" t="s">
        <v>32</v>
      </c>
      <c r="M877" t="s">
        <v>46</v>
      </c>
      <c r="N877" s="31">
        <v>29</v>
      </c>
      <c r="O877">
        <v>3</v>
      </c>
      <c r="P877" s="31" t="s">
        <v>1981</v>
      </c>
      <c r="Q877" s="31" t="s">
        <v>38</v>
      </c>
      <c r="R877" s="31" t="s">
        <v>39</v>
      </c>
      <c r="S877" s="29">
        <v>34.69332</v>
      </c>
      <c r="T877" s="29">
        <v>-120.03913</v>
      </c>
      <c r="U877" s="13">
        <v>1079</v>
      </c>
      <c r="V877" s="6">
        <f t="shared" si="64"/>
        <v>328.87920000000003</v>
      </c>
      <c r="W877" t="s">
        <v>2346</v>
      </c>
      <c r="X877" s="2" t="s">
        <v>2330</v>
      </c>
      <c r="Y877" s="1" t="s">
        <v>2425</v>
      </c>
      <c r="AA877" t="s">
        <v>1687</v>
      </c>
      <c r="AH877">
        <v>27.8</v>
      </c>
      <c r="AI877">
        <v>-4.5999999999999996</v>
      </c>
      <c r="AJ877" s="41">
        <v>0</v>
      </c>
      <c r="AL877">
        <f t="shared" si="61"/>
        <v>265.56100845336914</v>
      </c>
      <c r="AM877">
        <f t="shared" si="62"/>
        <v>1179.8866271972656</v>
      </c>
      <c r="AN877">
        <f t="shared" si="63"/>
        <v>335.09136199951172</v>
      </c>
    </row>
    <row r="878" spans="1:40" x14ac:dyDescent="0.2">
      <c r="A878">
        <v>117</v>
      </c>
      <c r="B878" t="s">
        <v>2136</v>
      </c>
      <c r="C878" s="2">
        <v>116.54231262207031</v>
      </c>
      <c r="D878">
        <v>15.95378589630127</v>
      </c>
      <c r="E878">
        <v>215.55012512207031</v>
      </c>
      <c r="G878" s="2" t="s">
        <v>1186</v>
      </c>
      <c r="H878" t="s">
        <v>1191</v>
      </c>
      <c r="I878" s="2">
        <v>12</v>
      </c>
      <c r="J878" s="2" t="s">
        <v>2238</v>
      </c>
      <c r="K878">
        <v>2020</v>
      </c>
      <c r="L878" s="2" t="s">
        <v>32</v>
      </c>
      <c r="M878" t="s">
        <v>46</v>
      </c>
      <c r="N878" s="31">
        <v>21</v>
      </c>
      <c r="O878">
        <f>18-14.5</f>
        <v>3.5</v>
      </c>
      <c r="P878" s="31" t="s">
        <v>1981</v>
      </c>
      <c r="R878" s="45" t="s">
        <v>39</v>
      </c>
      <c r="S878" s="29">
        <v>34.69332</v>
      </c>
      <c r="T878" s="29">
        <v>-120.03913</v>
      </c>
      <c r="U878" s="13">
        <v>1079</v>
      </c>
      <c r="V878" s="6">
        <f t="shared" si="64"/>
        <v>328.87920000000003</v>
      </c>
      <c r="W878" t="s">
        <v>2346</v>
      </c>
      <c r="X878" s="2" t="s">
        <v>2330</v>
      </c>
      <c r="Y878" s="1" t="s">
        <v>2426</v>
      </c>
      <c r="AA878" t="s">
        <v>2261</v>
      </c>
      <c r="AH878">
        <v>27.8</v>
      </c>
      <c r="AI878">
        <v>-4.5999999999999996</v>
      </c>
      <c r="AJ878" s="41">
        <v>0</v>
      </c>
      <c r="AL878">
        <f t="shared" si="61"/>
        <v>9323.385009765625</v>
      </c>
      <c r="AM878">
        <f t="shared" si="62"/>
        <v>1276.3028717041016</v>
      </c>
      <c r="AN878">
        <f t="shared" si="63"/>
        <v>17244.010009765625</v>
      </c>
    </row>
    <row r="879" spans="1:40" x14ac:dyDescent="0.2">
      <c r="A879">
        <v>117</v>
      </c>
      <c r="B879" t="s">
        <v>2137</v>
      </c>
      <c r="C879" s="2">
        <v>47.465244293212891</v>
      </c>
      <c r="D879">
        <v>48.658390045166016</v>
      </c>
      <c r="E879">
        <v>82.272125244140625</v>
      </c>
      <c r="G879" s="2" t="s">
        <v>1186</v>
      </c>
      <c r="H879" t="s">
        <v>1191</v>
      </c>
      <c r="I879" s="2">
        <v>12</v>
      </c>
      <c r="J879" s="2" t="s">
        <v>2238</v>
      </c>
      <c r="K879">
        <v>2020</v>
      </c>
      <c r="L879" s="2" t="s">
        <v>32</v>
      </c>
      <c r="M879" t="s">
        <v>46</v>
      </c>
      <c r="N879" s="31">
        <v>34</v>
      </c>
      <c r="O879">
        <f>13.5-9.5</f>
        <v>4</v>
      </c>
      <c r="P879" s="31" t="s">
        <v>1981</v>
      </c>
      <c r="Q879" s="31" t="s">
        <v>38</v>
      </c>
      <c r="R879" s="31" t="s">
        <v>39</v>
      </c>
      <c r="S879" s="29">
        <v>34.69332</v>
      </c>
      <c r="T879" s="29">
        <v>-120.03913</v>
      </c>
      <c r="U879" s="13">
        <v>1079</v>
      </c>
      <c r="V879" s="6">
        <f t="shared" si="64"/>
        <v>328.87920000000003</v>
      </c>
      <c r="W879" t="s">
        <v>2346</v>
      </c>
      <c r="X879" s="2" t="s">
        <v>2330</v>
      </c>
      <c r="Y879" s="1" t="s">
        <v>2427</v>
      </c>
      <c r="AA879" t="s">
        <v>2262</v>
      </c>
      <c r="AH879">
        <v>27.8</v>
      </c>
      <c r="AI879">
        <v>-4.5999999999999996</v>
      </c>
      <c r="AJ879" s="41">
        <v>0</v>
      </c>
      <c r="AL879">
        <f t="shared" si="61"/>
        <v>3797.2195434570312</v>
      </c>
      <c r="AM879">
        <f t="shared" si="62"/>
        <v>3892.6712036132812</v>
      </c>
      <c r="AN879">
        <f t="shared" si="63"/>
        <v>6581.77001953125</v>
      </c>
    </row>
    <row r="880" spans="1:40" x14ac:dyDescent="0.2">
      <c r="A880">
        <v>117</v>
      </c>
      <c r="B880" t="s">
        <v>2138</v>
      </c>
      <c r="C880" s="2">
        <v>3.4482161998748779</v>
      </c>
      <c r="D880">
        <v>7.5479087829589844</v>
      </c>
      <c r="E880">
        <v>4.9603958129882812</v>
      </c>
      <c r="G880" s="2" t="s">
        <v>1186</v>
      </c>
      <c r="H880" t="s">
        <v>1191</v>
      </c>
      <c r="I880" s="2">
        <v>12</v>
      </c>
      <c r="J880" s="2" t="s">
        <v>2238</v>
      </c>
      <c r="K880">
        <v>2020</v>
      </c>
      <c r="L880" s="2" t="s">
        <v>32</v>
      </c>
      <c r="M880" t="s">
        <v>46</v>
      </c>
      <c r="N880" s="31">
        <v>32</v>
      </c>
      <c r="O880">
        <f>14.5-11.5</f>
        <v>3</v>
      </c>
      <c r="P880" s="31" t="s">
        <v>1981</v>
      </c>
      <c r="Q880" s="31" t="s">
        <v>38</v>
      </c>
      <c r="R880" s="31" t="s">
        <v>39</v>
      </c>
      <c r="S880" s="29">
        <v>34.69332</v>
      </c>
      <c r="T880" s="29">
        <v>-120.03913</v>
      </c>
      <c r="U880" s="13">
        <v>1079</v>
      </c>
      <c r="V880" s="6">
        <f t="shared" si="64"/>
        <v>328.87920000000003</v>
      </c>
      <c r="W880" t="s">
        <v>2346</v>
      </c>
      <c r="X880" s="2" t="s">
        <v>2330</v>
      </c>
      <c r="Y880" s="1" t="s">
        <v>2428</v>
      </c>
      <c r="AA880" t="s">
        <v>2263</v>
      </c>
      <c r="AH880">
        <v>27.8</v>
      </c>
      <c r="AI880">
        <v>-4.5999999999999996</v>
      </c>
      <c r="AJ880" s="41">
        <v>0</v>
      </c>
      <c r="AL880">
        <f t="shared" si="61"/>
        <v>275.85729598999023</v>
      </c>
      <c r="AM880">
        <f t="shared" si="62"/>
        <v>603.83270263671875</v>
      </c>
      <c r="AN880">
        <f t="shared" si="63"/>
        <v>396.8316650390625</v>
      </c>
    </row>
    <row r="881" spans="1:40" x14ac:dyDescent="0.2">
      <c r="A881">
        <v>117</v>
      </c>
      <c r="B881" t="s">
        <v>2139</v>
      </c>
      <c r="C881" s="2">
        <v>62.477367401123047</v>
      </c>
      <c r="D881">
        <v>94.952400207519531</v>
      </c>
      <c r="E881">
        <v>93.913162231445312</v>
      </c>
      <c r="G881" s="2" t="s">
        <v>1186</v>
      </c>
      <c r="H881" t="s">
        <v>1191</v>
      </c>
      <c r="I881" s="2">
        <v>12</v>
      </c>
      <c r="J881" s="2" t="s">
        <v>2238</v>
      </c>
      <c r="K881">
        <v>2020</v>
      </c>
      <c r="L881" s="2" t="s">
        <v>32</v>
      </c>
      <c r="M881" t="s">
        <v>46</v>
      </c>
      <c r="N881" s="31">
        <v>25</v>
      </c>
      <c r="O881">
        <f>13.5-12</f>
        <v>1.5</v>
      </c>
      <c r="P881" s="31" t="s">
        <v>1981</v>
      </c>
      <c r="Q881" s="31" t="s">
        <v>38</v>
      </c>
      <c r="R881" s="31" t="s">
        <v>39</v>
      </c>
      <c r="S881" s="29">
        <v>34.69332</v>
      </c>
      <c r="T881" s="29">
        <v>-120.03913</v>
      </c>
      <c r="U881" s="13">
        <v>1079</v>
      </c>
      <c r="V881" s="6">
        <f t="shared" si="64"/>
        <v>328.87920000000003</v>
      </c>
      <c r="W881" t="s">
        <v>2346</v>
      </c>
      <c r="X881" s="2" t="s">
        <v>2330</v>
      </c>
      <c r="Y881" s="1" t="s">
        <v>2428</v>
      </c>
      <c r="AA881" t="s">
        <v>2264</v>
      </c>
      <c r="AH881">
        <v>27.8</v>
      </c>
      <c r="AI881">
        <v>-4.5999999999999996</v>
      </c>
      <c r="AJ881" s="41">
        <v>0</v>
      </c>
      <c r="AL881">
        <f t="shared" si="61"/>
        <v>4998.1893920898438</v>
      </c>
      <c r="AM881">
        <f t="shared" si="62"/>
        <v>7596.1920166015625</v>
      </c>
      <c r="AN881">
        <f t="shared" si="63"/>
        <v>7513.052978515625</v>
      </c>
    </row>
    <row r="882" spans="1:40" x14ac:dyDescent="0.2">
      <c r="A882">
        <v>117</v>
      </c>
      <c r="B882" t="s">
        <v>2140</v>
      </c>
      <c r="C882" s="2">
        <v>7.8825793266296387</v>
      </c>
      <c r="D882">
        <v>13.776512145996094</v>
      </c>
      <c r="E882">
        <v>10.472250938415527</v>
      </c>
      <c r="G882" s="2" t="s">
        <v>1186</v>
      </c>
      <c r="H882" t="s">
        <v>1191</v>
      </c>
      <c r="I882" s="2">
        <v>12</v>
      </c>
      <c r="J882" s="2" t="s">
        <v>2238</v>
      </c>
      <c r="K882">
        <v>2020</v>
      </c>
      <c r="L882" s="2" t="s">
        <v>32</v>
      </c>
      <c r="M882" t="s">
        <v>46</v>
      </c>
      <c r="N882" s="31">
        <v>31</v>
      </c>
      <c r="O882">
        <f>14.5-11.5</f>
        <v>3</v>
      </c>
      <c r="P882" s="31" t="s">
        <v>1981</v>
      </c>
      <c r="Q882" s="31" t="s">
        <v>38</v>
      </c>
      <c r="R882" s="31" t="s">
        <v>39</v>
      </c>
      <c r="S882" s="29">
        <v>34.69332</v>
      </c>
      <c r="T882" s="29">
        <v>-120.03913</v>
      </c>
      <c r="U882" s="13">
        <v>1079</v>
      </c>
      <c r="V882" s="6">
        <f t="shared" si="64"/>
        <v>328.87920000000003</v>
      </c>
      <c r="W882" t="s">
        <v>2346</v>
      </c>
      <c r="X882" s="2" t="s">
        <v>2330</v>
      </c>
      <c r="Y882" s="1" t="s">
        <v>2429</v>
      </c>
      <c r="AA882" t="s">
        <v>2265</v>
      </c>
      <c r="AH882">
        <v>27.8</v>
      </c>
      <c r="AI882">
        <v>-4.5999999999999996</v>
      </c>
      <c r="AJ882" s="41">
        <v>0</v>
      </c>
      <c r="AL882">
        <f t="shared" si="61"/>
        <v>630.60634613037109</v>
      </c>
      <c r="AM882">
        <f t="shared" si="62"/>
        <v>1102.1209716796875</v>
      </c>
      <c r="AN882">
        <f t="shared" si="63"/>
        <v>837.78007507324219</v>
      </c>
    </row>
    <row r="883" spans="1:40" x14ac:dyDescent="0.2">
      <c r="A883">
        <v>117</v>
      </c>
      <c r="B883" t="s">
        <v>2141</v>
      </c>
      <c r="C883" s="2">
        <v>6.9527864456176758</v>
      </c>
      <c r="D883">
        <v>14.3603515625</v>
      </c>
      <c r="E883">
        <v>8.5808725357055664</v>
      </c>
      <c r="G883" s="2" t="s">
        <v>1186</v>
      </c>
      <c r="H883" t="s">
        <v>1191</v>
      </c>
      <c r="I883" s="2">
        <v>12</v>
      </c>
      <c r="J883" s="2" t="s">
        <v>2238</v>
      </c>
      <c r="K883">
        <v>2020</v>
      </c>
      <c r="L883" s="2" t="s">
        <v>32</v>
      </c>
      <c r="M883" t="s">
        <v>46</v>
      </c>
      <c r="N883" s="31">
        <v>32</v>
      </c>
      <c r="O883">
        <f>12-8.5</f>
        <v>3.5</v>
      </c>
      <c r="P883" s="31" t="s">
        <v>1981</v>
      </c>
      <c r="Q883" s="31" t="s">
        <v>38</v>
      </c>
      <c r="R883" s="31" t="s">
        <v>39</v>
      </c>
      <c r="S883" s="29">
        <v>34.69332</v>
      </c>
      <c r="T883" s="29">
        <v>-120.03913</v>
      </c>
      <c r="U883" s="13">
        <v>1079</v>
      </c>
      <c r="V883" s="6">
        <f t="shared" si="64"/>
        <v>328.87920000000003</v>
      </c>
      <c r="W883" t="s">
        <v>2346</v>
      </c>
      <c r="X883" s="2" t="s">
        <v>2330</v>
      </c>
      <c r="Y883" s="1" t="s">
        <v>2430</v>
      </c>
      <c r="AA883" t="s">
        <v>2266</v>
      </c>
      <c r="AH883">
        <v>27.8</v>
      </c>
      <c r="AI883">
        <v>-4.5999999999999996</v>
      </c>
      <c r="AJ883" s="41">
        <v>0</v>
      </c>
      <c r="AL883">
        <f t="shared" si="61"/>
        <v>556.22291564941406</v>
      </c>
      <c r="AM883">
        <f t="shared" si="62"/>
        <v>1148.828125</v>
      </c>
      <c r="AN883">
        <f t="shared" si="63"/>
        <v>686.46980285644531</v>
      </c>
    </row>
    <row r="884" spans="1:40" x14ac:dyDescent="0.2">
      <c r="A884">
        <v>117</v>
      </c>
      <c r="B884" t="s">
        <v>2142</v>
      </c>
      <c r="C884" s="2">
        <v>27.378412246704102</v>
      </c>
      <c r="D884">
        <v>45.155418395996094</v>
      </c>
      <c r="E884">
        <v>36.0565185546875</v>
      </c>
      <c r="G884" s="2" t="s">
        <v>1186</v>
      </c>
      <c r="H884" t="s">
        <v>1191</v>
      </c>
      <c r="I884" s="2">
        <v>12</v>
      </c>
      <c r="J884" s="2" t="s">
        <v>2238</v>
      </c>
      <c r="K884">
        <v>2020</v>
      </c>
      <c r="L884" s="2" t="s">
        <v>32</v>
      </c>
      <c r="M884" t="s">
        <v>46</v>
      </c>
      <c r="N884" s="31">
        <v>31</v>
      </c>
      <c r="O884">
        <f>12.5-9.5</f>
        <v>3</v>
      </c>
      <c r="P884" s="31" t="s">
        <v>1981</v>
      </c>
      <c r="Q884" s="31" t="s">
        <v>38</v>
      </c>
      <c r="R884" s="31" t="s">
        <v>39</v>
      </c>
      <c r="S884" s="29">
        <v>34.69332</v>
      </c>
      <c r="T884" s="29">
        <v>-120.03913</v>
      </c>
      <c r="U884" s="13">
        <v>1079</v>
      </c>
      <c r="V884" s="6">
        <f t="shared" si="64"/>
        <v>328.87920000000003</v>
      </c>
      <c r="W884" t="s">
        <v>2346</v>
      </c>
      <c r="X884" s="2" t="s">
        <v>2330</v>
      </c>
      <c r="Y884" s="1" t="s">
        <v>2431</v>
      </c>
      <c r="AA884" t="s">
        <v>2267</v>
      </c>
      <c r="AH884">
        <v>27.8</v>
      </c>
      <c r="AI884">
        <v>-4.5999999999999996</v>
      </c>
      <c r="AJ884" s="41">
        <v>0</v>
      </c>
      <c r="AL884">
        <f t="shared" si="61"/>
        <v>2190.2729797363281</v>
      </c>
      <c r="AM884">
        <f t="shared" si="62"/>
        <v>3612.4334716796875</v>
      </c>
      <c r="AN884">
        <f t="shared" si="63"/>
        <v>2884.521484375</v>
      </c>
    </row>
    <row r="885" spans="1:40" x14ac:dyDescent="0.2">
      <c r="A885">
        <v>117</v>
      </c>
      <c r="B885" t="s">
        <v>2143</v>
      </c>
      <c r="C885" s="2">
        <v>32.099170684814453</v>
      </c>
      <c r="D885">
        <v>42.009788513183594</v>
      </c>
      <c r="E885">
        <v>57.863548278808594</v>
      </c>
      <c r="G885" s="2" t="s">
        <v>1186</v>
      </c>
      <c r="H885" t="s">
        <v>1191</v>
      </c>
      <c r="I885" s="2">
        <v>12</v>
      </c>
      <c r="J885" s="2" t="s">
        <v>2238</v>
      </c>
      <c r="K885">
        <v>2020</v>
      </c>
      <c r="L885" s="2" t="s">
        <v>32</v>
      </c>
      <c r="M885" t="s">
        <v>46</v>
      </c>
      <c r="N885" s="31">
        <v>33</v>
      </c>
      <c r="O885">
        <f>15.5-11</f>
        <v>4.5</v>
      </c>
      <c r="P885" s="31" t="s">
        <v>1981</v>
      </c>
      <c r="Q885" s="31" t="s">
        <v>38</v>
      </c>
      <c r="R885" s="31" t="s">
        <v>39</v>
      </c>
      <c r="S885" s="29">
        <v>34.69332</v>
      </c>
      <c r="T885" s="29">
        <v>-120.03913</v>
      </c>
      <c r="U885" s="13">
        <v>1079</v>
      </c>
      <c r="V885" s="6">
        <f t="shared" si="64"/>
        <v>328.87920000000003</v>
      </c>
      <c r="W885" t="s">
        <v>2346</v>
      </c>
      <c r="X885" s="2" t="s">
        <v>2330</v>
      </c>
      <c r="Y885" s="1" t="s">
        <v>2432</v>
      </c>
      <c r="AA885" t="s">
        <v>499</v>
      </c>
      <c r="AH885">
        <v>27.8</v>
      </c>
      <c r="AI885">
        <v>-4.5999999999999996</v>
      </c>
      <c r="AJ885" s="41">
        <v>0</v>
      </c>
      <c r="AL885">
        <f t="shared" si="61"/>
        <v>2567.9336547851562</v>
      </c>
      <c r="AM885">
        <f t="shared" si="62"/>
        <v>3360.7830810546875</v>
      </c>
      <c r="AN885">
        <f t="shared" si="63"/>
        <v>4629.0838623046875</v>
      </c>
    </row>
    <row r="886" spans="1:40" x14ac:dyDescent="0.2">
      <c r="A886">
        <v>117</v>
      </c>
      <c r="B886" t="s">
        <v>2144</v>
      </c>
      <c r="C886" s="2">
        <v>0.97166973352432251</v>
      </c>
      <c r="D886">
        <v>2.2837438583374023</v>
      </c>
      <c r="E886">
        <v>0.97437727451324463</v>
      </c>
      <c r="G886" s="2" t="s">
        <v>1186</v>
      </c>
      <c r="H886" t="s">
        <v>1191</v>
      </c>
      <c r="I886" s="2">
        <v>12</v>
      </c>
      <c r="J886" s="2" t="s">
        <v>2238</v>
      </c>
      <c r="K886">
        <v>2020</v>
      </c>
      <c r="L886" s="2" t="s">
        <v>32</v>
      </c>
      <c r="M886" t="s">
        <v>46</v>
      </c>
      <c r="N886" s="31">
        <v>33</v>
      </c>
      <c r="O886">
        <f>25-23</f>
        <v>2</v>
      </c>
      <c r="P886" s="31" t="s">
        <v>2254</v>
      </c>
      <c r="Q886" s="31" t="s">
        <v>38</v>
      </c>
      <c r="R886" s="31" t="s">
        <v>39</v>
      </c>
      <c r="S886" s="29">
        <v>34.69332</v>
      </c>
      <c r="T886" s="29">
        <v>-120.03913</v>
      </c>
      <c r="U886" s="13">
        <v>1079</v>
      </c>
      <c r="V886" s="6">
        <f t="shared" si="64"/>
        <v>328.87920000000003</v>
      </c>
      <c r="W886" t="s">
        <v>2346</v>
      </c>
      <c r="X886" s="2" t="s">
        <v>2330</v>
      </c>
      <c r="Y886" s="1" t="s">
        <v>2433</v>
      </c>
      <c r="AA886" t="s">
        <v>487</v>
      </c>
      <c r="AH886">
        <v>27.8</v>
      </c>
      <c r="AI886">
        <v>-4.5999999999999996</v>
      </c>
      <c r="AJ886" s="41">
        <v>0</v>
      </c>
      <c r="AL886">
        <f t="shared" si="61"/>
        <v>77.733578681945801</v>
      </c>
      <c r="AM886">
        <f t="shared" si="62"/>
        <v>182.69950866699219</v>
      </c>
      <c r="AN886">
        <f t="shared" si="63"/>
        <v>77.95018196105957</v>
      </c>
    </row>
    <row r="887" spans="1:40" x14ac:dyDescent="0.2">
      <c r="A887">
        <v>117</v>
      </c>
      <c r="B887" t="s">
        <v>2145</v>
      </c>
      <c r="C887" s="2">
        <v>24.973640441894531</v>
      </c>
      <c r="D887">
        <v>105.14668273925781</v>
      </c>
      <c r="E887">
        <v>26.180221557617188</v>
      </c>
      <c r="G887" s="2" t="s">
        <v>1186</v>
      </c>
      <c r="H887" t="s">
        <v>1191</v>
      </c>
      <c r="I887" s="2">
        <v>12</v>
      </c>
      <c r="J887" s="2" t="s">
        <v>2238</v>
      </c>
      <c r="K887">
        <v>2020</v>
      </c>
      <c r="L887" s="2" t="s">
        <v>32</v>
      </c>
      <c r="M887" t="s">
        <v>46</v>
      </c>
      <c r="N887" s="31">
        <v>29</v>
      </c>
      <c r="O887">
        <f>45.5-42.5</f>
        <v>3</v>
      </c>
      <c r="P887" s="31" t="s">
        <v>2254</v>
      </c>
      <c r="Q887" s="31" t="s">
        <v>38</v>
      </c>
      <c r="R887" s="31" t="s">
        <v>39</v>
      </c>
      <c r="S887" s="29">
        <v>34.69332</v>
      </c>
      <c r="T887" s="29">
        <v>-120.03913</v>
      </c>
      <c r="U887" s="13">
        <v>1079</v>
      </c>
      <c r="V887" s="6">
        <f t="shared" si="64"/>
        <v>328.87920000000003</v>
      </c>
      <c r="W887" t="s">
        <v>2346</v>
      </c>
      <c r="X887" s="2" t="s">
        <v>2330</v>
      </c>
      <c r="Y887" s="1" t="s">
        <v>2434</v>
      </c>
      <c r="AA887" t="s">
        <v>2268</v>
      </c>
      <c r="AH887">
        <v>27.8</v>
      </c>
      <c r="AI887">
        <v>-4.5999999999999996</v>
      </c>
      <c r="AJ887" s="41">
        <v>0</v>
      </c>
      <c r="AL887">
        <f t="shared" si="61"/>
        <v>1997.8912353515625</v>
      </c>
      <c r="AM887">
        <f t="shared" si="62"/>
        <v>8411.734619140625</v>
      </c>
      <c r="AN887">
        <f t="shared" si="63"/>
        <v>2094.417724609375</v>
      </c>
    </row>
    <row r="888" spans="1:40" x14ac:dyDescent="0.2">
      <c r="A888">
        <v>117</v>
      </c>
      <c r="B888" t="s">
        <v>2146</v>
      </c>
      <c r="C888" s="2">
        <v>0.29835835099220276</v>
      </c>
      <c r="D888">
        <v>0.37472257018089294</v>
      </c>
      <c r="E888">
        <v>0.62828010320663452</v>
      </c>
      <c r="G888" s="2" t="s">
        <v>1186</v>
      </c>
      <c r="H888" t="s">
        <v>1191</v>
      </c>
      <c r="I888" s="2">
        <v>12</v>
      </c>
      <c r="J888" s="2" t="s">
        <v>2238</v>
      </c>
      <c r="K888">
        <v>2020</v>
      </c>
      <c r="L888" s="2" t="s">
        <v>32</v>
      </c>
      <c r="M888" t="s">
        <v>46</v>
      </c>
      <c r="N888" s="31">
        <v>32</v>
      </c>
      <c r="O888">
        <f>31-27</f>
        <v>4</v>
      </c>
      <c r="P888" s="31" t="s">
        <v>2254</v>
      </c>
      <c r="Q888" s="31" t="s">
        <v>38</v>
      </c>
      <c r="R888" s="31" t="s">
        <v>39</v>
      </c>
      <c r="S888" s="29">
        <v>34.69332</v>
      </c>
      <c r="T888" s="29">
        <v>-120.03913</v>
      </c>
      <c r="U888" s="13">
        <v>1079</v>
      </c>
      <c r="V888" s="6">
        <f t="shared" si="64"/>
        <v>328.87920000000003</v>
      </c>
      <c r="W888" t="s">
        <v>2346</v>
      </c>
      <c r="X888" s="2" t="s">
        <v>2330</v>
      </c>
      <c r="Y888" s="1" t="s">
        <v>2434</v>
      </c>
      <c r="AA888" t="s">
        <v>2269</v>
      </c>
      <c r="AH888">
        <v>27.8</v>
      </c>
      <c r="AI888">
        <v>-4.5999999999999996</v>
      </c>
      <c r="AJ888" s="41">
        <v>0</v>
      </c>
      <c r="AL888">
        <f t="shared" si="61"/>
        <v>23.868668079376221</v>
      </c>
      <c r="AM888">
        <f t="shared" si="62"/>
        <v>29.977805614471436</v>
      </c>
      <c r="AN888">
        <f t="shared" si="63"/>
        <v>50.262408256530762</v>
      </c>
    </row>
    <row r="889" spans="1:40" x14ac:dyDescent="0.2">
      <c r="A889">
        <v>117</v>
      </c>
      <c r="B889" t="s">
        <v>2147</v>
      </c>
      <c r="C889" s="2">
        <v>7.3276638984680176</v>
      </c>
      <c r="D889">
        <v>30.942586898803711</v>
      </c>
      <c r="E889">
        <v>10.002702713012695</v>
      </c>
      <c r="G889" s="2" t="s">
        <v>1186</v>
      </c>
      <c r="H889" t="s">
        <v>1191</v>
      </c>
      <c r="I889" s="2">
        <v>12</v>
      </c>
      <c r="J889" s="2" t="s">
        <v>2238</v>
      </c>
      <c r="K889">
        <v>2020</v>
      </c>
      <c r="L889" s="2" t="s">
        <v>32</v>
      </c>
      <c r="M889" t="s">
        <v>46</v>
      </c>
      <c r="N889" s="31">
        <v>27</v>
      </c>
      <c r="O889">
        <f>10-7.5</f>
        <v>2.5</v>
      </c>
      <c r="P889" s="31" t="s">
        <v>2254</v>
      </c>
      <c r="Q889" s="31" t="s">
        <v>38</v>
      </c>
      <c r="R889" s="31" t="s">
        <v>39</v>
      </c>
      <c r="S889" s="29">
        <v>34.69332</v>
      </c>
      <c r="T889" s="29">
        <v>-120.03913</v>
      </c>
      <c r="U889" s="13">
        <v>1079</v>
      </c>
      <c r="V889" s="6">
        <f t="shared" si="64"/>
        <v>328.87920000000003</v>
      </c>
      <c r="W889" t="s">
        <v>2346</v>
      </c>
      <c r="X889" s="2" t="s">
        <v>2330</v>
      </c>
      <c r="Y889" s="1" t="s">
        <v>2434</v>
      </c>
      <c r="Z889" t="s">
        <v>2253</v>
      </c>
      <c r="AH889">
        <v>27.8</v>
      </c>
      <c r="AI889">
        <v>-4.5999999999999996</v>
      </c>
      <c r="AJ889" s="41">
        <v>0</v>
      </c>
      <c r="AL889">
        <f t="shared" si="61"/>
        <v>586.21311187744141</v>
      </c>
      <c r="AM889">
        <f t="shared" si="62"/>
        <v>2475.4069519042969</v>
      </c>
      <c r="AN889">
        <f t="shared" si="63"/>
        <v>800.21621704101562</v>
      </c>
    </row>
    <row r="890" spans="1:40" s="11" customFormat="1" x14ac:dyDescent="0.2">
      <c r="A890" s="11">
        <v>118</v>
      </c>
      <c r="B890" s="11" t="s">
        <v>2148</v>
      </c>
      <c r="C890" s="11">
        <v>0</v>
      </c>
      <c r="D890" s="11">
        <v>0</v>
      </c>
      <c r="E890" s="11">
        <v>7.9409047961235046E-2</v>
      </c>
      <c r="G890" s="11" t="s">
        <v>1186</v>
      </c>
      <c r="H890" s="11" t="s">
        <v>1191</v>
      </c>
      <c r="I890" s="11">
        <v>12</v>
      </c>
      <c r="J890" s="11" t="s">
        <v>2238</v>
      </c>
      <c r="K890" s="11">
        <v>2020</v>
      </c>
      <c r="L890" s="11" t="s">
        <v>32</v>
      </c>
      <c r="M890" s="11" t="s">
        <v>46</v>
      </c>
      <c r="N890" s="32">
        <v>37</v>
      </c>
      <c r="O890" s="11">
        <v>3</v>
      </c>
      <c r="P890" s="32" t="s">
        <v>2155</v>
      </c>
      <c r="Q890" s="32" t="s">
        <v>38</v>
      </c>
      <c r="R890" s="32" t="s">
        <v>39</v>
      </c>
      <c r="S890" s="23">
        <v>34.695439999999998</v>
      </c>
      <c r="T890" s="23">
        <v>-120.04173</v>
      </c>
      <c r="U890" s="11">
        <v>1107</v>
      </c>
      <c r="V890" s="24">
        <f t="shared" si="64"/>
        <v>337.41360000000003</v>
      </c>
      <c r="W890" s="11" t="s">
        <v>898</v>
      </c>
      <c r="X890" s="11" t="s">
        <v>2256</v>
      </c>
      <c r="Y890" s="35" t="s">
        <v>174</v>
      </c>
      <c r="AA890" s="11" t="s">
        <v>2270</v>
      </c>
      <c r="AH890" s="11">
        <v>27.8</v>
      </c>
      <c r="AI890" s="11">
        <v>-4.5999999999999996</v>
      </c>
      <c r="AJ890" s="41">
        <v>0</v>
      </c>
      <c r="AL890">
        <f t="shared" si="61"/>
        <v>0</v>
      </c>
      <c r="AM890">
        <f t="shared" si="62"/>
        <v>0</v>
      </c>
      <c r="AN890">
        <f t="shared" si="63"/>
        <v>6.3527238368988037</v>
      </c>
    </row>
    <row r="891" spans="1:40" x14ac:dyDescent="0.2">
      <c r="A891" s="2">
        <v>118</v>
      </c>
      <c r="B891" t="s">
        <v>2149</v>
      </c>
      <c r="C891" s="2">
        <v>3.9653286337852478E-2</v>
      </c>
      <c r="D891">
        <v>2.7386358007788658E-2</v>
      </c>
      <c r="E891">
        <v>4.6292021870613098E-2</v>
      </c>
      <c r="G891" s="2" t="s">
        <v>1186</v>
      </c>
      <c r="H891" t="s">
        <v>1191</v>
      </c>
      <c r="I891" s="2">
        <v>12</v>
      </c>
      <c r="J891" s="2" t="s">
        <v>2238</v>
      </c>
      <c r="K891">
        <v>2020</v>
      </c>
      <c r="L891" s="2" t="s">
        <v>32</v>
      </c>
      <c r="M891" t="s">
        <v>46</v>
      </c>
      <c r="N891" s="31">
        <v>34</v>
      </c>
      <c r="O891">
        <f>17-13.5</f>
        <v>3.5</v>
      </c>
      <c r="P891" s="31" t="s">
        <v>2254</v>
      </c>
      <c r="Q891" s="31" t="s">
        <v>38</v>
      </c>
      <c r="R891" s="31" t="s">
        <v>39</v>
      </c>
      <c r="S891" s="4">
        <v>34.695450000000001</v>
      </c>
      <c r="T891" s="4">
        <v>-120.0416</v>
      </c>
      <c r="U891">
        <v>1107</v>
      </c>
      <c r="V891" s="6">
        <f t="shared" si="64"/>
        <v>337.41360000000003</v>
      </c>
      <c r="W891" t="s">
        <v>898</v>
      </c>
      <c r="X891" t="s">
        <v>2256</v>
      </c>
      <c r="Y891" s="30" t="s">
        <v>226</v>
      </c>
      <c r="AA891" t="s">
        <v>1692</v>
      </c>
      <c r="AH891">
        <v>27.8</v>
      </c>
      <c r="AI891">
        <v>-4.5999999999999996</v>
      </c>
      <c r="AJ891" s="41">
        <v>0</v>
      </c>
      <c r="AL891">
        <f t="shared" si="61"/>
        <v>3.1722629070281982</v>
      </c>
      <c r="AM891">
        <f t="shared" si="62"/>
        <v>2.1909086406230927</v>
      </c>
      <c r="AN891">
        <f t="shared" si="63"/>
        <v>3.7033617496490479</v>
      </c>
    </row>
    <row r="892" spans="1:40" x14ac:dyDescent="0.2">
      <c r="A892" s="2">
        <v>118</v>
      </c>
      <c r="B892" t="s">
        <v>2150</v>
      </c>
      <c r="C892" s="2">
        <v>0</v>
      </c>
      <c r="D892">
        <v>0</v>
      </c>
      <c r="E892">
        <v>0</v>
      </c>
      <c r="G892" s="2" t="s">
        <v>1186</v>
      </c>
      <c r="H892" t="s">
        <v>1191</v>
      </c>
      <c r="I892" s="2">
        <v>12</v>
      </c>
      <c r="J892" s="2" t="s">
        <v>2238</v>
      </c>
      <c r="K892">
        <v>2020</v>
      </c>
      <c r="L892" s="2" t="s">
        <v>32</v>
      </c>
      <c r="M892" t="s">
        <v>46</v>
      </c>
      <c r="N892" s="31">
        <v>31</v>
      </c>
      <c r="O892">
        <f>10-6.5</f>
        <v>3.5</v>
      </c>
      <c r="P892" s="31" t="s">
        <v>2254</v>
      </c>
      <c r="Q892" s="31" t="s">
        <v>38</v>
      </c>
      <c r="R892" s="31" t="s">
        <v>39</v>
      </c>
      <c r="S892" s="4">
        <v>34.695450000000001</v>
      </c>
      <c r="T892" s="4">
        <v>-120.0416</v>
      </c>
      <c r="U892">
        <v>1106</v>
      </c>
      <c r="V892" s="6">
        <f t="shared" si="64"/>
        <v>337.10880000000003</v>
      </c>
      <c r="W892" t="s">
        <v>898</v>
      </c>
      <c r="X892" t="s">
        <v>2256</v>
      </c>
      <c r="Y892" s="1" t="s">
        <v>90</v>
      </c>
      <c r="AA892" t="s">
        <v>2271</v>
      </c>
      <c r="AH892">
        <v>27.8</v>
      </c>
      <c r="AI892">
        <v>-4.5999999999999996</v>
      </c>
      <c r="AJ892" s="41">
        <v>0</v>
      </c>
      <c r="AL892">
        <f t="shared" si="61"/>
        <v>0</v>
      </c>
      <c r="AM892">
        <f t="shared" si="62"/>
        <v>0</v>
      </c>
      <c r="AN892">
        <f t="shared" si="63"/>
        <v>0</v>
      </c>
    </row>
    <row r="893" spans="1:40" s="11" customFormat="1" x14ac:dyDescent="0.2">
      <c r="A893" s="11">
        <v>118</v>
      </c>
      <c r="B893" s="11" t="s">
        <v>2151</v>
      </c>
      <c r="D893" s="11">
        <v>4.255661042407155E-4</v>
      </c>
      <c r="E893" s="11">
        <v>3.5939272493124008E-2</v>
      </c>
      <c r="G893" s="11" t="s">
        <v>1186</v>
      </c>
      <c r="H893" s="11" t="s">
        <v>1191</v>
      </c>
      <c r="I893" s="11">
        <v>12</v>
      </c>
      <c r="J893" s="11" t="s">
        <v>2238</v>
      </c>
      <c r="K893" s="11">
        <v>2020</v>
      </c>
      <c r="L893" s="11" t="s">
        <v>32</v>
      </c>
      <c r="M893" s="11" t="s">
        <v>46</v>
      </c>
      <c r="N893" s="32">
        <v>33.5</v>
      </c>
      <c r="O893" s="11">
        <f>22-18</f>
        <v>4</v>
      </c>
      <c r="P893" s="32" t="s">
        <v>2155</v>
      </c>
      <c r="R893" s="45" t="s">
        <v>39</v>
      </c>
      <c r="S893" s="23"/>
      <c r="T893" s="23"/>
      <c r="V893" s="24">
        <f t="shared" si="64"/>
        <v>0</v>
      </c>
      <c r="W893" s="11" t="s">
        <v>898</v>
      </c>
      <c r="X893" s="11" t="s">
        <v>2256</v>
      </c>
      <c r="Y893" s="35" t="s">
        <v>447</v>
      </c>
      <c r="AA893" s="11" t="s">
        <v>2272</v>
      </c>
      <c r="AH893" s="11">
        <v>27.8</v>
      </c>
      <c r="AI893" s="11">
        <v>-4.5999999999999996</v>
      </c>
      <c r="AJ893" s="41">
        <v>0</v>
      </c>
      <c r="AL893">
        <f t="shared" si="61"/>
        <v>0</v>
      </c>
      <c r="AM893">
        <f t="shared" si="62"/>
        <v>3.404528833925724E-2</v>
      </c>
      <c r="AN893">
        <f t="shared" si="63"/>
        <v>2.8751417994499207</v>
      </c>
    </row>
    <row r="894" spans="1:40" x14ac:dyDescent="0.2">
      <c r="A894" s="2">
        <v>119</v>
      </c>
      <c r="B894" t="s">
        <v>2152</v>
      </c>
      <c r="C894" s="2">
        <v>33.964370727539062</v>
      </c>
      <c r="D894">
        <v>95.098587036132812</v>
      </c>
      <c r="E894">
        <v>42.495555877685547</v>
      </c>
      <c r="G894" s="2" t="s">
        <v>1186</v>
      </c>
      <c r="H894" t="s">
        <v>1191</v>
      </c>
      <c r="I894" s="2">
        <v>13</v>
      </c>
      <c r="J894" s="2" t="s">
        <v>2238</v>
      </c>
      <c r="K894">
        <v>2020</v>
      </c>
      <c r="L894" s="2" t="s">
        <v>32</v>
      </c>
      <c r="M894" t="s">
        <v>46</v>
      </c>
      <c r="N894" s="31">
        <v>28.5</v>
      </c>
      <c r="O894">
        <f>5</f>
        <v>5</v>
      </c>
      <c r="P894" s="31" t="s">
        <v>30</v>
      </c>
      <c r="Q894" s="31" t="s">
        <v>38</v>
      </c>
      <c r="R894" s="31" t="s">
        <v>39</v>
      </c>
      <c r="S894" s="4">
        <v>34.694850000000002</v>
      </c>
      <c r="T894" s="4">
        <v>-120.04154</v>
      </c>
      <c r="U894">
        <v>1114</v>
      </c>
      <c r="V894" s="6">
        <f t="shared" si="64"/>
        <v>339.54720000000003</v>
      </c>
      <c r="W894" t="s">
        <v>898</v>
      </c>
      <c r="X894" t="s">
        <v>2256</v>
      </c>
      <c r="Y894" s="1" t="s">
        <v>2423</v>
      </c>
      <c r="Z894" t="s">
        <v>2300</v>
      </c>
      <c r="AA894" t="s">
        <v>2301</v>
      </c>
      <c r="AH894">
        <v>27.8</v>
      </c>
      <c r="AI894">
        <v>-4.5999999999999996</v>
      </c>
      <c r="AJ894" s="41">
        <v>0</v>
      </c>
      <c r="AL894">
        <f t="shared" si="61"/>
        <v>2717.149658203125</v>
      </c>
      <c r="AM894">
        <f t="shared" si="62"/>
        <v>7607.886962890625</v>
      </c>
      <c r="AN894">
        <f t="shared" si="63"/>
        <v>3399.6444702148438</v>
      </c>
    </row>
    <row r="895" spans="1:40" x14ac:dyDescent="0.2">
      <c r="A895" s="2">
        <v>119</v>
      </c>
      <c r="B895" t="s">
        <v>2273</v>
      </c>
      <c r="C895" s="2">
        <v>5.3213410377502441</v>
      </c>
      <c r="D895">
        <v>16.519922256469727</v>
      </c>
      <c r="E895">
        <v>6.1314182281494141</v>
      </c>
      <c r="G895" s="2" t="s">
        <v>1186</v>
      </c>
      <c r="H895" t="s">
        <v>1186</v>
      </c>
      <c r="I895" s="2">
        <v>13</v>
      </c>
      <c r="J895" s="2" t="s">
        <v>2238</v>
      </c>
      <c r="K895">
        <v>2020</v>
      </c>
      <c r="L895" s="2" t="s">
        <v>32</v>
      </c>
      <c r="M895" t="s">
        <v>46</v>
      </c>
      <c r="N895" s="31">
        <v>27</v>
      </c>
      <c r="O895">
        <v>0.5</v>
      </c>
      <c r="P895" s="31" t="s">
        <v>30</v>
      </c>
      <c r="Q895" s="31" t="s">
        <v>38</v>
      </c>
      <c r="R895" s="31" t="s">
        <v>39</v>
      </c>
      <c r="S895" s="4">
        <v>34.695250000000001</v>
      </c>
      <c r="T895" s="4">
        <v>-120.04147</v>
      </c>
      <c r="U895">
        <v>1097</v>
      </c>
      <c r="V895" s="6">
        <f t="shared" si="64"/>
        <v>334.36560000000003</v>
      </c>
      <c r="W895" t="s">
        <v>898</v>
      </c>
      <c r="X895" t="s">
        <v>2256</v>
      </c>
      <c r="Y895" s="1" t="s">
        <v>2435</v>
      </c>
      <c r="AH895">
        <v>27.8</v>
      </c>
      <c r="AI895">
        <v>-4.5999999999999996</v>
      </c>
      <c r="AJ895" s="41">
        <v>0</v>
      </c>
      <c r="AL895">
        <f t="shared" si="61"/>
        <v>425.70728302001953</v>
      </c>
      <c r="AM895">
        <f t="shared" si="62"/>
        <v>1321.5937805175781</v>
      </c>
      <c r="AN895">
        <f t="shared" si="63"/>
        <v>490.51345825195312</v>
      </c>
    </row>
    <row r="896" spans="1:40" x14ac:dyDescent="0.2">
      <c r="A896" s="2">
        <v>119</v>
      </c>
      <c r="B896" t="s">
        <v>2274</v>
      </c>
      <c r="C896" s="2">
        <v>0</v>
      </c>
      <c r="D896" s="2">
        <v>0</v>
      </c>
      <c r="E896" s="2">
        <v>0</v>
      </c>
      <c r="G896" s="2" t="s">
        <v>1186</v>
      </c>
      <c r="H896" t="s">
        <v>1191</v>
      </c>
      <c r="I896" s="2">
        <v>13</v>
      </c>
      <c r="J896" s="2" t="s">
        <v>2238</v>
      </c>
      <c r="K896">
        <v>2020</v>
      </c>
      <c r="L896" s="2" t="s">
        <v>32</v>
      </c>
      <c r="M896" t="s">
        <v>46</v>
      </c>
      <c r="N896" s="31">
        <v>32</v>
      </c>
      <c r="O896">
        <f>7.5-4</f>
        <v>3.5</v>
      </c>
      <c r="P896" s="31" t="s">
        <v>30</v>
      </c>
      <c r="Q896" s="31" t="s">
        <v>38</v>
      </c>
      <c r="R896" s="31" t="s">
        <v>39</v>
      </c>
      <c r="S896" s="4">
        <v>34.695250000000001</v>
      </c>
      <c r="T896" s="4">
        <v>-120.04147</v>
      </c>
      <c r="U896">
        <v>1097</v>
      </c>
      <c r="V896" s="6">
        <f t="shared" si="64"/>
        <v>334.36560000000003</v>
      </c>
      <c r="W896" t="s">
        <v>898</v>
      </c>
      <c r="X896" t="s">
        <v>2256</v>
      </c>
      <c r="Y896" s="1" t="s">
        <v>2436</v>
      </c>
      <c r="AA896" t="s">
        <v>2302</v>
      </c>
      <c r="AH896">
        <v>27.8</v>
      </c>
      <c r="AI896">
        <v>-4.5999999999999996</v>
      </c>
      <c r="AJ896" s="41">
        <v>0</v>
      </c>
      <c r="AL896">
        <f t="shared" si="61"/>
        <v>0</v>
      </c>
      <c r="AM896">
        <f t="shared" si="62"/>
        <v>0</v>
      </c>
      <c r="AN896">
        <f t="shared" si="63"/>
        <v>0</v>
      </c>
    </row>
    <row r="897" spans="1:40" x14ac:dyDescent="0.2">
      <c r="A897" s="2">
        <v>119</v>
      </c>
      <c r="B897" t="s">
        <v>2275</v>
      </c>
      <c r="C897" s="2">
        <v>0</v>
      </c>
      <c r="D897" s="2">
        <v>0</v>
      </c>
      <c r="E897" s="2">
        <v>0</v>
      </c>
      <c r="G897" s="2" t="s">
        <v>1186</v>
      </c>
      <c r="H897" t="s">
        <v>1191</v>
      </c>
      <c r="I897" s="2">
        <v>13</v>
      </c>
      <c r="J897" s="2" t="s">
        <v>2238</v>
      </c>
      <c r="K897">
        <v>2020</v>
      </c>
      <c r="L897" s="2" t="s">
        <v>32</v>
      </c>
      <c r="M897" t="s">
        <v>46</v>
      </c>
      <c r="N897" s="31">
        <v>31</v>
      </c>
      <c r="O897">
        <v>3</v>
      </c>
      <c r="P897" s="31" t="s">
        <v>30</v>
      </c>
      <c r="Q897" s="31" t="s">
        <v>38</v>
      </c>
      <c r="R897" s="31" t="s">
        <v>39</v>
      </c>
      <c r="S897" s="4">
        <v>34.695250000000001</v>
      </c>
      <c r="T897" s="4">
        <v>-120.04147</v>
      </c>
      <c r="U897">
        <v>1097</v>
      </c>
      <c r="V897" s="6">
        <f t="shared" si="64"/>
        <v>334.36560000000003</v>
      </c>
      <c r="W897" t="s">
        <v>898</v>
      </c>
      <c r="X897" t="s">
        <v>2256</v>
      </c>
      <c r="Y897" s="1" t="s">
        <v>2430</v>
      </c>
      <c r="AA897" t="s">
        <v>2303</v>
      </c>
      <c r="AH897">
        <v>27.8</v>
      </c>
      <c r="AI897">
        <v>-4.5999999999999996</v>
      </c>
      <c r="AJ897" s="41">
        <v>0</v>
      </c>
      <c r="AL897">
        <f t="shared" si="61"/>
        <v>0</v>
      </c>
      <c r="AM897">
        <f t="shared" si="62"/>
        <v>0</v>
      </c>
      <c r="AN897">
        <f t="shared" si="63"/>
        <v>0</v>
      </c>
    </row>
    <row r="898" spans="1:40" x14ac:dyDescent="0.2">
      <c r="A898" s="2">
        <v>119</v>
      </c>
      <c r="B898" t="s">
        <v>2276</v>
      </c>
      <c r="C898" s="2">
        <v>4.2024590075016022E-2</v>
      </c>
      <c r="D898" s="2">
        <v>0</v>
      </c>
      <c r="E898" s="2">
        <v>0</v>
      </c>
      <c r="G898" s="2" t="s">
        <v>1186</v>
      </c>
      <c r="H898" t="s">
        <v>1191</v>
      </c>
      <c r="I898" s="2">
        <v>13</v>
      </c>
      <c r="J898" s="2" t="s">
        <v>2238</v>
      </c>
      <c r="K898">
        <v>2020</v>
      </c>
      <c r="L898" s="2" t="s">
        <v>32</v>
      </c>
      <c r="M898" t="s">
        <v>46</v>
      </c>
      <c r="N898" s="31">
        <v>29</v>
      </c>
      <c r="O898">
        <f>16-13.5</f>
        <v>2.5</v>
      </c>
      <c r="P898" s="31" t="s">
        <v>30</v>
      </c>
      <c r="Q898" s="31" t="s">
        <v>38</v>
      </c>
      <c r="R898" s="31" t="s">
        <v>39</v>
      </c>
      <c r="S898" s="4">
        <v>34.6952</v>
      </c>
      <c r="T898" s="4">
        <v>-120.04147</v>
      </c>
      <c r="U898">
        <v>1098</v>
      </c>
      <c r="V898" s="6">
        <f t="shared" si="64"/>
        <v>334.67040000000003</v>
      </c>
      <c r="W898" t="s">
        <v>898</v>
      </c>
      <c r="X898" t="s">
        <v>2256</v>
      </c>
      <c r="Y898" s="1" t="s">
        <v>2437</v>
      </c>
      <c r="AA898" t="s">
        <v>2304</v>
      </c>
      <c r="AH898">
        <v>27.8</v>
      </c>
      <c r="AI898">
        <v>-4.5999999999999996</v>
      </c>
      <c r="AJ898" s="41">
        <v>0</v>
      </c>
      <c r="AL898">
        <f t="shared" si="61"/>
        <v>3.3619672060012817</v>
      </c>
      <c r="AM898">
        <f t="shared" si="62"/>
        <v>0</v>
      </c>
      <c r="AN898">
        <f t="shared" si="63"/>
        <v>0</v>
      </c>
    </row>
    <row r="899" spans="1:40" x14ac:dyDescent="0.2">
      <c r="A899" s="2">
        <v>119</v>
      </c>
      <c r="B899" t="s">
        <v>2277</v>
      </c>
      <c r="C899" s="2">
        <v>0.91090124845504761</v>
      </c>
      <c r="D899">
        <v>1.9512447118759155</v>
      </c>
      <c r="E899">
        <v>1.0525082349777222</v>
      </c>
      <c r="G899" s="2" t="s">
        <v>1186</v>
      </c>
      <c r="H899" t="s">
        <v>1191</v>
      </c>
      <c r="I899" s="2">
        <v>13</v>
      </c>
      <c r="J899" s="2" t="s">
        <v>2238</v>
      </c>
      <c r="K899">
        <v>2020</v>
      </c>
      <c r="L899" s="2" t="s">
        <v>32</v>
      </c>
      <c r="M899" t="s">
        <v>46</v>
      </c>
      <c r="N899" s="31">
        <v>33.5</v>
      </c>
      <c r="O899">
        <f>20.5-17</f>
        <v>3.5</v>
      </c>
      <c r="P899" s="31" t="s">
        <v>30</v>
      </c>
      <c r="Q899" s="31" t="s">
        <v>38</v>
      </c>
      <c r="R899" s="31" t="s">
        <v>39</v>
      </c>
      <c r="S899" s="4">
        <v>34.6952</v>
      </c>
      <c r="T899" s="4">
        <v>-120.04147</v>
      </c>
      <c r="U899">
        <v>1098</v>
      </c>
      <c r="V899" s="6">
        <f t="shared" si="64"/>
        <v>334.67040000000003</v>
      </c>
      <c r="W899" t="s">
        <v>898</v>
      </c>
      <c r="X899" t="s">
        <v>2256</v>
      </c>
      <c r="Y899" s="1" t="s">
        <v>2437</v>
      </c>
      <c r="AA899" t="s">
        <v>2305</v>
      </c>
      <c r="AH899">
        <v>27.8</v>
      </c>
      <c r="AI899">
        <v>-4.5999999999999996</v>
      </c>
      <c r="AJ899" s="41">
        <v>0</v>
      </c>
      <c r="AL899">
        <f t="shared" si="61"/>
        <v>72.872099876403809</v>
      </c>
      <c r="AM899">
        <f t="shared" si="62"/>
        <v>156.09957695007324</v>
      </c>
      <c r="AN899">
        <f t="shared" si="63"/>
        <v>84.200658798217773</v>
      </c>
    </row>
    <row r="900" spans="1:40" x14ac:dyDescent="0.2">
      <c r="A900" s="2">
        <v>119</v>
      </c>
      <c r="B900" t="s">
        <v>2278</v>
      </c>
      <c r="C900" s="2">
        <v>0</v>
      </c>
      <c r="D900">
        <v>0</v>
      </c>
      <c r="E900">
        <v>0</v>
      </c>
      <c r="G900" s="2" t="s">
        <v>1186</v>
      </c>
      <c r="H900" t="s">
        <v>1191</v>
      </c>
      <c r="I900" s="2">
        <v>13</v>
      </c>
      <c r="J900" s="2" t="s">
        <v>2238</v>
      </c>
      <c r="K900">
        <v>2020</v>
      </c>
      <c r="L900" s="2" t="s">
        <v>32</v>
      </c>
      <c r="M900" t="s">
        <v>46</v>
      </c>
      <c r="N900" s="31">
        <v>31.5</v>
      </c>
      <c r="O900">
        <f>7.5-4</f>
        <v>3.5</v>
      </c>
      <c r="P900" s="31" t="s">
        <v>30</v>
      </c>
      <c r="Q900" s="31" t="s">
        <v>38</v>
      </c>
      <c r="R900" s="31" t="s">
        <v>39</v>
      </c>
      <c r="S900" s="4">
        <v>34.695320000000002</v>
      </c>
      <c r="T900" s="4">
        <v>-120.0415</v>
      </c>
      <c r="U900">
        <v>1096</v>
      </c>
      <c r="V900" s="6">
        <f t="shared" si="64"/>
        <v>334.06080000000003</v>
      </c>
      <c r="W900" t="s">
        <v>898</v>
      </c>
      <c r="X900" t="s">
        <v>2256</v>
      </c>
      <c r="Y900" s="1" t="s">
        <v>2433</v>
      </c>
      <c r="AA900" t="s">
        <v>2306</v>
      </c>
      <c r="AH900">
        <v>27.8</v>
      </c>
      <c r="AI900">
        <v>-4.5999999999999996</v>
      </c>
      <c r="AJ900" s="41">
        <v>0</v>
      </c>
      <c r="AL900">
        <f t="shared" si="61"/>
        <v>0</v>
      </c>
      <c r="AM900">
        <f t="shared" si="62"/>
        <v>0</v>
      </c>
      <c r="AN900">
        <f t="shared" si="63"/>
        <v>0</v>
      </c>
    </row>
    <row r="901" spans="1:40" x14ac:dyDescent="0.2">
      <c r="A901" s="2">
        <v>119</v>
      </c>
      <c r="B901" t="s">
        <v>2279</v>
      </c>
      <c r="C901" s="2">
        <v>3.255706787109375</v>
      </c>
      <c r="D901">
        <v>0.35590752959251404</v>
      </c>
      <c r="E901">
        <v>5.035609245300293</v>
      </c>
      <c r="G901" s="2" t="s">
        <v>1186</v>
      </c>
      <c r="H901" t="s">
        <v>1191</v>
      </c>
      <c r="I901" s="2">
        <v>13</v>
      </c>
      <c r="J901" s="2" t="s">
        <v>2238</v>
      </c>
      <c r="K901">
        <v>2020</v>
      </c>
      <c r="L901" s="2" t="s">
        <v>32</v>
      </c>
      <c r="M901" t="s">
        <v>46</v>
      </c>
      <c r="N901" s="31">
        <v>21</v>
      </c>
      <c r="O901">
        <f>5.5-4</f>
        <v>1.5</v>
      </c>
      <c r="P901" s="31" t="s">
        <v>30</v>
      </c>
      <c r="R901" s="45" t="s">
        <v>39</v>
      </c>
      <c r="S901" s="4">
        <v>34.695300000000003</v>
      </c>
      <c r="T901" s="4">
        <v>-120.04148000000001</v>
      </c>
      <c r="U901">
        <v>1093</v>
      </c>
      <c r="V901" s="6">
        <f t="shared" si="64"/>
        <v>333.14640000000003</v>
      </c>
      <c r="W901" t="s">
        <v>898</v>
      </c>
      <c r="X901" t="s">
        <v>2256</v>
      </c>
      <c r="Y901" s="1" t="s">
        <v>2438</v>
      </c>
      <c r="Z901" t="s">
        <v>2308</v>
      </c>
      <c r="AA901" t="s">
        <v>2307</v>
      </c>
      <c r="AH901">
        <v>27.8</v>
      </c>
      <c r="AI901">
        <v>-4.5999999999999996</v>
      </c>
      <c r="AJ901" s="41">
        <v>0</v>
      </c>
      <c r="AL901">
        <f t="shared" si="61"/>
        <v>260.45654296875</v>
      </c>
      <c r="AM901">
        <f t="shared" si="62"/>
        <v>28.472602367401123</v>
      </c>
      <c r="AN901">
        <f t="shared" si="63"/>
        <v>402.84873962402344</v>
      </c>
    </row>
    <row r="902" spans="1:40" x14ac:dyDescent="0.2">
      <c r="A902" s="2">
        <v>119</v>
      </c>
      <c r="B902" t="s">
        <v>2280</v>
      </c>
      <c r="C902" s="2">
        <v>0</v>
      </c>
      <c r="D902">
        <v>0</v>
      </c>
      <c r="E902">
        <v>0</v>
      </c>
      <c r="G902" s="2" t="s">
        <v>1186</v>
      </c>
      <c r="H902" t="s">
        <v>1191</v>
      </c>
      <c r="I902" s="2">
        <v>13</v>
      </c>
      <c r="J902" s="2" t="s">
        <v>2238</v>
      </c>
      <c r="K902">
        <v>2020</v>
      </c>
      <c r="L902" s="2" t="s">
        <v>32</v>
      </c>
      <c r="M902" t="s">
        <v>46</v>
      </c>
      <c r="N902" s="31">
        <v>33.5</v>
      </c>
      <c r="O902">
        <f>12-8.5</f>
        <v>3.5</v>
      </c>
      <c r="P902" s="31" t="s">
        <v>37</v>
      </c>
      <c r="Q902" s="31" t="s">
        <v>38</v>
      </c>
      <c r="R902" s="31" t="s">
        <v>39</v>
      </c>
      <c r="S902" s="4">
        <v>34.695349999999998</v>
      </c>
      <c r="T902" s="4">
        <v>-120.04151</v>
      </c>
      <c r="U902">
        <v>1090</v>
      </c>
      <c r="V902" s="6">
        <f t="shared" si="64"/>
        <v>332.23200000000003</v>
      </c>
      <c r="W902" t="s">
        <v>898</v>
      </c>
      <c r="X902" t="s">
        <v>2256</v>
      </c>
      <c r="Y902" s="1" t="s">
        <v>2439</v>
      </c>
      <c r="AA902" t="s">
        <v>2309</v>
      </c>
      <c r="AH902">
        <v>27.8</v>
      </c>
      <c r="AI902">
        <v>-4.5999999999999996</v>
      </c>
      <c r="AJ902" s="41">
        <v>0</v>
      </c>
      <c r="AL902">
        <f t="shared" si="61"/>
        <v>0</v>
      </c>
      <c r="AM902">
        <f t="shared" si="62"/>
        <v>0</v>
      </c>
      <c r="AN902">
        <f t="shared" si="63"/>
        <v>0</v>
      </c>
    </row>
    <row r="903" spans="1:40" x14ac:dyDescent="0.2">
      <c r="A903" s="2">
        <v>119</v>
      </c>
      <c r="B903" t="s">
        <v>2281</v>
      </c>
      <c r="C903" s="2">
        <v>0.41806355118751526</v>
      </c>
      <c r="D903">
        <v>0.52167081832885742</v>
      </c>
      <c r="E903">
        <v>0.55746543407440186</v>
      </c>
      <c r="G903" s="2" t="s">
        <v>1186</v>
      </c>
      <c r="H903" t="s">
        <v>1191</v>
      </c>
      <c r="I903" s="2">
        <v>13</v>
      </c>
      <c r="J903" s="2" t="s">
        <v>2238</v>
      </c>
      <c r="K903">
        <v>2020</v>
      </c>
      <c r="L903" s="2" t="s">
        <v>32</v>
      </c>
      <c r="M903" t="s">
        <v>46</v>
      </c>
      <c r="N903" s="31">
        <v>34</v>
      </c>
      <c r="O903">
        <v>4</v>
      </c>
      <c r="P903" s="31" t="s">
        <v>37</v>
      </c>
      <c r="Q903" s="31" t="s">
        <v>38</v>
      </c>
      <c r="R903" s="31" t="s">
        <v>39</v>
      </c>
      <c r="S903" s="4">
        <v>34.695349999999998</v>
      </c>
      <c r="T903" s="4">
        <v>-120.04151</v>
      </c>
      <c r="U903">
        <v>1090</v>
      </c>
      <c r="V903" s="6">
        <f t="shared" si="64"/>
        <v>332.23200000000003</v>
      </c>
      <c r="W903" t="s">
        <v>898</v>
      </c>
      <c r="X903" t="s">
        <v>2256</v>
      </c>
      <c r="Y903" s="1" t="s">
        <v>2439</v>
      </c>
      <c r="AA903" t="s">
        <v>2310</v>
      </c>
      <c r="AH903">
        <v>27.8</v>
      </c>
      <c r="AI903">
        <v>-4.5999999999999996</v>
      </c>
      <c r="AJ903" s="41">
        <v>0</v>
      </c>
      <c r="AL903">
        <f t="shared" si="61"/>
        <v>33.445084095001221</v>
      </c>
      <c r="AM903">
        <f t="shared" si="62"/>
        <v>41.733665466308594</v>
      </c>
      <c r="AN903">
        <f t="shared" si="63"/>
        <v>44.597234725952148</v>
      </c>
    </row>
    <row r="904" spans="1:40" x14ac:dyDescent="0.2">
      <c r="A904" s="2">
        <v>119</v>
      </c>
      <c r="B904" t="s">
        <v>2282</v>
      </c>
      <c r="C904" s="2">
        <v>2.2584757804870605</v>
      </c>
      <c r="D904">
        <v>3.8810899257659912</v>
      </c>
      <c r="E904">
        <v>2.6711084842681885</v>
      </c>
      <c r="G904" s="2" t="s">
        <v>1186</v>
      </c>
      <c r="H904" t="s">
        <v>1191</v>
      </c>
      <c r="I904" s="2">
        <v>13</v>
      </c>
      <c r="J904" s="2" t="s">
        <v>2238</v>
      </c>
      <c r="K904">
        <v>2020</v>
      </c>
      <c r="L904" s="2" t="s">
        <v>32</v>
      </c>
      <c r="M904" t="s">
        <v>46</v>
      </c>
      <c r="N904" s="31">
        <v>33.5</v>
      </c>
      <c r="O904">
        <v>4</v>
      </c>
      <c r="P904" s="31" t="s">
        <v>37</v>
      </c>
      <c r="Q904" s="31" t="s">
        <v>38</v>
      </c>
      <c r="R904" s="31" t="s">
        <v>39</v>
      </c>
      <c r="S904" s="4">
        <v>34.695369999999997</v>
      </c>
      <c r="T904" s="4">
        <v>-120.04147</v>
      </c>
      <c r="U904">
        <v>1092</v>
      </c>
      <c r="V904" s="6">
        <f t="shared" si="64"/>
        <v>332.84160000000003</v>
      </c>
      <c r="W904" t="s">
        <v>898</v>
      </c>
      <c r="X904" t="s">
        <v>2256</v>
      </c>
      <c r="Y904" s="1" t="s">
        <v>2440</v>
      </c>
      <c r="AA904" t="s">
        <v>2311</v>
      </c>
      <c r="AH904">
        <v>27.8</v>
      </c>
      <c r="AI904">
        <v>-4.5999999999999996</v>
      </c>
      <c r="AJ904" s="41">
        <v>0</v>
      </c>
      <c r="AL904">
        <f t="shared" si="61"/>
        <v>180.67806243896484</v>
      </c>
      <c r="AM904">
        <f t="shared" si="62"/>
        <v>310.4871940612793</v>
      </c>
      <c r="AN904">
        <f t="shared" si="63"/>
        <v>213.68867874145508</v>
      </c>
    </row>
    <row r="905" spans="1:40" x14ac:dyDescent="0.2">
      <c r="A905" s="2">
        <v>119</v>
      </c>
      <c r="B905" t="s">
        <v>2283</v>
      </c>
      <c r="C905" s="2">
        <v>7.5432255864143372E-2</v>
      </c>
      <c r="D905">
        <v>9.0402767062187195E-2</v>
      </c>
      <c r="E905">
        <v>7.7200926840305328E-2</v>
      </c>
      <c r="G905" s="2" t="s">
        <v>1186</v>
      </c>
      <c r="H905" t="s">
        <v>1191</v>
      </c>
      <c r="I905" s="2">
        <v>13</v>
      </c>
      <c r="J905" s="2" t="s">
        <v>2238</v>
      </c>
      <c r="K905">
        <v>2020</v>
      </c>
      <c r="L905" s="2" t="s">
        <v>32</v>
      </c>
      <c r="M905" t="s">
        <v>46</v>
      </c>
      <c r="N905" s="31">
        <v>34</v>
      </c>
      <c r="O905">
        <f>30-12</f>
        <v>18</v>
      </c>
      <c r="P905" s="31" t="s">
        <v>37</v>
      </c>
      <c r="Q905" s="31" t="s">
        <v>38</v>
      </c>
      <c r="R905" s="31" t="s">
        <v>39</v>
      </c>
      <c r="S905" s="4">
        <v>34.695369999999997</v>
      </c>
      <c r="T905" s="4">
        <v>-120.04147</v>
      </c>
      <c r="U905">
        <v>1092</v>
      </c>
      <c r="V905" s="6">
        <f t="shared" si="64"/>
        <v>332.84160000000003</v>
      </c>
      <c r="W905" t="s">
        <v>898</v>
      </c>
      <c r="X905" t="s">
        <v>2256</v>
      </c>
      <c r="Y905" s="1" t="s">
        <v>2396</v>
      </c>
      <c r="AA905" t="s">
        <v>2312</v>
      </c>
      <c r="AH905">
        <v>27.8</v>
      </c>
      <c r="AI905">
        <v>-4.5999999999999996</v>
      </c>
      <c r="AJ905" s="41">
        <v>0</v>
      </c>
      <c r="AL905">
        <f t="shared" si="61"/>
        <v>6.0345804691314697</v>
      </c>
      <c r="AM905">
        <f t="shared" si="62"/>
        <v>7.2322213649749756</v>
      </c>
      <c r="AN905">
        <f t="shared" si="63"/>
        <v>6.1760741472244263</v>
      </c>
    </row>
    <row r="906" spans="1:40" x14ac:dyDescent="0.2">
      <c r="A906" s="2">
        <v>119</v>
      </c>
      <c r="B906" t="s">
        <v>2284</v>
      </c>
      <c r="C906" s="2">
        <v>0</v>
      </c>
      <c r="D906" s="2">
        <v>0</v>
      </c>
      <c r="E906" s="2">
        <v>0</v>
      </c>
      <c r="G906" s="2" t="s">
        <v>1186</v>
      </c>
      <c r="H906" t="s">
        <v>1191</v>
      </c>
      <c r="I906" s="2">
        <v>13</v>
      </c>
      <c r="J906" s="2" t="s">
        <v>2238</v>
      </c>
      <c r="K906">
        <v>2020</v>
      </c>
      <c r="L906" s="2" t="s">
        <v>32</v>
      </c>
      <c r="M906" t="s">
        <v>46</v>
      </c>
      <c r="N906" s="31">
        <v>31.5</v>
      </c>
      <c r="O906">
        <v>2</v>
      </c>
      <c r="P906" s="31" t="s">
        <v>37</v>
      </c>
      <c r="Q906" s="31" t="s">
        <v>38</v>
      </c>
      <c r="R906" s="31" t="s">
        <v>39</v>
      </c>
      <c r="S906" s="4">
        <v>34.69538</v>
      </c>
      <c r="T906" s="4">
        <v>-120.04149</v>
      </c>
      <c r="U906">
        <v>1089</v>
      </c>
      <c r="V906" s="6">
        <f t="shared" si="64"/>
        <v>331.92720000000003</v>
      </c>
      <c r="W906" t="s">
        <v>898</v>
      </c>
      <c r="X906" t="s">
        <v>2256</v>
      </c>
      <c r="Y906" s="1" t="s">
        <v>2441</v>
      </c>
      <c r="AH906">
        <v>27.8</v>
      </c>
      <c r="AI906">
        <v>-4.5999999999999996</v>
      </c>
      <c r="AJ906" s="41">
        <v>0</v>
      </c>
      <c r="AL906">
        <f t="shared" si="61"/>
        <v>0</v>
      </c>
      <c r="AM906">
        <f t="shared" si="62"/>
        <v>0</v>
      </c>
      <c r="AN906">
        <f t="shared" si="63"/>
        <v>0</v>
      </c>
    </row>
    <row r="907" spans="1:40" x14ac:dyDescent="0.2">
      <c r="A907" s="2">
        <v>119</v>
      </c>
      <c r="B907" t="s">
        <v>2285</v>
      </c>
      <c r="C907" s="2">
        <v>0</v>
      </c>
      <c r="D907" s="2">
        <v>0</v>
      </c>
      <c r="E907" s="2">
        <v>0</v>
      </c>
      <c r="G907" s="2" t="s">
        <v>1186</v>
      </c>
      <c r="H907" t="s">
        <v>1191</v>
      </c>
      <c r="I907" s="2">
        <v>13</v>
      </c>
      <c r="J907" s="2" t="s">
        <v>2238</v>
      </c>
      <c r="K907">
        <v>2020</v>
      </c>
      <c r="L907" s="2" t="s">
        <v>32</v>
      </c>
      <c r="M907" t="s">
        <v>46</v>
      </c>
      <c r="N907" s="31">
        <v>35</v>
      </c>
      <c r="O907">
        <v>3</v>
      </c>
      <c r="P907" s="31" t="s">
        <v>37</v>
      </c>
      <c r="Q907" s="31" t="s">
        <v>38</v>
      </c>
      <c r="R907" s="31" t="s">
        <v>39</v>
      </c>
      <c r="S907" s="4">
        <v>34.695360000000001</v>
      </c>
      <c r="T907" s="4">
        <v>-120.04147</v>
      </c>
      <c r="U907">
        <v>1086</v>
      </c>
      <c r="V907" s="6">
        <f t="shared" si="64"/>
        <v>331.01280000000003</v>
      </c>
      <c r="W907" t="s">
        <v>898</v>
      </c>
      <c r="X907" t="s">
        <v>2256</v>
      </c>
      <c r="Y907" s="1" t="s">
        <v>2442</v>
      </c>
      <c r="AA907" t="s">
        <v>2313</v>
      </c>
      <c r="AH907">
        <v>27.8</v>
      </c>
      <c r="AI907">
        <v>-4.5999999999999996</v>
      </c>
      <c r="AJ907" s="41">
        <v>0</v>
      </c>
      <c r="AL907">
        <f t="shared" si="61"/>
        <v>0</v>
      </c>
      <c r="AM907">
        <f t="shared" si="62"/>
        <v>0</v>
      </c>
      <c r="AN907">
        <f t="shared" si="63"/>
        <v>0</v>
      </c>
    </row>
    <row r="908" spans="1:40" x14ac:dyDescent="0.2">
      <c r="A908" s="2">
        <v>119</v>
      </c>
      <c r="B908" t="s">
        <v>2286</v>
      </c>
      <c r="C908" s="2">
        <v>0</v>
      </c>
      <c r="D908" s="2">
        <v>0</v>
      </c>
      <c r="E908">
        <v>4.0973879396915436E-2</v>
      </c>
      <c r="G908" s="2" t="s">
        <v>1186</v>
      </c>
      <c r="H908" t="s">
        <v>1191</v>
      </c>
      <c r="I908" s="2">
        <v>13</v>
      </c>
      <c r="J908" s="2" t="s">
        <v>2238</v>
      </c>
      <c r="K908">
        <v>2020</v>
      </c>
      <c r="L908" s="2" t="s">
        <v>32</v>
      </c>
      <c r="M908" t="s">
        <v>46</v>
      </c>
      <c r="N908" s="31">
        <v>35</v>
      </c>
      <c r="O908">
        <f>29.5-23.5</f>
        <v>6</v>
      </c>
      <c r="P908" s="31" t="s">
        <v>37</v>
      </c>
      <c r="Q908" s="31" t="s">
        <v>42</v>
      </c>
      <c r="R908" s="31" t="s">
        <v>39</v>
      </c>
      <c r="S908" s="4">
        <v>34.695360000000001</v>
      </c>
      <c r="T908" s="4">
        <v>-120.04147</v>
      </c>
      <c r="U908">
        <v>1086</v>
      </c>
      <c r="V908" s="6">
        <f t="shared" si="64"/>
        <v>331.01280000000003</v>
      </c>
      <c r="W908" t="s">
        <v>898</v>
      </c>
      <c r="X908" t="s">
        <v>2256</v>
      </c>
      <c r="Y908" s="1" t="s">
        <v>2443</v>
      </c>
      <c r="AA908" t="s">
        <v>2314</v>
      </c>
      <c r="AH908">
        <v>27.8</v>
      </c>
      <c r="AI908">
        <v>-4.5999999999999996</v>
      </c>
      <c r="AJ908" s="41">
        <v>0</v>
      </c>
      <c r="AL908">
        <f t="shared" si="61"/>
        <v>0</v>
      </c>
      <c r="AM908">
        <f t="shared" si="62"/>
        <v>0</v>
      </c>
      <c r="AN908">
        <f t="shared" si="63"/>
        <v>3.2779103517532349</v>
      </c>
    </row>
    <row r="909" spans="1:40" s="11" customFormat="1" x14ac:dyDescent="0.2">
      <c r="A909" s="11">
        <v>119</v>
      </c>
      <c r="B909" s="11" t="s">
        <v>2287</v>
      </c>
      <c r="C909" s="11">
        <v>3.546823188662529E-2</v>
      </c>
      <c r="D909" s="11">
        <v>0.17045280337333679</v>
      </c>
      <c r="E909" s="11">
        <v>0.13237157464027405</v>
      </c>
      <c r="G909" s="11" t="s">
        <v>1186</v>
      </c>
      <c r="H909" s="11" t="s">
        <v>1191</v>
      </c>
      <c r="I909" s="11">
        <v>13</v>
      </c>
      <c r="J909" s="11" t="s">
        <v>2238</v>
      </c>
      <c r="K909" s="11">
        <v>2020</v>
      </c>
      <c r="L909" s="11" t="s">
        <v>32</v>
      </c>
      <c r="M909" s="11" t="s">
        <v>46</v>
      </c>
      <c r="N909" s="32">
        <v>32.5</v>
      </c>
      <c r="O909" s="11">
        <f>8.5-5</f>
        <v>3.5</v>
      </c>
      <c r="P909" s="32" t="s">
        <v>41</v>
      </c>
      <c r="Q909" s="32" t="s">
        <v>38</v>
      </c>
      <c r="R909" s="32" t="s">
        <v>39</v>
      </c>
      <c r="S909" s="23">
        <v>34.695360000000001</v>
      </c>
      <c r="T909" s="23">
        <v>-120.04147</v>
      </c>
      <c r="U909" s="11">
        <v>1090</v>
      </c>
      <c r="V909" s="24">
        <f t="shared" si="64"/>
        <v>332.23200000000003</v>
      </c>
      <c r="W909" s="11" t="s">
        <v>898</v>
      </c>
      <c r="X909" s="11" t="s">
        <v>2256</v>
      </c>
      <c r="Y909" s="35" t="s">
        <v>2444</v>
      </c>
      <c r="Z909" s="11" t="s">
        <v>2299</v>
      </c>
      <c r="AA909" s="11" t="s">
        <v>2315</v>
      </c>
      <c r="AH909" s="11">
        <v>27.8</v>
      </c>
      <c r="AI909" s="11">
        <v>-4.5999999999999996</v>
      </c>
      <c r="AJ909" s="41">
        <v>0</v>
      </c>
      <c r="AL909">
        <f t="shared" si="61"/>
        <v>2.8374585509300232</v>
      </c>
      <c r="AM909">
        <f t="shared" si="62"/>
        <v>13.636224269866943</v>
      </c>
      <c r="AN909">
        <f t="shared" si="63"/>
        <v>10.589725971221924</v>
      </c>
    </row>
    <row r="910" spans="1:40" s="11" customFormat="1" x14ac:dyDescent="0.2">
      <c r="A910" s="11">
        <v>119</v>
      </c>
      <c r="B910" s="11" t="s">
        <v>2288</v>
      </c>
      <c r="C910" s="11">
        <v>31.069358825683594</v>
      </c>
      <c r="D910" s="11">
        <v>56.571613311767578</v>
      </c>
      <c r="E910" s="11">
        <v>44.345050811767578</v>
      </c>
      <c r="G910" s="11" t="s">
        <v>1186</v>
      </c>
      <c r="H910" s="11" t="s">
        <v>1191</v>
      </c>
      <c r="I910" s="11">
        <v>13</v>
      </c>
      <c r="J910" s="11" t="s">
        <v>2238</v>
      </c>
      <c r="K910" s="11">
        <v>2020</v>
      </c>
      <c r="L910" s="11" t="s">
        <v>33</v>
      </c>
      <c r="M910" s="11" t="s">
        <v>46</v>
      </c>
      <c r="N910" s="32">
        <v>21.5</v>
      </c>
      <c r="O910" s="11">
        <v>2</v>
      </c>
      <c r="P910" s="32" t="s">
        <v>41</v>
      </c>
      <c r="R910" s="11" t="s">
        <v>89</v>
      </c>
      <c r="S910" s="23">
        <v>34.695399999999999</v>
      </c>
      <c r="T910" s="23">
        <v>-120.04151</v>
      </c>
      <c r="U910" s="11">
        <v>1084</v>
      </c>
      <c r="V910" s="24">
        <f t="shared" si="64"/>
        <v>330.40320000000003</v>
      </c>
      <c r="W910" s="11" t="s">
        <v>898</v>
      </c>
      <c r="X910" s="11" t="s">
        <v>2256</v>
      </c>
      <c r="Y910" s="35" t="s">
        <v>2445</v>
      </c>
      <c r="AA910" s="11" t="s">
        <v>2316</v>
      </c>
      <c r="AH910" s="11">
        <v>27.8</v>
      </c>
      <c r="AI910" s="11">
        <v>-4.5999999999999996</v>
      </c>
      <c r="AJ910" s="41">
        <v>0</v>
      </c>
      <c r="AL910">
        <f t="shared" si="61"/>
        <v>2485.5487060546875</v>
      </c>
      <c r="AM910">
        <f t="shared" si="62"/>
        <v>4525.7290649414062</v>
      </c>
      <c r="AN910">
        <f t="shared" si="63"/>
        <v>3547.6040649414062</v>
      </c>
    </row>
    <row r="911" spans="1:40" x14ac:dyDescent="0.2">
      <c r="A911" s="2">
        <v>119</v>
      </c>
      <c r="B911" t="s">
        <v>2289</v>
      </c>
      <c r="C911" s="2">
        <v>1.8481332063674927</v>
      </c>
      <c r="D911">
        <v>0.74798280000686646</v>
      </c>
      <c r="E911">
        <v>1.1945358514785767</v>
      </c>
      <c r="G911" s="2" t="s">
        <v>1186</v>
      </c>
      <c r="H911" t="s">
        <v>1191</v>
      </c>
      <c r="I911" s="2">
        <v>13</v>
      </c>
      <c r="J911" s="2" t="s">
        <v>2238</v>
      </c>
      <c r="K911">
        <v>2020</v>
      </c>
      <c r="L911" s="2" t="s">
        <v>33</v>
      </c>
      <c r="M911" t="s">
        <v>46</v>
      </c>
      <c r="N911" s="31">
        <v>23</v>
      </c>
      <c r="O911">
        <v>2</v>
      </c>
      <c r="P911" s="31" t="s">
        <v>37</v>
      </c>
      <c r="R911" t="s">
        <v>89</v>
      </c>
      <c r="S911" s="4">
        <v>34.695399999999999</v>
      </c>
      <c r="T911" s="4">
        <v>-120.04151</v>
      </c>
      <c r="U911">
        <v>1084</v>
      </c>
      <c r="V911" s="6">
        <f t="shared" si="64"/>
        <v>330.40320000000003</v>
      </c>
      <c r="W911" t="s">
        <v>898</v>
      </c>
      <c r="X911" t="s">
        <v>2256</v>
      </c>
      <c r="Y911" s="1" t="s">
        <v>2446</v>
      </c>
      <c r="AA911" t="s">
        <v>2317</v>
      </c>
      <c r="AH911">
        <v>27.8</v>
      </c>
      <c r="AI911">
        <v>-4.5999999999999996</v>
      </c>
      <c r="AJ911" s="41">
        <v>0</v>
      </c>
      <c r="AL911">
        <f t="shared" ref="AL911:AL974" si="65">C911*80</f>
        <v>147.85065650939941</v>
      </c>
      <c r="AM911">
        <f t="shared" ref="AM911:AM974" si="66">D911*80</f>
        <v>59.838624000549316</v>
      </c>
      <c r="AN911">
        <f t="shared" ref="AN911:AN974" si="67">E911*80</f>
        <v>95.562868118286133</v>
      </c>
    </row>
    <row r="912" spans="1:40" x14ac:dyDescent="0.2">
      <c r="A912" s="2">
        <v>119</v>
      </c>
      <c r="B912" t="s">
        <v>2290</v>
      </c>
      <c r="C912" s="2">
        <v>0.32870116829872131</v>
      </c>
      <c r="D912">
        <v>0.96935826539993286</v>
      </c>
      <c r="E912">
        <v>0.37814041972160339</v>
      </c>
      <c r="G912" s="2" t="s">
        <v>1186</v>
      </c>
      <c r="H912" t="s">
        <v>1191</v>
      </c>
      <c r="I912" s="2">
        <v>13</v>
      </c>
      <c r="J912" s="2" t="s">
        <v>2238</v>
      </c>
      <c r="K912">
        <v>2020</v>
      </c>
      <c r="L912" s="2" t="s">
        <v>33</v>
      </c>
      <c r="M912" t="s">
        <v>46</v>
      </c>
      <c r="N912" s="31">
        <v>20.5</v>
      </c>
      <c r="O912">
        <v>1</v>
      </c>
      <c r="P912" s="31" t="s">
        <v>37</v>
      </c>
      <c r="R912" t="s">
        <v>89</v>
      </c>
      <c r="S912" s="4">
        <v>34.695399999999999</v>
      </c>
      <c r="T912" s="4">
        <v>-120.04151</v>
      </c>
      <c r="U912">
        <v>1084</v>
      </c>
      <c r="V912" s="6">
        <f t="shared" si="64"/>
        <v>330.40320000000003</v>
      </c>
      <c r="W912" t="s">
        <v>898</v>
      </c>
      <c r="X912" t="s">
        <v>2256</v>
      </c>
      <c r="Y912" s="1" t="s">
        <v>2418</v>
      </c>
      <c r="AA912" t="s">
        <v>2318</v>
      </c>
      <c r="AH912">
        <v>27.8</v>
      </c>
      <c r="AI912">
        <v>-4.5999999999999996</v>
      </c>
      <c r="AJ912" s="41">
        <v>0</v>
      </c>
      <c r="AL912">
        <f t="shared" si="65"/>
        <v>26.296093463897705</v>
      </c>
      <c r="AM912">
        <f t="shared" si="66"/>
        <v>77.548661231994629</v>
      </c>
      <c r="AN912">
        <f t="shared" si="67"/>
        <v>30.251233577728271</v>
      </c>
    </row>
    <row r="913" spans="1:40" x14ac:dyDescent="0.2">
      <c r="A913" s="2">
        <v>119</v>
      </c>
      <c r="B913" t="s">
        <v>2291</v>
      </c>
      <c r="C913" s="2">
        <v>0</v>
      </c>
      <c r="D913">
        <v>0</v>
      </c>
      <c r="E913">
        <v>0</v>
      </c>
      <c r="G913" s="2" t="s">
        <v>1186</v>
      </c>
      <c r="H913" t="s">
        <v>1191</v>
      </c>
      <c r="I913" s="2">
        <v>13</v>
      </c>
      <c r="J913" s="2" t="s">
        <v>2238</v>
      </c>
      <c r="K913">
        <v>2020</v>
      </c>
      <c r="L913" s="2" t="s">
        <v>32</v>
      </c>
      <c r="M913" t="s">
        <v>46</v>
      </c>
      <c r="N913" s="31">
        <v>33</v>
      </c>
      <c r="O913">
        <f>12-8.5</f>
        <v>3.5</v>
      </c>
      <c r="P913" s="31" t="s">
        <v>37</v>
      </c>
      <c r="Q913" t="s">
        <v>38</v>
      </c>
      <c r="R913" s="31" t="s">
        <v>39</v>
      </c>
      <c r="S913" s="4">
        <v>34.69538</v>
      </c>
      <c r="T913" s="4">
        <v>-120.04192</v>
      </c>
      <c r="U913">
        <v>1085</v>
      </c>
      <c r="V913" s="6">
        <f t="shared" si="64"/>
        <v>330.70800000000003</v>
      </c>
      <c r="W913" t="s">
        <v>898</v>
      </c>
      <c r="X913" t="s">
        <v>2256</v>
      </c>
      <c r="Y913" s="1" t="s">
        <v>553</v>
      </c>
      <c r="AA913" t="s">
        <v>2319</v>
      </c>
      <c r="AH913">
        <v>27.8</v>
      </c>
      <c r="AI913">
        <v>-4.5999999999999996</v>
      </c>
      <c r="AJ913" s="41">
        <v>0</v>
      </c>
      <c r="AL913">
        <f t="shared" si="65"/>
        <v>0</v>
      </c>
      <c r="AM913">
        <f t="shared" si="66"/>
        <v>0</v>
      </c>
      <c r="AN913">
        <f t="shared" si="67"/>
        <v>0</v>
      </c>
    </row>
    <row r="914" spans="1:40" x14ac:dyDescent="0.2">
      <c r="A914" s="2">
        <v>119</v>
      </c>
      <c r="B914" t="s">
        <v>2292</v>
      </c>
      <c r="C914" s="2">
        <v>30.779666900634766</v>
      </c>
      <c r="D914">
        <v>37.660331726074219</v>
      </c>
      <c r="E914">
        <v>48.110252380371094</v>
      </c>
      <c r="G914" s="2" t="s">
        <v>1186</v>
      </c>
      <c r="H914" t="s">
        <v>1191</v>
      </c>
      <c r="I914" s="2">
        <v>13</v>
      </c>
      <c r="J914" s="2" t="s">
        <v>2238</v>
      </c>
      <c r="K914">
        <v>2020</v>
      </c>
      <c r="L914" s="2" t="s">
        <v>32</v>
      </c>
      <c r="M914" t="s">
        <v>46</v>
      </c>
      <c r="N914" s="31">
        <v>31.5</v>
      </c>
      <c r="O914">
        <f>26.5-24</f>
        <v>2.5</v>
      </c>
      <c r="P914" s="31" t="s">
        <v>37</v>
      </c>
      <c r="Q914" t="s">
        <v>38</v>
      </c>
      <c r="R914" s="31" t="s">
        <v>39</v>
      </c>
      <c r="S914" s="4">
        <v>34.69538</v>
      </c>
      <c r="T914" s="4">
        <v>-120.04192</v>
      </c>
      <c r="U914">
        <v>1085</v>
      </c>
      <c r="V914" s="6">
        <f t="shared" si="64"/>
        <v>330.70800000000003</v>
      </c>
      <c r="W914" t="s">
        <v>898</v>
      </c>
      <c r="X914" t="s">
        <v>2256</v>
      </c>
      <c r="Y914" s="1" t="s">
        <v>2447</v>
      </c>
      <c r="AA914" t="s">
        <v>2320</v>
      </c>
      <c r="AH914">
        <v>27.8</v>
      </c>
      <c r="AI914">
        <v>-4.5999999999999996</v>
      </c>
      <c r="AJ914" s="41">
        <v>0</v>
      </c>
      <c r="AL914">
        <f t="shared" si="65"/>
        <v>2462.3733520507812</v>
      </c>
      <c r="AM914">
        <f t="shared" si="66"/>
        <v>3012.8265380859375</v>
      </c>
      <c r="AN914">
        <f t="shared" si="67"/>
        <v>3848.8201904296875</v>
      </c>
    </row>
    <row r="915" spans="1:40" x14ac:dyDescent="0.2">
      <c r="A915" s="2">
        <v>119</v>
      </c>
      <c r="B915" t="s">
        <v>2293</v>
      </c>
      <c r="C915" s="2">
        <v>0</v>
      </c>
      <c r="D915">
        <v>2.8985518962144852E-2</v>
      </c>
      <c r="E915">
        <v>0</v>
      </c>
      <c r="G915" s="2" t="s">
        <v>1186</v>
      </c>
      <c r="H915" t="s">
        <v>1191</v>
      </c>
      <c r="I915" s="2">
        <v>13</v>
      </c>
      <c r="J915" s="2" t="s">
        <v>2238</v>
      </c>
      <c r="K915">
        <v>2020</v>
      </c>
      <c r="L915" s="2" t="s">
        <v>32</v>
      </c>
      <c r="M915" t="s">
        <v>46</v>
      </c>
      <c r="N915" s="31">
        <v>34</v>
      </c>
      <c r="O915">
        <f>13.5-9</f>
        <v>4.5</v>
      </c>
      <c r="P915" s="31" t="s">
        <v>37</v>
      </c>
      <c r="Q915" t="s">
        <v>38</v>
      </c>
      <c r="R915" s="31" t="s">
        <v>39</v>
      </c>
      <c r="S915" s="4">
        <v>34.69538</v>
      </c>
      <c r="T915" s="4">
        <v>-120.04192</v>
      </c>
      <c r="U915">
        <v>1085</v>
      </c>
      <c r="V915" s="6">
        <f t="shared" si="64"/>
        <v>330.70800000000003</v>
      </c>
      <c r="W915" t="s">
        <v>898</v>
      </c>
      <c r="X915" t="s">
        <v>2256</v>
      </c>
      <c r="Y915" s="1" t="s">
        <v>2448</v>
      </c>
      <c r="AA915" t="s">
        <v>1840</v>
      </c>
      <c r="AH915">
        <v>27.8</v>
      </c>
      <c r="AI915">
        <v>-4.5999999999999996</v>
      </c>
      <c r="AJ915" s="41">
        <v>0</v>
      </c>
      <c r="AL915">
        <f t="shared" si="65"/>
        <v>0</v>
      </c>
      <c r="AM915">
        <f t="shared" si="66"/>
        <v>2.3188415169715881</v>
      </c>
      <c r="AN915">
        <f t="shared" si="67"/>
        <v>0</v>
      </c>
    </row>
    <row r="916" spans="1:40" x14ac:dyDescent="0.2">
      <c r="A916" s="2">
        <v>119</v>
      </c>
      <c r="B916" t="s">
        <v>2294</v>
      </c>
      <c r="C916" s="2">
        <v>0</v>
      </c>
      <c r="D916">
        <v>0</v>
      </c>
      <c r="E916">
        <v>0</v>
      </c>
      <c r="H916" t="s">
        <v>1191</v>
      </c>
      <c r="I916" s="2">
        <v>13</v>
      </c>
      <c r="J916" s="2" t="s">
        <v>2238</v>
      </c>
      <c r="K916">
        <v>2020</v>
      </c>
      <c r="L916" s="2" t="s">
        <v>32</v>
      </c>
      <c r="M916" t="s">
        <v>46</v>
      </c>
      <c r="N916" s="31">
        <v>31.5</v>
      </c>
      <c r="O916">
        <f>9.5-7</f>
        <v>2.5</v>
      </c>
      <c r="P916" s="31" t="s">
        <v>37</v>
      </c>
      <c r="Q916" t="s">
        <v>38</v>
      </c>
      <c r="R916" s="31" t="s">
        <v>39</v>
      </c>
      <c r="S916" s="4">
        <v>34.695390000000003</v>
      </c>
      <c r="T916" s="4">
        <v>-120.04192</v>
      </c>
      <c r="U916">
        <v>1084</v>
      </c>
      <c r="V916" s="6">
        <f t="shared" si="64"/>
        <v>330.40320000000003</v>
      </c>
      <c r="W916" t="s">
        <v>898</v>
      </c>
      <c r="X916" t="s">
        <v>2256</v>
      </c>
      <c r="Y916" s="1" t="s">
        <v>2398</v>
      </c>
      <c r="AA916" t="s">
        <v>1141</v>
      </c>
      <c r="AH916">
        <v>27.8</v>
      </c>
      <c r="AI916">
        <v>-4.5999999999999996</v>
      </c>
      <c r="AJ916" s="41">
        <v>0</v>
      </c>
      <c r="AL916">
        <f t="shared" si="65"/>
        <v>0</v>
      </c>
      <c r="AM916">
        <f t="shared" si="66"/>
        <v>0</v>
      </c>
      <c r="AN916">
        <f t="shared" si="67"/>
        <v>0</v>
      </c>
    </row>
    <row r="917" spans="1:40" x14ac:dyDescent="0.2">
      <c r="A917" s="2">
        <v>119</v>
      </c>
      <c r="B917" t="s">
        <v>2295</v>
      </c>
      <c r="C917" s="2">
        <v>0</v>
      </c>
      <c r="D917">
        <v>0</v>
      </c>
      <c r="E917">
        <v>0</v>
      </c>
      <c r="H917" t="s">
        <v>1191</v>
      </c>
      <c r="I917" s="2">
        <v>13</v>
      </c>
      <c r="J917" s="2" t="s">
        <v>2238</v>
      </c>
      <c r="K917">
        <v>2020</v>
      </c>
      <c r="L917" s="2" t="s">
        <v>32</v>
      </c>
      <c r="M917" t="s">
        <v>46</v>
      </c>
      <c r="N917" s="31">
        <v>36</v>
      </c>
      <c r="O917">
        <f>12-7.5</f>
        <v>4.5</v>
      </c>
      <c r="P917" s="31" t="s">
        <v>37</v>
      </c>
      <c r="Q917" t="s">
        <v>38</v>
      </c>
      <c r="R917" s="31" t="s">
        <v>39</v>
      </c>
      <c r="S917" s="4">
        <v>34.695219999999999</v>
      </c>
      <c r="T917" s="4">
        <v>-120.04192999999999</v>
      </c>
      <c r="U917">
        <v>1083</v>
      </c>
      <c r="V917" s="6">
        <f t="shared" si="64"/>
        <v>330.09840000000003</v>
      </c>
      <c r="W917" t="s">
        <v>898</v>
      </c>
      <c r="X917" t="s">
        <v>2256</v>
      </c>
      <c r="Y917" s="1" t="s">
        <v>2449</v>
      </c>
      <c r="AA917" t="s">
        <v>2321</v>
      </c>
      <c r="AH917">
        <v>27.8</v>
      </c>
      <c r="AI917">
        <v>-4.5999999999999996</v>
      </c>
      <c r="AJ917" s="41">
        <v>0</v>
      </c>
      <c r="AL917">
        <f t="shared" si="65"/>
        <v>0</v>
      </c>
      <c r="AM917">
        <f t="shared" si="66"/>
        <v>0</v>
      </c>
      <c r="AN917">
        <f t="shared" si="67"/>
        <v>0</v>
      </c>
    </row>
    <row r="918" spans="1:40" x14ac:dyDescent="0.2">
      <c r="A918" s="2">
        <v>119</v>
      </c>
      <c r="B918" t="s">
        <v>2296</v>
      </c>
      <c r="C918">
        <v>0.3658713698387146</v>
      </c>
      <c r="D918">
        <v>9.364897757768631E-2</v>
      </c>
      <c r="E918">
        <v>0.20999795198440552</v>
      </c>
      <c r="H918" t="s">
        <v>1191</v>
      </c>
      <c r="I918" s="2">
        <v>13</v>
      </c>
      <c r="J918" s="2" t="s">
        <v>2238</v>
      </c>
      <c r="K918">
        <v>2020</v>
      </c>
      <c r="L918" s="2" t="s">
        <v>33</v>
      </c>
      <c r="M918" t="s">
        <v>46</v>
      </c>
      <c r="N918" s="31">
        <v>21</v>
      </c>
      <c r="O918">
        <v>1</v>
      </c>
      <c r="P918" s="31" t="s">
        <v>37</v>
      </c>
      <c r="R918" t="s">
        <v>89</v>
      </c>
      <c r="S918" s="4">
        <v>34.695300000000003</v>
      </c>
      <c r="T918" s="4">
        <v>-120.04196</v>
      </c>
      <c r="U918">
        <v>1079</v>
      </c>
      <c r="V918" s="6">
        <f t="shared" si="64"/>
        <v>328.87920000000003</v>
      </c>
      <c r="W918" t="s">
        <v>898</v>
      </c>
      <c r="X918" t="s">
        <v>2256</v>
      </c>
      <c r="Y918" s="1" t="s">
        <v>2409</v>
      </c>
      <c r="AA918" t="s">
        <v>2322</v>
      </c>
      <c r="AH918">
        <v>27.8</v>
      </c>
      <c r="AI918">
        <v>-4.5999999999999996</v>
      </c>
      <c r="AJ918" s="41">
        <v>0</v>
      </c>
      <c r="AL918">
        <f t="shared" si="65"/>
        <v>29.269709587097168</v>
      </c>
      <c r="AM918">
        <f t="shared" si="66"/>
        <v>7.4919182062149048</v>
      </c>
      <c r="AN918">
        <f t="shared" si="67"/>
        <v>16.799836158752441</v>
      </c>
    </row>
    <row r="919" spans="1:40" x14ac:dyDescent="0.2">
      <c r="A919" s="2">
        <v>119</v>
      </c>
      <c r="B919" t="s">
        <v>2297</v>
      </c>
      <c r="C919">
        <v>0</v>
      </c>
      <c r="D919">
        <v>0</v>
      </c>
      <c r="E919">
        <v>0</v>
      </c>
      <c r="H919" t="s">
        <v>1191</v>
      </c>
      <c r="I919" s="2">
        <v>13</v>
      </c>
      <c r="J919" s="2" t="s">
        <v>2238</v>
      </c>
      <c r="K919">
        <v>2020</v>
      </c>
      <c r="L919" s="2" t="s">
        <v>32</v>
      </c>
      <c r="M919" t="s">
        <v>46</v>
      </c>
      <c r="N919" s="31">
        <v>33</v>
      </c>
      <c r="O919">
        <f>11.5-8.5</f>
        <v>3</v>
      </c>
      <c r="P919" s="31" t="s">
        <v>37</v>
      </c>
      <c r="Q919" t="s">
        <v>38</v>
      </c>
      <c r="R919" s="31" t="s">
        <v>39</v>
      </c>
      <c r="S919" s="4">
        <v>34.695480000000003</v>
      </c>
      <c r="T919" s="4">
        <v>-120.04165999999999</v>
      </c>
      <c r="U919">
        <v>1080</v>
      </c>
      <c r="V919" s="6">
        <f t="shared" si="64"/>
        <v>329.18400000000003</v>
      </c>
      <c r="W919" t="s">
        <v>898</v>
      </c>
      <c r="X919" t="s">
        <v>2256</v>
      </c>
      <c r="Y919" s="1" t="s">
        <v>2402</v>
      </c>
      <c r="AA919" t="s">
        <v>2323</v>
      </c>
      <c r="AH919">
        <v>27.8</v>
      </c>
      <c r="AI919">
        <v>-4.5999999999999996</v>
      </c>
      <c r="AJ919" s="41">
        <v>0</v>
      </c>
      <c r="AL919">
        <f t="shared" si="65"/>
        <v>0</v>
      </c>
      <c r="AM919">
        <f t="shared" si="66"/>
        <v>0</v>
      </c>
      <c r="AN919">
        <f t="shared" si="67"/>
        <v>0</v>
      </c>
    </row>
    <row r="920" spans="1:40" x14ac:dyDescent="0.2">
      <c r="A920" s="2">
        <v>120</v>
      </c>
      <c r="B920" t="s">
        <v>2298</v>
      </c>
      <c r="C920">
        <v>0</v>
      </c>
      <c r="D920">
        <v>0</v>
      </c>
      <c r="E920">
        <v>0</v>
      </c>
      <c r="H920" t="s">
        <v>1191</v>
      </c>
      <c r="I920" s="2">
        <v>13</v>
      </c>
      <c r="J920" s="2" t="s">
        <v>2238</v>
      </c>
      <c r="K920">
        <v>2020</v>
      </c>
      <c r="L920" s="2" t="s">
        <v>33</v>
      </c>
      <c r="M920" t="s">
        <v>46</v>
      </c>
      <c r="N920" s="31">
        <v>84.5</v>
      </c>
      <c r="O920" t="s">
        <v>43</v>
      </c>
      <c r="P920" s="31" t="s">
        <v>37</v>
      </c>
      <c r="Q920" s="2" t="s">
        <v>42</v>
      </c>
      <c r="R920" s="31" t="s">
        <v>39</v>
      </c>
      <c r="S920" s="5">
        <v>34.689109999999999</v>
      </c>
      <c r="T920" s="5">
        <v>-120.04564999999999</v>
      </c>
      <c r="U920" s="2">
        <v>1225</v>
      </c>
      <c r="V920" s="6">
        <f t="shared" si="64"/>
        <v>373.38</v>
      </c>
      <c r="W920" t="s">
        <v>2324</v>
      </c>
      <c r="X920" s="3" t="s">
        <v>2515</v>
      </c>
      <c r="Y920" s="1" t="s">
        <v>756</v>
      </c>
      <c r="AA920" t="s">
        <v>3269</v>
      </c>
      <c r="AH920">
        <v>27.8</v>
      </c>
      <c r="AI920">
        <v>-4.5999999999999996</v>
      </c>
      <c r="AJ920" s="41">
        <v>0</v>
      </c>
      <c r="AL920">
        <f t="shared" si="65"/>
        <v>0</v>
      </c>
      <c r="AM920">
        <f t="shared" si="66"/>
        <v>0</v>
      </c>
      <c r="AN920">
        <f t="shared" si="67"/>
        <v>0</v>
      </c>
    </row>
    <row r="921" spans="1:40" x14ac:dyDescent="0.2">
      <c r="A921" s="2">
        <v>121</v>
      </c>
      <c r="B921" t="s">
        <v>2502</v>
      </c>
      <c r="C921">
        <v>0.21713629364967346</v>
      </c>
      <c r="D921">
        <v>5.0549574196338654E-2</v>
      </c>
      <c r="E921">
        <v>0.13595516979694366</v>
      </c>
      <c r="H921" t="s">
        <v>1191</v>
      </c>
      <c r="I921" s="2">
        <v>6</v>
      </c>
      <c r="J921" s="2" t="s">
        <v>2512</v>
      </c>
      <c r="K921">
        <v>2020</v>
      </c>
      <c r="L921" s="2" t="s">
        <v>32</v>
      </c>
      <c r="M921" t="s">
        <v>897</v>
      </c>
      <c r="N921" s="31">
        <v>38</v>
      </c>
      <c r="O921">
        <f>24.5-19.5</f>
        <v>5</v>
      </c>
      <c r="P921" s="31" t="s">
        <v>2208</v>
      </c>
      <c r="Q921" t="s">
        <v>38</v>
      </c>
      <c r="R921" s="31" t="s">
        <v>39</v>
      </c>
      <c r="S921" s="4">
        <v>37.38964</v>
      </c>
      <c r="T921" s="4">
        <v>-121.73273</v>
      </c>
      <c r="U921">
        <v>2353</v>
      </c>
      <c r="V921" s="6">
        <f t="shared" si="64"/>
        <v>717.19440000000009</v>
      </c>
      <c r="W921" t="s">
        <v>898</v>
      </c>
      <c r="X921" s="2" t="s">
        <v>2209</v>
      </c>
      <c r="Y921" s="1" t="s">
        <v>1090</v>
      </c>
      <c r="Z921" t="s">
        <v>2525</v>
      </c>
      <c r="AA921" t="s">
        <v>2516</v>
      </c>
      <c r="AL921">
        <f t="shared" si="65"/>
        <v>17.370903491973877</v>
      </c>
      <c r="AM921">
        <f t="shared" si="66"/>
        <v>4.0439659357070923</v>
      </c>
      <c r="AN921">
        <f t="shared" si="67"/>
        <v>10.876413583755493</v>
      </c>
    </row>
    <row r="922" spans="1:40" x14ac:dyDescent="0.2">
      <c r="A922" s="2">
        <v>121</v>
      </c>
      <c r="B922" t="s">
        <v>2503</v>
      </c>
      <c r="C922">
        <v>0.19063834846019745</v>
      </c>
      <c r="D922">
        <v>0.10806123167276382</v>
      </c>
      <c r="E922">
        <v>0.13572461903095245</v>
      </c>
      <c r="H922" t="s">
        <v>1186</v>
      </c>
      <c r="I922" s="2">
        <v>6</v>
      </c>
      <c r="J922" s="2" t="s">
        <v>2512</v>
      </c>
      <c r="K922">
        <v>2020</v>
      </c>
      <c r="L922" s="2" t="s">
        <v>32</v>
      </c>
      <c r="M922" t="s">
        <v>897</v>
      </c>
      <c r="N922" s="31">
        <v>29</v>
      </c>
      <c r="O922">
        <f>22-19.5</f>
        <v>2.5</v>
      </c>
      <c r="P922" s="31" t="s">
        <v>2208</v>
      </c>
      <c r="Q922" t="s">
        <v>38</v>
      </c>
      <c r="R922" s="31" t="s">
        <v>39</v>
      </c>
      <c r="S922" s="4">
        <v>37.38964</v>
      </c>
      <c r="T922" s="4">
        <v>-121.73273</v>
      </c>
      <c r="U922">
        <v>2353</v>
      </c>
      <c r="V922" s="6">
        <f t="shared" si="64"/>
        <v>717.19440000000009</v>
      </c>
      <c r="W922" t="s">
        <v>898</v>
      </c>
      <c r="X922" s="2" t="s">
        <v>2209</v>
      </c>
      <c r="Y922" s="1" t="s">
        <v>1600</v>
      </c>
      <c r="Z922" t="s">
        <v>2527</v>
      </c>
      <c r="AA922" t="s">
        <v>2517</v>
      </c>
      <c r="AL922">
        <f t="shared" si="65"/>
        <v>15.251067876815796</v>
      </c>
      <c r="AM922">
        <f t="shared" si="66"/>
        <v>8.644898533821106</v>
      </c>
      <c r="AN922">
        <f t="shared" si="67"/>
        <v>10.857969522476196</v>
      </c>
    </row>
    <row r="923" spans="1:40" x14ac:dyDescent="0.2">
      <c r="A923" s="2">
        <v>121</v>
      </c>
      <c r="B923" t="s">
        <v>2504</v>
      </c>
      <c r="C923">
        <v>0</v>
      </c>
      <c r="D923">
        <v>0</v>
      </c>
      <c r="E923">
        <v>0</v>
      </c>
      <c r="H923" t="s">
        <v>1191</v>
      </c>
      <c r="I923" s="2">
        <v>6</v>
      </c>
      <c r="J923" s="2" t="s">
        <v>2512</v>
      </c>
      <c r="K923">
        <v>2020</v>
      </c>
      <c r="L923" s="2" t="s">
        <v>32</v>
      </c>
      <c r="M923" t="s">
        <v>897</v>
      </c>
      <c r="N923" s="31">
        <v>35</v>
      </c>
      <c r="O923">
        <f>22-19.5</f>
        <v>2.5</v>
      </c>
      <c r="P923" s="31" t="s">
        <v>2208</v>
      </c>
      <c r="Q923" t="s">
        <v>38</v>
      </c>
      <c r="R923" s="31" t="s">
        <v>39</v>
      </c>
      <c r="S923" s="4">
        <v>37.38964</v>
      </c>
      <c r="T923" s="4">
        <v>-121.73273</v>
      </c>
      <c r="U923">
        <v>2353</v>
      </c>
      <c r="V923" s="6">
        <f t="shared" si="64"/>
        <v>717.19440000000009</v>
      </c>
      <c r="W923" t="s">
        <v>898</v>
      </c>
      <c r="X923" s="2" t="s">
        <v>2209</v>
      </c>
      <c r="Y923" s="1" t="s">
        <v>817</v>
      </c>
      <c r="Z923" t="s">
        <v>2528</v>
      </c>
      <c r="AA923" t="s">
        <v>2518</v>
      </c>
      <c r="AL923">
        <f t="shared" si="65"/>
        <v>0</v>
      </c>
      <c r="AM923">
        <f t="shared" si="66"/>
        <v>0</v>
      </c>
      <c r="AN923">
        <f t="shared" si="67"/>
        <v>0</v>
      </c>
    </row>
    <row r="924" spans="1:40" x14ac:dyDescent="0.2">
      <c r="A924" s="2">
        <v>121</v>
      </c>
      <c r="B924" t="s">
        <v>2505</v>
      </c>
      <c r="C924">
        <v>0</v>
      </c>
      <c r="D924">
        <v>2.3400235921144485E-2</v>
      </c>
      <c r="E924">
        <v>0</v>
      </c>
      <c r="H924" t="s">
        <v>1191</v>
      </c>
      <c r="I924" s="2">
        <v>6</v>
      </c>
      <c r="J924" s="2" t="s">
        <v>2512</v>
      </c>
      <c r="K924">
        <v>2020</v>
      </c>
      <c r="L924" s="2" t="s">
        <v>33</v>
      </c>
      <c r="M924" t="s">
        <v>897</v>
      </c>
      <c r="N924" s="31">
        <v>84.5</v>
      </c>
      <c r="O924" t="s">
        <v>43</v>
      </c>
      <c r="P924" s="31" t="s">
        <v>2208</v>
      </c>
      <c r="Q924" s="2" t="s">
        <v>42</v>
      </c>
      <c r="R924" s="31" t="s">
        <v>39</v>
      </c>
      <c r="S924" s="4">
        <v>37.38964</v>
      </c>
      <c r="T924" s="4">
        <v>-121.73273</v>
      </c>
      <c r="U924">
        <v>2353</v>
      </c>
      <c r="V924" s="6">
        <f t="shared" si="64"/>
        <v>717.19440000000009</v>
      </c>
      <c r="W924" t="s">
        <v>898</v>
      </c>
      <c r="X924" s="2" t="s">
        <v>2209</v>
      </c>
      <c r="Y924" s="1" t="s">
        <v>1601</v>
      </c>
      <c r="Z924" t="s">
        <v>2526</v>
      </c>
      <c r="AA924" t="s">
        <v>2519</v>
      </c>
      <c r="AL924">
        <f t="shared" si="65"/>
        <v>0</v>
      </c>
      <c r="AM924">
        <f t="shared" si="66"/>
        <v>1.8720188736915588</v>
      </c>
      <c r="AN924">
        <f t="shared" si="67"/>
        <v>0</v>
      </c>
    </row>
    <row r="925" spans="1:40" x14ac:dyDescent="0.2">
      <c r="A925" s="2">
        <v>121</v>
      </c>
      <c r="B925" t="s">
        <v>2506</v>
      </c>
      <c r="C925">
        <v>19.053798675537109</v>
      </c>
      <c r="D925">
        <v>18.473211288452148</v>
      </c>
      <c r="E925">
        <v>17.713527679443359</v>
      </c>
      <c r="H925" t="s">
        <v>1191</v>
      </c>
      <c r="I925" s="2">
        <v>6</v>
      </c>
      <c r="J925" s="2" t="s">
        <v>2512</v>
      </c>
      <c r="K925">
        <v>2020</v>
      </c>
      <c r="L925" s="2" t="s">
        <v>32</v>
      </c>
      <c r="M925" t="s">
        <v>897</v>
      </c>
      <c r="N925" s="31">
        <v>37</v>
      </c>
      <c r="O925">
        <f>23-19.5</f>
        <v>3.5</v>
      </c>
      <c r="P925" s="31" t="s">
        <v>2208</v>
      </c>
      <c r="Q925" t="s">
        <v>38</v>
      </c>
      <c r="R925" s="31" t="s">
        <v>39</v>
      </c>
      <c r="S925" s="4">
        <v>37.38964</v>
      </c>
      <c r="T925" s="4">
        <v>-121.73273</v>
      </c>
      <c r="U925">
        <v>2353</v>
      </c>
      <c r="V925" s="6">
        <f t="shared" si="64"/>
        <v>717.19440000000009</v>
      </c>
      <c r="W925" t="s">
        <v>898</v>
      </c>
      <c r="X925" s="2" t="s">
        <v>2209</v>
      </c>
      <c r="Y925" s="1" t="s">
        <v>1602</v>
      </c>
      <c r="Z925" t="s">
        <v>2529</v>
      </c>
      <c r="AA925" t="s">
        <v>2520</v>
      </c>
      <c r="AL925">
        <f t="shared" si="65"/>
        <v>1524.3038940429688</v>
      </c>
      <c r="AM925">
        <f t="shared" si="66"/>
        <v>1477.8569030761719</v>
      </c>
      <c r="AN925">
        <f t="shared" si="67"/>
        <v>1417.0822143554688</v>
      </c>
    </row>
    <row r="926" spans="1:40" x14ac:dyDescent="0.2">
      <c r="A926" s="2">
        <v>121</v>
      </c>
      <c r="B926" t="s">
        <v>2507</v>
      </c>
      <c r="C926">
        <v>0</v>
      </c>
      <c r="D926">
        <v>0</v>
      </c>
      <c r="E926">
        <v>0</v>
      </c>
      <c r="H926" t="s">
        <v>1191</v>
      </c>
      <c r="I926" s="2">
        <v>6</v>
      </c>
      <c r="J926" s="2" t="s">
        <v>2512</v>
      </c>
      <c r="K926">
        <v>2020</v>
      </c>
      <c r="L926" s="2" t="s">
        <v>32</v>
      </c>
      <c r="M926" t="s">
        <v>897</v>
      </c>
      <c r="N926" s="31">
        <v>37</v>
      </c>
      <c r="O926">
        <f>23-19.5</f>
        <v>3.5</v>
      </c>
      <c r="P926" s="31" t="s">
        <v>2208</v>
      </c>
      <c r="Q926" t="s">
        <v>38</v>
      </c>
      <c r="R926" s="31" t="s">
        <v>39</v>
      </c>
      <c r="S926" s="4">
        <v>37.38964</v>
      </c>
      <c r="T926" s="4">
        <v>-121.73273</v>
      </c>
      <c r="U926">
        <v>2353</v>
      </c>
      <c r="V926" s="6">
        <f t="shared" si="64"/>
        <v>717.19440000000009</v>
      </c>
      <c r="W926" t="s">
        <v>898</v>
      </c>
      <c r="X926" s="2" t="s">
        <v>2209</v>
      </c>
      <c r="Y926" s="1" t="s">
        <v>2513</v>
      </c>
      <c r="Z926" t="s">
        <v>2530</v>
      </c>
      <c r="AA926" t="s">
        <v>2521</v>
      </c>
      <c r="AL926">
        <f t="shared" si="65"/>
        <v>0</v>
      </c>
      <c r="AM926">
        <f t="shared" si="66"/>
        <v>0</v>
      </c>
      <c r="AN926">
        <f t="shared" si="67"/>
        <v>0</v>
      </c>
    </row>
    <row r="927" spans="1:40" x14ac:dyDescent="0.2">
      <c r="A927" s="2">
        <v>121</v>
      </c>
      <c r="B927" t="s">
        <v>2508</v>
      </c>
      <c r="C927">
        <v>0</v>
      </c>
      <c r="D927">
        <v>0</v>
      </c>
      <c r="E927">
        <v>0</v>
      </c>
      <c r="H927" t="s">
        <v>1191</v>
      </c>
      <c r="I927" s="2">
        <v>6</v>
      </c>
      <c r="J927" s="2" t="s">
        <v>2512</v>
      </c>
      <c r="K927">
        <v>2020</v>
      </c>
      <c r="L927" s="2" t="s">
        <v>32</v>
      </c>
      <c r="M927" t="s">
        <v>897</v>
      </c>
      <c r="N927" s="31">
        <v>35</v>
      </c>
      <c r="O927">
        <f>22-19.5</f>
        <v>2.5</v>
      </c>
      <c r="P927" s="31" t="s">
        <v>2208</v>
      </c>
      <c r="Q927" t="s">
        <v>38</v>
      </c>
      <c r="R927" s="31" t="s">
        <v>39</v>
      </c>
      <c r="S927" s="4">
        <v>37.38964</v>
      </c>
      <c r="T927" s="4">
        <v>-121.73273</v>
      </c>
      <c r="U927">
        <v>2353</v>
      </c>
      <c r="V927" s="6">
        <f t="shared" si="64"/>
        <v>717.19440000000009</v>
      </c>
      <c r="W927" t="s">
        <v>898</v>
      </c>
      <c r="X927" s="2" t="s">
        <v>2209</v>
      </c>
      <c r="Y927" s="1" t="s">
        <v>2514</v>
      </c>
      <c r="Z927" t="s">
        <v>2531</v>
      </c>
      <c r="AA927" t="s">
        <v>2522</v>
      </c>
      <c r="AL927">
        <f t="shared" si="65"/>
        <v>0</v>
      </c>
      <c r="AM927">
        <f t="shared" si="66"/>
        <v>0</v>
      </c>
      <c r="AN927">
        <f t="shared" si="67"/>
        <v>0</v>
      </c>
    </row>
    <row r="928" spans="1:40" x14ac:dyDescent="0.2">
      <c r="A928" s="2">
        <v>121</v>
      </c>
      <c r="B928" t="s">
        <v>2509</v>
      </c>
      <c r="C928">
        <v>0</v>
      </c>
      <c r="D928">
        <v>0</v>
      </c>
      <c r="E928">
        <v>0</v>
      </c>
      <c r="H928" t="s">
        <v>1191</v>
      </c>
      <c r="I928" s="2">
        <v>6</v>
      </c>
      <c r="J928" s="2" t="s">
        <v>2512</v>
      </c>
      <c r="K928">
        <v>2020</v>
      </c>
      <c r="L928" s="2" t="s">
        <v>32</v>
      </c>
      <c r="M928" t="s">
        <v>897</v>
      </c>
      <c r="N928" s="31">
        <v>35</v>
      </c>
      <c r="O928">
        <f>23-19.5</f>
        <v>3.5</v>
      </c>
      <c r="P928" s="31" t="s">
        <v>2208</v>
      </c>
      <c r="Q928" t="s">
        <v>38</v>
      </c>
      <c r="R928" s="31" t="s">
        <v>39</v>
      </c>
      <c r="S928" s="4">
        <v>37.38964</v>
      </c>
      <c r="T928" s="4">
        <v>-121.73273</v>
      </c>
      <c r="U928">
        <v>2353</v>
      </c>
      <c r="V928" s="6">
        <f t="shared" si="64"/>
        <v>717.19440000000009</v>
      </c>
      <c r="W928" t="s">
        <v>898</v>
      </c>
      <c r="X928" s="2" t="s">
        <v>2209</v>
      </c>
      <c r="Y928" s="1" t="s">
        <v>128</v>
      </c>
      <c r="Z928" t="s">
        <v>2532</v>
      </c>
      <c r="AA928" t="s">
        <v>1800</v>
      </c>
      <c r="AL928">
        <f t="shared" si="65"/>
        <v>0</v>
      </c>
      <c r="AM928">
        <f t="shared" si="66"/>
        <v>0</v>
      </c>
      <c r="AN928">
        <f t="shared" si="67"/>
        <v>0</v>
      </c>
    </row>
    <row r="929" spans="1:40" x14ac:dyDescent="0.2">
      <c r="A929" s="2">
        <v>121</v>
      </c>
      <c r="B929" t="s">
        <v>2510</v>
      </c>
      <c r="C929">
        <v>0</v>
      </c>
      <c r="D929">
        <v>0</v>
      </c>
      <c r="E929">
        <v>3.5930898040533066E-2</v>
      </c>
      <c r="H929" t="s">
        <v>1191</v>
      </c>
      <c r="I929" s="2">
        <v>6</v>
      </c>
      <c r="J929" s="2" t="s">
        <v>2512</v>
      </c>
      <c r="K929">
        <v>2020</v>
      </c>
      <c r="L929" s="2" t="s">
        <v>32</v>
      </c>
      <c r="M929" t="s">
        <v>897</v>
      </c>
      <c r="N929" s="31">
        <v>37</v>
      </c>
      <c r="O929">
        <f>23-19.5</f>
        <v>3.5</v>
      </c>
      <c r="P929" s="31" t="s">
        <v>2208</v>
      </c>
      <c r="Q929" t="s">
        <v>38</v>
      </c>
      <c r="R929" s="31" t="s">
        <v>39</v>
      </c>
      <c r="S929" s="4">
        <v>37.38964</v>
      </c>
      <c r="T929" s="4">
        <v>-121.73273</v>
      </c>
      <c r="U929">
        <v>2353</v>
      </c>
      <c r="V929" s="6">
        <f t="shared" si="64"/>
        <v>717.19440000000009</v>
      </c>
      <c r="W929" t="s">
        <v>898</v>
      </c>
      <c r="X929" s="2" t="s">
        <v>2209</v>
      </c>
      <c r="Y929" s="1" t="s">
        <v>128</v>
      </c>
      <c r="Z929" t="s">
        <v>2533</v>
      </c>
      <c r="AA929" t="s">
        <v>2523</v>
      </c>
      <c r="AL929">
        <f t="shared" si="65"/>
        <v>0</v>
      </c>
      <c r="AM929">
        <f t="shared" si="66"/>
        <v>0</v>
      </c>
      <c r="AN929">
        <f t="shared" si="67"/>
        <v>2.8744718432426453</v>
      </c>
    </row>
    <row r="930" spans="1:40" x14ac:dyDescent="0.2">
      <c r="A930" s="2">
        <v>121</v>
      </c>
      <c r="B930" t="s">
        <v>2511</v>
      </c>
      <c r="C930">
        <v>0</v>
      </c>
      <c r="D930">
        <v>0</v>
      </c>
      <c r="E930">
        <v>0</v>
      </c>
      <c r="H930" t="s">
        <v>1191</v>
      </c>
      <c r="I930" s="2">
        <v>6</v>
      </c>
      <c r="J930" s="2" t="s">
        <v>2512</v>
      </c>
      <c r="K930">
        <v>2020</v>
      </c>
      <c r="L930" s="2" t="s">
        <v>32</v>
      </c>
      <c r="M930" t="s">
        <v>897</v>
      </c>
      <c r="N930" s="31">
        <v>38</v>
      </c>
      <c r="O930">
        <f>23-19.5</f>
        <v>3.5</v>
      </c>
      <c r="P930" s="31" t="s">
        <v>2208</v>
      </c>
      <c r="Q930" t="s">
        <v>38</v>
      </c>
      <c r="R930" s="31" t="s">
        <v>39</v>
      </c>
      <c r="S930" s="4">
        <v>37.38964</v>
      </c>
      <c r="T930" s="4">
        <v>-121.73273</v>
      </c>
      <c r="U930">
        <v>2353</v>
      </c>
      <c r="V930" s="6">
        <f t="shared" si="64"/>
        <v>717.19440000000009</v>
      </c>
      <c r="W930" t="s">
        <v>898</v>
      </c>
      <c r="X930" s="2" t="s">
        <v>2209</v>
      </c>
      <c r="Y930" s="1" t="s">
        <v>128</v>
      </c>
      <c r="Z930" t="s">
        <v>2592</v>
      </c>
      <c r="AA930" t="s">
        <v>2524</v>
      </c>
      <c r="AL930">
        <f t="shared" si="65"/>
        <v>0</v>
      </c>
      <c r="AM930">
        <f t="shared" si="66"/>
        <v>0</v>
      </c>
      <c r="AN930">
        <f t="shared" si="67"/>
        <v>0</v>
      </c>
    </row>
    <row r="931" spans="1:40" x14ac:dyDescent="0.2">
      <c r="A931" s="2">
        <v>121</v>
      </c>
      <c r="B931" t="s">
        <v>2557</v>
      </c>
      <c r="C931">
        <v>0.11642324924468994</v>
      </c>
      <c r="D931">
        <v>8.9966379106044769E-2</v>
      </c>
      <c r="E931">
        <v>9.4198383390903473E-2</v>
      </c>
      <c r="H931" t="s">
        <v>1191</v>
      </c>
      <c r="I931" s="2">
        <v>6</v>
      </c>
      <c r="J931" s="2" t="s">
        <v>2512</v>
      </c>
      <c r="K931">
        <v>2020</v>
      </c>
      <c r="L931" s="2" t="s">
        <v>32</v>
      </c>
      <c r="M931" t="s">
        <v>897</v>
      </c>
      <c r="P931" s="31" t="s">
        <v>41</v>
      </c>
      <c r="Q931" t="s">
        <v>38</v>
      </c>
      <c r="R931" s="31" t="s">
        <v>39</v>
      </c>
      <c r="S931" s="4">
        <v>37.38964</v>
      </c>
      <c r="T931" s="4">
        <v>-121.73273</v>
      </c>
      <c r="U931">
        <v>2353</v>
      </c>
      <c r="V931" s="6">
        <f t="shared" ref="V931:V932" si="68">U931*0.3048</f>
        <v>717.19440000000009</v>
      </c>
      <c r="W931" t="s">
        <v>898</v>
      </c>
      <c r="X931" s="2" t="s">
        <v>2209</v>
      </c>
      <c r="Z931" t="s">
        <v>3271</v>
      </c>
      <c r="AL931">
        <f t="shared" si="65"/>
        <v>9.3138599395751953</v>
      </c>
      <c r="AM931">
        <f t="shared" si="66"/>
        <v>7.1973103284835815</v>
      </c>
      <c r="AN931">
        <f t="shared" si="67"/>
        <v>7.5358706712722778</v>
      </c>
    </row>
    <row r="932" spans="1:40" x14ac:dyDescent="0.2">
      <c r="A932" s="2">
        <v>122</v>
      </c>
      <c r="B932" t="s">
        <v>2558</v>
      </c>
      <c r="C932">
        <v>18.309412002563477</v>
      </c>
      <c r="D932">
        <v>16.82148551940918</v>
      </c>
      <c r="E932">
        <v>16.694904327392578</v>
      </c>
      <c r="H932" t="s">
        <v>1191</v>
      </c>
      <c r="I932" s="2">
        <v>7</v>
      </c>
      <c r="J932" s="2" t="s">
        <v>2512</v>
      </c>
      <c r="K932">
        <v>2020</v>
      </c>
      <c r="L932" s="2" t="s">
        <v>32</v>
      </c>
      <c r="M932" t="s">
        <v>897</v>
      </c>
      <c r="N932" s="31">
        <v>34</v>
      </c>
      <c r="O932">
        <f>22.5-19.5</f>
        <v>3</v>
      </c>
      <c r="P932" s="31" t="s">
        <v>2208</v>
      </c>
      <c r="Q932" t="s">
        <v>38</v>
      </c>
      <c r="R932" s="31" t="s">
        <v>39</v>
      </c>
      <c r="S932" s="4">
        <v>37.396090000000001</v>
      </c>
      <c r="T932" s="4">
        <v>-121.73437</v>
      </c>
      <c r="U932">
        <v>2447</v>
      </c>
      <c r="V932" s="6">
        <f t="shared" si="68"/>
        <v>745.84559999999999</v>
      </c>
      <c r="W932" t="s">
        <v>898</v>
      </c>
      <c r="X932" s="2" t="s">
        <v>2385</v>
      </c>
      <c r="Y932" s="1" t="s">
        <v>2590</v>
      </c>
      <c r="Z932" t="s">
        <v>2593</v>
      </c>
      <c r="AA932" t="s">
        <v>2608</v>
      </c>
      <c r="AL932">
        <f t="shared" si="65"/>
        <v>1464.7529602050781</v>
      </c>
      <c r="AM932">
        <f t="shared" si="66"/>
        <v>1345.7188415527344</v>
      </c>
      <c r="AN932">
        <f t="shared" si="67"/>
        <v>1335.5923461914062</v>
      </c>
    </row>
    <row r="933" spans="1:40" x14ac:dyDescent="0.2">
      <c r="A933" s="2">
        <v>122</v>
      </c>
      <c r="B933" t="s">
        <v>2559</v>
      </c>
      <c r="C933">
        <v>0</v>
      </c>
      <c r="D933">
        <v>0</v>
      </c>
      <c r="E933">
        <v>0</v>
      </c>
      <c r="H933" t="s">
        <v>1191</v>
      </c>
      <c r="I933" s="2">
        <v>7</v>
      </c>
      <c r="J933" s="2" t="s">
        <v>2512</v>
      </c>
      <c r="K933">
        <v>2020</v>
      </c>
      <c r="L933" s="2" t="s">
        <v>32</v>
      </c>
      <c r="M933" t="s">
        <v>897</v>
      </c>
      <c r="N933" s="31">
        <v>32</v>
      </c>
      <c r="O933">
        <f>21.5-19.5</f>
        <v>2</v>
      </c>
      <c r="P933" s="31" t="s">
        <v>2208</v>
      </c>
      <c r="Q933" t="s">
        <v>38</v>
      </c>
      <c r="R933" s="31" t="s">
        <v>39</v>
      </c>
      <c r="S933" s="4">
        <v>37.396090000000001</v>
      </c>
      <c r="T933" s="4">
        <v>-121.73437</v>
      </c>
      <c r="U933">
        <v>2447</v>
      </c>
      <c r="V933" s="6">
        <f t="shared" ref="V933:V942" si="69">U933*0.3048</f>
        <v>745.84559999999999</v>
      </c>
      <c r="W933" t="s">
        <v>898</v>
      </c>
      <c r="X933" s="2" t="s">
        <v>2385</v>
      </c>
      <c r="Y933" s="1" t="s">
        <v>2492</v>
      </c>
      <c r="Z933" s="2" t="s">
        <v>2594</v>
      </c>
      <c r="AA933" s="2" t="s">
        <v>2609</v>
      </c>
      <c r="AL933">
        <f t="shared" si="65"/>
        <v>0</v>
      </c>
      <c r="AM933">
        <f t="shared" si="66"/>
        <v>0</v>
      </c>
      <c r="AN933">
        <f t="shared" si="67"/>
        <v>0</v>
      </c>
    </row>
    <row r="934" spans="1:40" x14ac:dyDescent="0.2">
      <c r="A934" s="2">
        <v>122</v>
      </c>
      <c r="B934" t="s">
        <v>2560</v>
      </c>
      <c r="C934">
        <v>0</v>
      </c>
      <c r="D934">
        <v>0</v>
      </c>
      <c r="E934">
        <v>0</v>
      </c>
      <c r="H934" t="s">
        <v>1191</v>
      </c>
      <c r="I934" s="2">
        <v>7</v>
      </c>
      <c r="J934" s="2" t="s">
        <v>2512</v>
      </c>
      <c r="K934">
        <v>2020</v>
      </c>
      <c r="L934" s="2" t="s">
        <v>32</v>
      </c>
      <c r="M934" t="s">
        <v>897</v>
      </c>
      <c r="N934" s="31">
        <v>34</v>
      </c>
      <c r="O934">
        <f>22.5-19.5</f>
        <v>3</v>
      </c>
      <c r="P934" s="31" t="s">
        <v>2208</v>
      </c>
      <c r="Q934" t="s">
        <v>38</v>
      </c>
      <c r="R934" s="31" t="s">
        <v>39</v>
      </c>
      <c r="S934" s="4">
        <v>37.396090000000001</v>
      </c>
      <c r="T934" s="4">
        <v>-121.73437</v>
      </c>
      <c r="U934">
        <v>2447</v>
      </c>
      <c r="V934" s="6">
        <f t="shared" si="69"/>
        <v>745.84559999999999</v>
      </c>
      <c r="W934" t="s">
        <v>898</v>
      </c>
      <c r="X934" s="2" t="s">
        <v>2385</v>
      </c>
      <c r="Y934" s="1" t="s">
        <v>2591</v>
      </c>
      <c r="Z934" s="2" t="s">
        <v>2595</v>
      </c>
      <c r="AA934" s="2" t="s">
        <v>2610</v>
      </c>
      <c r="AL934">
        <f t="shared" si="65"/>
        <v>0</v>
      </c>
      <c r="AM934">
        <f t="shared" si="66"/>
        <v>0</v>
      </c>
      <c r="AN934">
        <f t="shared" si="67"/>
        <v>0</v>
      </c>
    </row>
    <row r="935" spans="1:40" x14ac:dyDescent="0.2">
      <c r="A935" s="2">
        <v>122</v>
      </c>
      <c r="B935" t="s">
        <v>2561</v>
      </c>
      <c r="C935">
        <v>0</v>
      </c>
      <c r="D935">
        <v>0</v>
      </c>
      <c r="E935">
        <v>0</v>
      </c>
      <c r="H935" t="s">
        <v>1191</v>
      </c>
      <c r="I935" s="2">
        <v>7</v>
      </c>
      <c r="J935" s="2" t="s">
        <v>2512</v>
      </c>
      <c r="K935">
        <v>2020</v>
      </c>
      <c r="L935" s="2" t="s">
        <v>32</v>
      </c>
      <c r="M935" t="s">
        <v>897</v>
      </c>
      <c r="N935" s="31">
        <v>36</v>
      </c>
      <c r="O935">
        <f>23-19.5</f>
        <v>3.5</v>
      </c>
      <c r="P935" s="31" t="s">
        <v>2208</v>
      </c>
      <c r="Q935" t="s">
        <v>38</v>
      </c>
      <c r="R935" s="31" t="s">
        <v>39</v>
      </c>
      <c r="S935" s="4">
        <v>37.396090000000001</v>
      </c>
      <c r="T935" s="4">
        <v>-121.73437</v>
      </c>
      <c r="U935">
        <v>2447</v>
      </c>
      <c r="V935" s="6">
        <f t="shared" si="69"/>
        <v>745.84559999999999</v>
      </c>
      <c r="W935" t="s">
        <v>898</v>
      </c>
      <c r="X935" s="2" t="s">
        <v>2385</v>
      </c>
      <c r="Y935" s="1" t="s">
        <v>2443</v>
      </c>
      <c r="Z935" s="2" t="s">
        <v>2596</v>
      </c>
      <c r="AA935" s="2" t="s">
        <v>2611</v>
      </c>
      <c r="AL935">
        <f t="shared" si="65"/>
        <v>0</v>
      </c>
      <c r="AM935">
        <f t="shared" si="66"/>
        <v>0</v>
      </c>
      <c r="AN935">
        <f t="shared" si="67"/>
        <v>0</v>
      </c>
    </row>
    <row r="936" spans="1:40" x14ac:dyDescent="0.2">
      <c r="A936" s="2">
        <v>122</v>
      </c>
      <c r="B936" t="s">
        <v>2562</v>
      </c>
      <c r="C936">
        <v>3.6038558930158615E-2</v>
      </c>
      <c r="D936">
        <v>5.1210507750511169E-2</v>
      </c>
      <c r="E936">
        <v>0</v>
      </c>
      <c r="H936" t="s">
        <v>1186</v>
      </c>
      <c r="I936" s="2">
        <v>7</v>
      </c>
      <c r="J936" s="2" t="s">
        <v>2512</v>
      </c>
      <c r="K936">
        <v>2020</v>
      </c>
      <c r="L936" s="2" t="s">
        <v>32</v>
      </c>
      <c r="M936" t="s">
        <v>897</v>
      </c>
      <c r="N936" s="31">
        <v>32</v>
      </c>
      <c r="O936">
        <f>23-19.5</f>
        <v>3.5</v>
      </c>
      <c r="P936" s="31" t="s">
        <v>2208</v>
      </c>
      <c r="Q936" t="s">
        <v>38</v>
      </c>
      <c r="R936" s="31" t="s">
        <v>39</v>
      </c>
      <c r="S936" s="4">
        <v>37.396090000000001</v>
      </c>
      <c r="T936" s="4">
        <v>-121.73437</v>
      </c>
      <c r="U936">
        <v>2447</v>
      </c>
      <c r="V936" s="6">
        <f t="shared" si="69"/>
        <v>745.84559999999999</v>
      </c>
      <c r="W936" t="s">
        <v>898</v>
      </c>
      <c r="X936" s="2" t="s">
        <v>2385</v>
      </c>
      <c r="Y936" s="1" t="s">
        <v>2417</v>
      </c>
      <c r="Z936" s="2" t="s">
        <v>2597</v>
      </c>
      <c r="AA936" s="2" t="s">
        <v>2612</v>
      </c>
      <c r="AL936">
        <f t="shared" si="65"/>
        <v>2.8830847144126892</v>
      </c>
      <c r="AM936">
        <f t="shared" si="66"/>
        <v>4.0968406200408936</v>
      </c>
      <c r="AN936">
        <f t="shared" si="67"/>
        <v>0</v>
      </c>
    </row>
    <row r="937" spans="1:40" x14ac:dyDescent="0.2">
      <c r="A937" s="2">
        <v>122</v>
      </c>
      <c r="B937" t="s">
        <v>2563</v>
      </c>
      <c r="C937">
        <v>0</v>
      </c>
      <c r="D937">
        <v>0</v>
      </c>
      <c r="E937">
        <v>0</v>
      </c>
      <c r="H937" t="s">
        <v>1191</v>
      </c>
      <c r="I937" s="2">
        <v>7</v>
      </c>
      <c r="J937" s="2" t="s">
        <v>2512</v>
      </c>
      <c r="K937">
        <v>2020</v>
      </c>
      <c r="L937" s="2" t="s">
        <v>32</v>
      </c>
      <c r="M937" t="s">
        <v>897</v>
      </c>
      <c r="N937" s="31">
        <v>35</v>
      </c>
      <c r="O937">
        <f>23-19.5</f>
        <v>3.5</v>
      </c>
      <c r="P937" s="31" t="s">
        <v>2208</v>
      </c>
      <c r="Q937" t="s">
        <v>38</v>
      </c>
      <c r="R937" s="31" t="s">
        <v>39</v>
      </c>
      <c r="S937" s="4">
        <v>37.396090000000001</v>
      </c>
      <c r="T937" s="4">
        <v>-121.73437</v>
      </c>
      <c r="U937">
        <v>2447</v>
      </c>
      <c r="V937" s="6">
        <f t="shared" si="69"/>
        <v>745.84559999999999</v>
      </c>
      <c r="W937" t="s">
        <v>898</v>
      </c>
      <c r="X937" s="2" t="s">
        <v>2385</v>
      </c>
      <c r="Y937" s="1" t="s">
        <v>2419</v>
      </c>
      <c r="Z937" s="2" t="s">
        <v>2598</v>
      </c>
      <c r="AA937" s="2" t="s">
        <v>2613</v>
      </c>
      <c r="AL937">
        <f t="shared" si="65"/>
        <v>0</v>
      </c>
      <c r="AM937">
        <f t="shared" si="66"/>
        <v>0</v>
      </c>
      <c r="AN937">
        <f t="shared" si="67"/>
        <v>0</v>
      </c>
    </row>
    <row r="938" spans="1:40" x14ac:dyDescent="0.2">
      <c r="A938" s="2">
        <v>122</v>
      </c>
      <c r="B938" t="s">
        <v>2564</v>
      </c>
      <c r="C938">
        <v>0</v>
      </c>
      <c r="D938">
        <v>0</v>
      </c>
      <c r="E938">
        <v>4.2063448578119278E-2</v>
      </c>
      <c r="H938" t="s">
        <v>1191</v>
      </c>
      <c r="I938" s="2">
        <v>7</v>
      </c>
      <c r="J938" s="2" t="s">
        <v>2512</v>
      </c>
      <c r="K938">
        <v>2020</v>
      </c>
      <c r="L938" s="2" t="s">
        <v>32</v>
      </c>
      <c r="M938" t="s">
        <v>897</v>
      </c>
      <c r="N938" s="31">
        <v>39</v>
      </c>
      <c r="O938">
        <f>26-19.5</f>
        <v>6.5</v>
      </c>
      <c r="P938" s="31" t="s">
        <v>2208</v>
      </c>
      <c r="Q938" t="s">
        <v>38</v>
      </c>
      <c r="R938" s="31" t="s">
        <v>39</v>
      </c>
      <c r="S938" s="4">
        <v>37.396090000000001</v>
      </c>
      <c r="T938" s="4">
        <v>-121.73437</v>
      </c>
      <c r="U938">
        <v>2447</v>
      </c>
      <c r="V938" s="6">
        <f t="shared" si="69"/>
        <v>745.84559999999999</v>
      </c>
      <c r="W938" t="s">
        <v>898</v>
      </c>
      <c r="X938" s="2" t="s">
        <v>2385</v>
      </c>
      <c r="Y938" s="1" t="s">
        <v>2397</v>
      </c>
      <c r="Z938" s="2" t="s">
        <v>2599</v>
      </c>
      <c r="AA938" s="2" t="s">
        <v>2614</v>
      </c>
      <c r="AL938">
        <f t="shared" si="65"/>
        <v>0</v>
      </c>
      <c r="AM938">
        <f t="shared" si="66"/>
        <v>0</v>
      </c>
      <c r="AN938">
        <f t="shared" si="67"/>
        <v>3.3650758862495422</v>
      </c>
    </row>
    <row r="939" spans="1:40" x14ac:dyDescent="0.2">
      <c r="A939" s="2">
        <v>122</v>
      </c>
      <c r="B939" t="s">
        <v>2565</v>
      </c>
      <c r="C939">
        <v>2.5404858752153814E-4</v>
      </c>
      <c r="D939">
        <v>0</v>
      </c>
      <c r="E939">
        <v>4.6760253608226776E-2</v>
      </c>
      <c r="H939" t="s">
        <v>1186</v>
      </c>
      <c r="I939" s="2">
        <v>7</v>
      </c>
      <c r="J939" s="2" t="s">
        <v>2512</v>
      </c>
      <c r="K939">
        <v>2020</v>
      </c>
      <c r="L939" s="2" t="s">
        <v>32</v>
      </c>
      <c r="M939" t="s">
        <v>897</v>
      </c>
      <c r="N939" s="31">
        <v>30</v>
      </c>
      <c r="O939">
        <f>22.5-19.5</f>
        <v>3</v>
      </c>
      <c r="P939" s="31" t="s">
        <v>2208</v>
      </c>
      <c r="Q939" t="s">
        <v>38</v>
      </c>
      <c r="R939" s="31" t="s">
        <v>39</v>
      </c>
      <c r="S939" s="4">
        <v>37.396090000000001</v>
      </c>
      <c r="T939" s="4">
        <v>-121.73437</v>
      </c>
      <c r="U939">
        <v>2447</v>
      </c>
      <c r="V939" s="6">
        <f t="shared" si="69"/>
        <v>745.84559999999999</v>
      </c>
      <c r="W939" t="s">
        <v>898</v>
      </c>
      <c r="X939" s="2" t="s">
        <v>2385</v>
      </c>
      <c r="Y939" s="1" t="s">
        <v>553</v>
      </c>
      <c r="Z939" s="2" t="s">
        <v>2616</v>
      </c>
      <c r="AA939" s="2" t="s">
        <v>2615</v>
      </c>
      <c r="AL939">
        <f t="shared" si="65"/>
        <v>2.0323887001723051E-2</v>
      </c>
      <c r="AM939">
        <f t="shared" si="66"/>
        <v>0</v>
      </c>
      <c r="AN939">
        <f t="shared" si="67"/>
        <v>3.7408202886581421</v>
      </c>
    </row>
    <row r="940" spans="1:40" x14ac:dyDescent="0.2">
      <c r="A940" s="2">
        <v>122</v>
      </c>
      <c r="B940" t="s">
        <v>2566</v>
      </c>
      <c r="C940">
        <v>0</v>
      </c>
      <c r="D940">
        <v>2.7076901867985725E-2</v>
      </c>
      <c r="E940">
        <v>0</v>
      </c>
      <c r="H940" t="s">
        <v>1191</v>
      </c>
      <c r="I940" s="2">
        <v>7</v>
      </c>
      <c r="J940" s="2" t="s">
        <v>2512</v>
      </c>
      <c r="K940">
        <v>2020</v>
      </c>
      <c r="L940" s="2" t="s">
        <v>32</v>
      </c>
      <c r="M940" t="s">
        <v>897</v>
      </c>
      <c r="N940" s="31">
        <v>35</v>
      </c>
      <c r="O940">
        <f>24-19.5</f>
        <v>4.5</v>
      </c>
      <c r="P940" s="31" t="s">
        <v>2208</v>
      </c>
      <c r="Q940" t="s">
        <v>38</v>
      </c>
      <c r="R940" s="31" t="s">
        <v>39</v>
      </c>
      <c r="S940" s="4">
        <v>37.396090000000001</v>
      </c>
      <c r="T940" s="4">
        <v>-121.73437</v>
      </c>
      <c r="U940">
        <v>2447</v>
      </c>
      <c r="V940" s="6">
        <f t="shared" si="69"/>
        <v>745.84559999999999</v>
      </c>
      <c r="W940" t="s">
        <v>898</v>
      </c>
      <c r="X940" s="2" t="s">
        <v>2385</v>
      </c>
      <c r="Y940" s="1" t="s">
        <v>2449</v>
      </c>
      <c r="Z940" s="2" t="s">
        <v>2600</v>
      </c>
      <c r="AA940" s="2" t="s">
        <v>2617</v>
      </c>
      <c r="AL940">
        <f t="shared" si="65"/>
        <v>0</v>
      </c>
      <c r="AM940">
        <f t="shared" si="66"/>
        <v>2.166152149438858</v>
      </c>
      <c r="AN940">
        <f t="shared" si="67"/>
        <v>0</v>
      </c>
    </row>
    <row r="941" spans="1:40" x14ac:dyDescent="0.2">
      <c r="A941" s="2">
        <v>122</v>
      </c>
      <c r="B941" t="s">
        <v>2567</v>
      </c>
      <c r="C941">
        <v>1.4614975452423096</v>
      </c>
      <c r="D941">
        <v>0.92657822370529175</v>
      </c>
      <c r="E941">
        <v>1.3334213495254517</v>
      </c>
      <c r="H941" t="s">
        <v>1191</v>
      </c>
      <c r="I941" s="2">
        <v>7</v>
      </c>
      <c r="J941" s="2" t="s">
        <v>2512</v>
      </c>
      <c r="K941">
        <v>2020</v>
      </c>
      <c r="L941" s="2" t="s">
        <v>32</v>
      </c>
      <c r="M941" t="s">
        <v>897</v>
      </c>
      <c r="N941" s="31">
        <v>31.5</v>
      </c>
      <c r="O941">
        <f>22-19.5</f>
        <v>2.5</v>
      </c>
      <c r="P941" s="31" t="s">
        <v>2208</v>
      </c>
      <c r="Q941" t="s">
        <v>38</v>
      </c>
      <c r="R941" s="31" t="s">
        <v>39</v>
      </c>
      <c r="S941" s="4">
        <v>37.396090000000001</v>
      </c>
      <c r="T941" s="4">
        <v>-121.73437</v>
      </c>
      <c r="U941">
        <v>2447</v>
      </c>
      <c r="V941" s="6">
        <f t="shared" si="69"/>
        <v>745.84559999999999</v>
      </c>
      <c r="W941" t="s">
        <v>898</v>
      </c>
      <c r="X941" s="2" t="s">
        <v>2385</v>
      </c>
      <c r="Y941" s="1" t="s">
        <v>2409</v>
      </c>
      <c r="Z941" s="2" t="s">
        <v>2601</v>
      </c>
      <c r="AA941" s="2" t="s">
        <v>2618</v>
      </c>
      <c r="AL941">
        <f t="shared" si="65"/>
        <v>116.91980361938477</v>
      </c>
      <c r="AM941">
        <f t="shared" si="66"/>
        <v>74.12625789642334</v>
      </c>
      <c r="AN941">
        <f t="shared" si="67"/>
        <v>106.67370796203613</v>
      </c>
    </row>
    <row r="942" spans="1:40" x14ac:dyDescent="0.2">
      <c r="A942" s="2">
        <v>123</v>
      </c>
      <c r="B942" t="s">
        <v>2568</v>
      </c>
      <c r="C942">
        <v>0</v>
      </c>
      <c r="D942">
        <v>0</v>
      </c>
      <c r="E942">
        <v>0</v>
      </c>
      <c r="H942" t="s">
        <v>1191</v>
      </c>
      <c r="I942" s="2">
        <v>7</v>
      </c>
      <c r="J942" s="2" t="s">
        <v>2512</v>
      </c>
      <c r="K942">
        <v>2020</v>
      </c>
      <c r="L942" s="2" t="s">
        <v>32</v>
      </c>
      <c r="M942" t="s">
        <v>897</v>
      </c>
      <c r="N942" s="31">
        <v>30</v>
      </c>
      <c r="O942">
        <f>23-19.5</f>
        <v>3.5</v>
      </c>
      <c r="P942" s="31" t="s">
        <v>2208</v>
      </c>
      <c r="Q942" t="s">
        <v>38</v>
      </c>
      <c r="R942" s="31" t="s">
        <v>39</v>
      </c>
      <c r="S942" s="4">
        <v>37.379849999999998</v>
      </c>
      <c r="T942" s="4">
        <v>-121.74673</v>
      </c>
      <c r="U942">
        <v>2353</v>
      </c>
      <c r="V942" s="6">
        <f t="shared" si="69"/>
        <v>717.19440000000009</v>
      </c>
      <c r="W942" t="s">
        <v>898</v>
      </c>
      <c r="X942" s="2" t="s">
        <v>2161</v>
      </c>
      <c r="Y942" s="1" t="s">
        <v>581</v>
      </c>
      <c r="Z942" s="2" t="s">
        <v>2631</v>
      </c>
      <c r="AA942" s="2" t="s">
        <v>2619</v>
      </c>
      <c r="AL942">
        <f t="shared" si="65"/>
        <v>0</v>
      </c>
      <c r="AM942">
        <f t="shared" si="66"/>
        <v>0</v>
      </c>
      <c r="AN942">
        <f t="shared" si="67"/>
        <v>0</v>
      </c>
    </row>
    <row r="943" spans="1:40" x14ac:dyDescent="0.2">
      <c r="A943" s="2">
        <v>123</v>
      </c>
      <c r="B943" t="s">
        <v>2569</v>
      </c>
      <c r="C943">
        <v>0</v>
      </c>
      <c r="D943">
        <v>0</v>
      </c>
      <c r="E943">
        <v>0</v>
      </c>
      <c r="H943" t="s">
        <v>1191</v>
      </c>
      <c r="I943" s="2">
        <v>7</v>
      </c>
      <c r="J943" s="2" t="s">
        <v>2512</v>
      </c>
      <c r="K943">
        <v>2020</v>
      </c>
      <c r="L943" s="2" t="s">
        <v>691</v>
      </c>
      <c r="M943" t="s">
        <v>897</v>
      </c>
      <c r="N943" s="31">
        <v>70</v>
      </c>
      <c r="O943">
        <f>63.5-19.5</f>
        <v>44</v>
      </c>
      <c r="P943" s="31" t="s">
        <v>2208</v>
      </c>
      <c r="Q943" s="2" t="s">
        <v>42</v>
      </c>
      <c r="R943" s="51" t="s">
        <v>89</v>
      </c>
      <c r="S943" s="4">
        <v>37.379849999999998</v>
      </c>
      <c r="T943" s="4">
        <v>-121.74673</v>
      </c>
      <c r="U943">
        <v>2353</v>
      </c>
      <c r="V943" s="6">
        <f t="shared" ref="V943:V952" si="70">U943*0.3048</f>
        <v>717.19440000000009</v>
      </c>
      <c r="W943" t="s">
        <v>898</v>
      </c>
      <c r="X943" s="2" t="s">
        <v>2161</v>
      </c>
      <c r="Y943" s="1" t="s">
        <v>596</v>
      </c>
      <c r="Z943" s="2" t="s">
        <v>2632</v>
      </c>
      <c r="AA943" s="2" t="s">
        <v>2620</v>
      </c>
      <c r="AL943">
        <f t="shared" si="65"/>
        <v>0</v>
      </c>
      <c r="AM943">
        <f t="shared" si="66"/>
        <v>0</v>
      </c>
      <c r="AN943">
        <f t="shared" si="67"/>
        <v>0</v>
      </c>
    </row>
    <row r="944" spans="1:40" x14ac:dyDescent="0.2">
      <c r="A944" s="2">
        <v>123</v>
      </c>
      <c r="B944" t="s">
        <v>2570</v>
      </c>
      <c r="C944">
        <v>0</v>
      </c>
      <c r="D944">
        <v>0</v>
      </c>
      <c r="E944">
        <v>0</v>
      </c>
      <c r="H944" t="s">
        <v>1191</v>
      </c>
      <c r="I944" s="2">
        <v>7</v>
      </c>
      <c r="J944" s="2" t="s">
        <v>2512</v>
      </c>
      <c r="K944">
        <v>2020</v>
      </c>
      <c r="L944" s="2" t="s">
        <v>32</v>
      </c>
      <c r="M944" t="s">
        <v>897</v>
      </c>
      <c r="N944" s="31">
        <v>35</v>
      </c>
      <c r="O944">
        <f>24-19.5</f>
        <v>4.5</v>
      </c>
      <c r="P944" s="31" t="s">
        <v>2208</v>
      </c>
      <c r="Q944" t="s">
        <v>38</v>
      </c>
      <c r="R944" s="31" t="s">
        <v>39</v>
      </c>
      <c r="S944" s="4">
        <v>37.379849999999998</v>
      </c>
      <c r="T944" s="4">
        <v>-121.74673</v>
      </c>
      <c r="U944">
        <v>2353</v>
      </c>
      <c r="V944" s="6">
        <f t="shared" si="70"/>
        <v>717.19440000000009</v>
      </c>
      <c r="W944" t="s">
        <v>898</v>
      </c>
      <c r="X944" s="2" t="s">
        <v>2161</v>
      </c>
      <c r="Y944" s="1" t="s">
        <v>2602</v>
      </c>
      <c r="Z944" s="2" t="s">
        <v>2633</v>
      </c>
      <c r="AA944" s="2" t="s">
        <v>1802</v>
      </c>
      <c r="AL944">
        <f t="shared" si="65"/>
        <v>0</v>
      </c>
      <c r="AM944">
        <f t="shared" si="66"/>
        <v>0</v>
      </c>
      <c r="AN944">
        <f t="shared" si="67"/>
        <v>0</v>
      </c>
    </row>
    <row r="945" spans="1:40" s="11" customFormat="1" x14ac:dyDescent="0.2">
      <c r="A945" s="11">
        <v>123</v>
      </c>
      <c r="B945" s="11" t="s">
        <v>2571</v>
      </c>
      <c r="C945">
        <v>0</v>
      </c>
      <c r="D945">
        <v>4.8059619963169098E-2</v>
      </c>
      <c r="E945">
        <v>4.749380424618721E-2</v>
      </c>
      <c r="H945" s="11" t="s">
        <v>1191</v>
      </c>
      <c r="I945" s="11">
        <v>7</v>
      </c>
      <c r="J945" s="11" t="s">
        <v>2512</v>
      </c>
      <c r="K945" s="11">
        <v>2020</v>
      </c>
      <c r="L945" s="11" t="s">
        <v>691</v>
      </c>
      <c r="M945" s="11" t="s">
        <v>897</v>
      </c>
      <c r="N945" s="32">
        <v>73.5</v>
      </c>
      <c r="O945" s="11">
        <f>61-19.5</f>
        <v>41.5</v>
      </c>
      <c r="P945" s="32" t="s">
        <v>2607</v>
      </c>
      <c r="Q945" s="11" t="s">
        <v>38</v>
      </c>
      <c r="R945" s="11" t="s">
        <v>39</v>
      </c>
      <c r="S945" s="23">
        <v>37.379849999999998</v>
      </c>
      <c r="T945" s="23">
        <v>-121.74673</v>
      </c>
      <c r="U945" s="11">
        <v>2353</v>
      </c>
      <c r="V945" s="24">
        <f t="shared" si="70"/>
        <v>717.19440000000009</v>
      </c>
      <c r="W945" s="11" t="s">
        <v>898</v>
      </c>
      <c r="X945" s="11" t="s">
        <v>2161</v>
      </c>
      <c r="Y945" s="35" t="s">
        <v>811</v>
      </c>
      <c r="Z945" s="11" t="s">
        <v>2634</v>
      </c>
      <c r="AA945" s="11" t="s">
        <v>1803</v>
      </c>
      <c r="AJ945" s="42"/>
      <c r="AL945">
        <f t="shared" si="65"/>
        <v>0</v>
      </c>
      <c r="AM945">
        <f t="shared" si="66"/>
        <v>3.8447695970535278</v>
      </c>
      <c r="AN945">
        <f t="shared" si="67"/>
        <v>3.7995043396949768</v>
      </c>
    </row>
    <row r="946" spans="1:40" x14ac:dyDescent="0.2">
      <c r="A946" s="2">
        <v>123</v>
      </c>
      <c r="B946" t="s">
        <v>2572</v>
      </c>
      <c r="C946">
        <v>0.12596866488456726</v>
      </c>
      <c r="D946">
        <v>3.7919346243143082E-2</v>
      </c>
      <c r="E946">
        <v>0</v>
      </c>
      <c r="H946" t="s">
        <v>1191</v>
      </c>
      <c r="I946" s="2">
        <v>7</v>
      </c>
      <c r="J946" s="2" t="s">
        <v>2512</v>
      </c>
      <c r="K946">
        <v>2020</v>
      </c>
      <c r="L946" s="2" t="s">
        <v>32</v>
      </c>
      <c r="M946" t="s">
        <v>897</v>
      </c>
      <c r="N946" s="31">
        <v>35</v>
      </c>
      <c r="O946">
        <f>24-19.5</f>
        <v>4.5</v>
      </c>
      <c r="P946" s="31" t="s">
        <v>2208</v>
      </c>
      <c r="Q946" t="s">
        <v>38</v>
      </c>
      <c r="R946" s="31" t="s">
        <v>39</v>
      </c>
      <c r="S946" s="4">
        <v>37.379849999999998</v>
      </c>
      <c r="T946" s="4">
        <v>-121.74673</v>
      </c>
      <c r="U946">
        <v>2353</v>
      </c>
      <c r="V946" s="6">
        <f t="shared" si="70"/>
        <v>717.19440000000009</v>
      </c>
      <c r="W946" t="s">
        <v>898</v>
      </c>
      <c r="X946" s="2" t="s">
        <v>2161</v>
      </c>
      <c r="Y946" s="1" t="s">
        <v>883</v>
      </c>
      <c r="Z946" s="2" t="s">
        <v>2635</v>
      </c>
      <c r="AA946" s="2" t="s">
        <v>2621</v>
      </c>
      <c r="AL946">
        <f t="shared" si="65"/>
        <v>10.077493190765381</v>
      </c>
      <c r="AM946">
        <f t="shared" si="66"/>
        <v>3.0335476994514465</v>
      </c>
      <c r="AN946">
        <f t="shared" si="67"/>
        <v>0</v>
      </c>
    </row>
    <row r="947" spans="1:40" x14ac:dyDescent="0.2">
      <c r="A947" s="2">
        <v>123</v>
      </c>
      <c r="B947" t="s">
        <v>2573</v>
      </c>
      <c r="C947">
        <v>0.59678208827972412</v>
      </c>
      <c r="D947">
        <v>0.45816612243652344</v>
      </c>
      <c r="E947">
        <v>0.42662745714187622</v>
      </c>
      <c r="H947" t="s">
        <v>1191</v>
      </c>
      <c r="I947" s="2">
        <v>7</v>
      </c>
      <c r="J947" s="2" t="s">
        <v>2512</v>
      </c>
      <c r="K947">
        <v>2020</v>
      </c>
      <c r="L947" s="2" t="s">
        <v>691</v>
      </c>
      <c r="M947" t="s">
        <v>897</v>
      </c>
      <c r="N947" s="31">
        <v>116.5</v>
      </c>
      <c r="P947" s="31" t="s">
        <v>2208</v>
      </c>
      <c r="Q947" s="2" t="s">
        <v>38</v>
      </c>
      <c r="R947" s="31" t="s">
        <v>39</v>
      </c>
      <c r="S947" s="4">
        <v>37.379849999999998</v>
      </c>
      <c r="T947" s="4">
        <v>-121.74673</v>
      </c>
      <c r="U947">
        <v>2353</v>
      </c>
      <c r="V947" s="6">
        <f t="shared" si="70"/>
        <v>717.19440000000009</v>
      </c>
      <c r="W947" t="s">
        <v>898</v>
      </c>
      <c r="X947" s="2" t="s">
        <v>2161</v>
      </c>
      <c r="Y947" s="1" t="s">
        <v>757</v>
      </c>
      <c r="Z947" s="2" t="s">
        <v>2636</v>
      </c>
      <c r="AA947" s="2" t="s">
        <v>2622</v>
      </c>
      <c r="AL947">
        <f t="shared" si="65"/>
        <v>47.74256706237793</v>
      </c>
      <c r="AM947">
        <f t="shared" si="66"/>
        <v>36.653289794921875</v>
      </c>
      <c r="AN947">
        <f t="shared" si="67"/>
        <v>34.130196571350098</v>
      </c>
    </row>
    <row r="948" spans="1:40" x14ac:dyDescent="0.2">
      <c r="A948" s="2">
        <v>123</v>
      </c>
      <c r="B948" t="s">
        <v>2574</v>
      </c>
      <c r="C948">
        <v>0</v>
      </c>
      <c r="D948">
        <v>0</v>
      </c>
      <c r="E948">
        <v>0</v>
      </c>
      <c r="H948" t="s">
        <v>1191</v>
      </c>
      <c r="I948" s="2">
        <v>7</v>
      </c>
      <c r="J948" s="2" t="s">
        <v>2512</v>
      </c>
      <c r="K948">
        <v>2020</v>
      </c>
      <c r="L948" s="2" t="s">
        <v>32</v>
      </c>
      <c r="M948" t="s">
        <v>897</v>
      </c>
      <c r="N948" s="31">
        <v>35</v>
      </c>
      <c r="O948">
        <f>24-19.5</f>
        <v>4.5</v>
      </c>
      <c r="P948" s="31" t="s">
        <v>2208</v>
      </c>
      <c r="Q948" t="s">
        <v>38</v>
      </c>
      <c r="R948" s="31" t="s">
        <v>39</v>
      </c>
      <c r="S948" s="4">
        <v>37.379849999999998</v>
      </c>
      <c r="T948" s="4">
        <v>-121.74673</v>
      </c>
      <c r="U948">
        <v>2353</v>
      </c>
      <c r="V948" s="6">
        <f t="shared" si="70"/>
        <v>717.19440000000009</v>
      </c>
      <c r="W948" t="s">
        <v>898</v>
      </c>
      <c r="X948" s="2" t="s">
        <v>2161</v>
      </c>
      <c r="Y948" s="1" t="s">
        <v>2603</v>
      </c>
      <c r="Z948" s="2" t="s">
        <v>2637</v>
      </c>
      <c r="AL948">
        <f t="shared" si="65"/>
        <v>0</v>
      </c>
      <c r="AM948">
        <f t="shared" si="66"/>
        <v>0</v>
      </c>
      <c r="AN948">
        <f t="shared" si="67"/>
        <v>0</v>
      </c>
    </row>
    <row r="949" spans="1:40" x14ac:dyDescent="0.2">
      <c r="A949" s="2">
        <v>123</v>
      </c>
      <c r="B949" t="s">
        <v>2575</v>
      </c>
      <c r="C949">
        <v>3.8627687841653824E-2</v>
      </c>
      <c r="D949">
        <v>0</v>
      </c>
      <c r="E949">
        <v>0</v>
      </c>
      <c r="H949" t="s">
        <v>1191</v>
      </c>
      <c r="I949" s="2">
        <v>7</v>
      </c>
      <c r="J949" s="2" t="s">
        <v>2512</v>
      </c>
      <c r="K949">
        <v>2020</v>
      </c>
      <c r="L949" s="2" t="s">
        <v>691</v>
      </c>
      <c r="M949" t="s">
        <v>897</v>
      </c>
      <c r="N949" s="31">
        <v>58</v>
      </c>
      <c r="O949">
        <f>38.5-19.5</f>
        <v>19</v>
      </c>
      <c r="P949" s="31" t="s">
        <v>2208</v>
      </c>
      <c r="R949" s="2" t="s">
        <v>89</v>
      </c>
      <c r="S949" s="4">
        <v>37.379849999999998</v>
      </c>
      <c r="T949" s="4">
        <v>-121.74673</v>
      </c>
      <c r="U949">
        <v>2353</v>
      </c>
      <c r="V949" s="6">
        <f t="shared" si="70"/>
        <v>717.19440000000009</v>
      </c>
      <c r="W949" t="s">
        <v>898</v>
      </c>
      <c r="X949" s="2" t="s">
        <v>2161</v>
      </c>
      <c r="Y949" s="1" t="s">
        <v>2604</v>
      </c>
      <c r="Z949" t="s">
        <v>2638</v>
      </c>
      <c r="AA949" t="s">
        <v>2623</v>
      </c>
      <c r="AL949">
        <f t="shared" si="65"/>
        <v>3.0902150273323059</v>
      </c>
      <c r="AM949">
        <f t="shared" si="66"/>
        <v>0</v>
      </c>
      <c r="AN949">
        <f t="shared" si="67"/>
        <v>0</v>
      </c>
    </row>
    <row r="950" spans="1:40" x14ac:dyDescent="0.2">
      <c r="A950" s="2">
        <v>123</v>
      </c>
      <c r="B950" t="s">
        <v>2576</v>
      </c>
      <c r="C950">
        <v>5.8053922653198242</v>
      </c>
      <c r="D950">
        <v>4.8668217658996582</v>
      </c>
      <c r="E950">
        <v>5.5844435691833496</v>
      </c>
      <c r="H950" t="s">
        <v>1191</v>
      </c>
      <c r="I950" s="2">
        <v>7</v>
      </c>
      <c r="J950" s="2" t="s">
        <v>2512</v>
      </c>
      <c r="K950">
        <v>2020</v>
      </c>
      <c r="L950" s="2" t="s">
        <v>691</v>
      </c>
      <c r="M950" t="s">
        <v>897</v>
      </c>
      <c r="N950" s="31">
        <v>62</v>
      </c>
      <c r="O950">
        <f>50-19.5</f>
        <v>30.5</v>
      </c>
      <c r="P950" s="31" t="s">
        <v>2208</v>
      </c>
      <c r="R950" s="2" t="s">
        <v>89</v>
      </c>
      <c r="S950" s="4">
        <v>37.379849999999998</v>
      </c>
      <c r="T950" s="4">
        <v>-121.74673</v>
      </c>
      <c r="U950">
        <v>2353</v>
      </c>
      <c r="V950" s="6">
        <f t="shared" si="70"/>
        <v>717.19440000000009</v>
      </c>
      <c r="W950" t="s">
        <v>898</v>
      </c>
      <c r="X950" s="2" t="s">
        <v>2161</v>
      </c>
      <c r="Y950" s="1" t="s">
        <v>2605</v>
      </c>
      <c r="Z950" s="2" t="s">
        <v>2639</v>
      </c>
      <c r="AA950" t="s">
        <v>2624</v>
      </c>
      <c r="AL950">
        <f t="shared" si="65"/>
        <v>464.43138122558594</v>
      </c>
      <c r="AM950">
        <f t="shared" si="66"/>
        <v>389.34574127197266</v>
      </c>
      <c r="AN950">
        <f t="shared" si="67"/>
        <v>446.75548553466797</v>
      </c>
    </row>
    <row r="951" spans="1:40" x14ac:dyDescent="0.2">
      <c r="A951" s="2">
        <v>123</v>
      </c>
      <c r="B951" t="s">
        <v>2577</v>
      </c>
      <c r="C951">
        <v>0.1478738933801651</v>
      </c>
      <c r="D951">
        <v>0.10377814620733261</v>
      </c>
      <c r="E951">
        <v>0</v>
      </c>
      <c r="H951" t="s">
        <v>1191</v>
      </c>
      <c r="I951" s="2">
        <v>7</v>
      </c>
      <c r="J951" s="2" t="s">
        <v>2512</v>
      </c>
      <c r="K951">
        <v>2020</v>
      </c>
      <c r="L951" s="2" t="s">
        <v>32</v>
      </c>
      <c r="M951" t="s">
        <v>897</v>
      </c>
      <c r="N951" s="31">
        <v>34.5</v>
      </c>
      <c r="O951">
        <f>24-19.5</f>
        <v>4.5</v>
      </c>
      <c r="P951" s="31" t="s">
        <v>2208</v>
      </c>
      <c r="Q951" s="2" t="s">
        <v>38</v>
      </c>
      <c r="R951" s="31" t="s">
        <v>39</v>
      </c>
      <c r="S951" s="4">
        <v>37.379849999999998</v>
      </c>
      <c r="T951" s="4">
        <v>-121.74673</v>
      </c>
      <c r="U951">
        <v>2353</v>
      </c>
      <c r="V951" s="6">
        <f t="shared" si="70"/>
        <v>717.19440000000009</v>
      </c>
      <c r="W951" t="s">
        <v>898</v>
      </c>
      <c r="X951" s="2" t="s">
        <v>2161</v>
      </c>
      <c r="Y951" s="1" t="s">
        <v>1096</v>
      </c>
      <c r="Z951" s="2" t="s">
        <v>2640</v>
      </c>
      <c r="AL951">
        <f t="shared" si="65"/>
        <v>11.829911470413208</v>
      </c>
      <c r="AM951">
        <f t="shared" si="66"/>
        <v>8.3022516965866089</v>
      </c>
      <c r="AN951">
        <f t="shared" si="67"/>
        <v>0</v>
      </c>
    </row>
    <row r="952" spans="1:40" x14ac:dyDescent="0.2">
      <c r="A952" s="2">
        <v>125</v>
      </c>
      <c r="B952" t="s">
        <v>2578</v>
      </c>
      <c r="C952">
        <v>0</v>
      </c>
      <c r="D952">
        <v>2.2338094189763069E-2</v>
      </c>
      <c r="E952">
        <v>0</v>
      </c>
      <c r="H952" t="s">
        <v>1191</v>
      </c>
      <c r="I952" s="2">
        <v>8</v>
      </c>
      <c r="J952" s="2" t="s">
        <v>2512</v>
      </c>
      <c r="K952">
        <v>2020</v>
      </c>
      <c r="L952" s="2" t="s">
        <v>32</v>
      </c>
      <c r="M952" t="s">
        <v>1319</v>
      </c>
      <c r="N952" s="31">
        <v>34</v>
      </c>
      <c r="O952">
        <f>23.5-19.5</f>
        <v>4</v>
      </c>
      <c r="P952" s="31" t="s">
        <v>2208</v>
      </c>
      <c r="Q952" t="s">
        <v>38</v>
      </c>
      <c r="R952" s="31" t="s">
        <v>39</v>
      </c>
      <c r="S952" s="4">
        <v>38.516800000000003</v>
      </c>
      <c r="T952" s="4">
        <v>-122.15206999999999</v>
      </c>
      <c r="U952">
        <v>1032</v>
      </c>
      <c r="V952" s="6">
        <f t="shared" si="70"/>
        <v>314.55360000000002</v>
      </c>
      <c r="W952" t="s">
        <v>2324</v>
      </c>
      <c r="X952" s="2" t="s">
        <v>2641</v>
      </c>
      <c r="Y952" s="1" t="s">
        <v>685</v>
      </c>
      <c r="Z952" s="2" t="s">
        <v>2642</v>
      </c>
      <c r="AA952" t="s">
        <v>2625</v>
      </c>
      <c r="AL952">
        <f t="shared" si="65"/>
        <v>0</v>
      </c>
      <c r="AM952">
        <f t="shared" si="66"/>
        <v>1.7870475351810455</v>
      </c>
      <c r="AN952">
        <f t="shared" si="67"/>
        <v>0</v>
      </c>
    </row>
    <row r="953" spans="1:40" x14ac:dyDescent="0.2">
      <c r="A953" s="2">
        <v>125</v>
      </c>
      <c r="B953" t="s">
        <v>2579</v>
      </c>
      <c r="C953">
        <v>2.2625667043030262E-4</v>
      </c>
      <c r="D953">
        <v>0</v>
      </c>
      <c r="E953">
        <v>3.5702858120203018E-2</v>
      </c>
      <c r="H953" t="s">
        <v>1191</v>
      </c>
      <c r="I953" s="2">
        <v>8</v>
      </c>
      <c r="J953" s="2" t="s">
        <v>2512</v>
      </c>
      <c r="K953">
        <v>2020</v>
      </c>
      <c r="L953" s="2" t="s">
        <v>32</v>
      </c>
      <c r="M953" t="s">
        <v>1319</v>
      </c>
      <c r="N953" s="31">
        <v>31</v>
      </c>
      <c r="O953">
        <f>23-19.5</f>
        <v>3.5</v>
      </c>
      <c r="P953" s="31" t="s">
        <v>2208</v>
      </c>
      <c r="Q953" t="s">
        <v>38</v>
      </c>
      <c r="R953" s="31" t="s">
        <v>39</v>
      </c>
      <c r="S953" s="4">
        <v>38.516800000000003</v>
      </c>
      <c r="T953" s="4">
        <v>-122.15206999999999</v>
      </c>
      <c r="U953">
        <v>1032</v>
      </c>
      <c r="V953" s="6">
        <f t="shared" ref="V953" si="71">U953*0.3048</f>
        <v>314.55360000000002</v>
      </c>
      <c r="W953" t="s">
        <v>2324</v>
      </c>
      <c r="X953" s="2" t="s">
        <v>2641</v>
      </c>
      <c r="Y953" s="1" t="s">
        <v>591</v>
      </c>
      <c r="Z953" s="2" t="s">
        <v>2643</v>
      </c>
      <c r="AA953" t="s">
        <v>1275</v>
      </c>
      <c r="AL953">
        <f t="shared" si="65"/>
        <v>1.810053363442421E-2</v>
      </c>
      <c r="AM953">
        <f t="shared" si="66"/>
        <v>0</v>
      </c>
      <c r="AN953">
        <f t="shared" si="67"/>
        <v>2.8562286496162415</v>
      </c>
    </row>
    <row r="954" spans="1:40" x14ac:dyDescent="0.2">
      <c r="A954" s="2">
        <v>125</v>
      </c>
      <c r="B954" t="s">
        <v>2580</v>
      </c>
      <c r="C954">
        <v>6.8614058196544647E-2</v>
      </c>
      <c r="D954">
        <v>0</v>
      </c>
      <c r="E954">
        <v>0</v>
      </c>
      <c r="H954" t="s">
        <v>1191</v>
      </c>
      <c r="I954" s="2">
        <v>8</v>
      </c>
      <c r="J954" s="2" t="s">
        <v>2512</v>
      </c>
      <c r="K954">
        <v>2020</v>
      </c>
      <c r="L954" s="2" t="s">
        <v>32</v>
      </c>
      <c r="M954" t="s">
        <v>1319</v>
      </c>
      <c r="N954" s="31">
        <v>36.5</v>
      </c>
      <c r="O954">
        <f>24.5-19.5</f>
        <v>5</v>
      </c>
      <c r="P954" s="31" t="s">
        <v>2208</v>
      </c>
      <c r="Q954" t="s">
        <v>38</v>
      </c>
      <c r="R954" s="31" t="s">
        <v>39</v>
      </c>
      <c r="S954" s="4">
        <v>38.516800000000003</v>
      </c>
      <c r="T954" s="4">
        <v>-122.15206999999999</v>
      </c>
      <c r="U954">
        <v>1032</v>
      </c>
      <c r="V954" s="6">
        <f t="shared" ref="V954:V955" si="72">U954*0.3048</f>
        <v>314.55360000000002</v>
      </c>
      <c r="W954" t="s">
        <v>2324</v>
      </c>
      <c r="X954" s="2" t="s">
        <v>2641</v>
      </c>
      <c r="Y954" s="1" t="s">
        <v>814</v>
      </c>
      <c r="Z954" s="2" t="s">
        <v>2644</v>
      </c>
      <c r="AA954" t="s">
        <v>1278</v>
      </c>
      <c r="AL954">
        <f t="shared" si="65"/>
        <v>5.4891246557235718</v>
      </c>
      <c r="AM954">
        <f t="shared" si="66"/>
        <v>0</v>
      </c>
      <c r="AN954">
        <f t="shared" si="67"/>
        <v>0</v>
      </c>
    </row>
    <row r="955" spans="1:40" x14ac:dyDescent="0.2">
      <c r="A955" s="2">
        <v>125</v>
      </c>
      <c r="B955" t="s">
        <v>2581</v>
      </c>
      <c r="C955">
        <v>8.2048150943592191E-4</v>
      </c>
      <c r="D955">
        <v>0</v>
      </c>
      <c r="E955">
        <v>4.7063216567039497E-2</v>
      </c>
      <c r="H955" t="s">
        <v>1191</v>
      </c>
      <c r="I955" s="2">
        <v>8</v>
      </c>
      <c r="J955" s="2" t="s">
        <v>2512</v>
      </c>
      <c r="K955">
        <v>2020</v>
      </c>
      <c r="L955" s="2" t="s">
        <v>32</v>
      </c>
      <c r="M955" t="s">
        <v>1319</v>
      </c>
      <c r="N955" s="31">
        <v>32</v>
      </c>
      <c r="O955">
        <f>23.5-19.5</f>
        <v>4</v>
      </c>
      <c r="P955" s="31" t="s">
        <v>2208</v>
      </c>
      <c r="Q955" t="s">
        <v>38</v>
      </c>
      <c r="R955" s="31" t="s">
        <v>39</v>
      </c>
      <c r="S955" s="4">
        <v>38.516800000000003</v>
      </c>
      <c r="T955" s="4">
        <v>-122.15206999999999</v>
      </c>
      <c r="U955">
        <v>1032</v>
      </c>
      <c r="V955" s="6">
        <f t="shared" si="72"/>
        <v>314.55360000000002</v>
      </c>
      <c r="W955" t="s">
        <v>2324</v>
      </c>
      <c r="X955" s="2" t="s">
        <v>2641</v>
      </c>
      <c r="Y955" s="1" t="s">
        <v>820</v>
      </c>
      <c r="Z955" t="s">
        <v>2645</v>
      </c>
      <c r="AA955" t="s">
        <v>1279</v>
      </c>
      <c r="AL955">
        <f t="shared" si="65"/>
        <v>6.5638520754873753E-2</v>
      </c>
      <c r="AM955">
        <f t="shared" si="66"/>
        <v>0</v>
      </c>
      <c r="AN955">
        <f t="shared" si="67"/>
        <v>3.7650573253631596</v>
      </c>
    </row>
    <row r="956" spans="1:40" x14ac:dyDescent="0.2">
      <c r="A956" s="2">
        <v>125</v>
      </c>
      <c r="B956" t="s">
        <v>2582</v>
      </c>
      <c r="C956">
        <v>0</v>
      </c>
      <c r="D956">
        <v>0</v>
      </c>
      <c r="E956">
        <v>0</v>
      </c>
      <c r="H956" t="s">
        <v>1191</v>
      </c>
      <c r="I956" s="2">
        <v>8</v>
      </c>
      <c r="J956" s="2" t="s">
        <v>2512</v>
      </c>
      <c r="K956">
        <v>2020</v>
      </c>
      <c r="L956" s="2" t="s">
        <v>32</v>
      </c>
      <c r="M956" t="s">
        <v>1319</v>
      </c>
      <c r="N956" s="31">
        <v>29</v>
      </c>
      <c r="O956">
        <f>22.5-19.5</f>
        <v>3</v>
      </c>
      <c r="P956" s="31" t="s">
        <v>2208</v>
      </c>
      <c r="Q956" t="s">
        <v>38</v>
      </c>
      <c r="R956" s="31" t="s">
        <v>39</v>
      </c>
      <c r="S956" s="4">
        <v>38.516800000000003</v>
      </c>
      <c r="T956" s="4">
        <v>-122.15206999999999</v>
      </c>
      <c r="U956">
        <v>1032</v>
      </c>
      <c r="V956" s="6">
        <f t="shared" ref="V956:V958" si="73">U956*0.3048</f>
        <v>314.55360000000002</v>
      </c>
      <c r="W956" t="s">
        <v>2324</v>
      </c>
      <c r="X956" s="2" t="s">
        <v>2641</v>
      </c>
      <c r="Y956" s="1" t="s">
        <v>741</v>
      </c>
      <c r="Z956" s="2" t="s">
        <v>2646</v>
      </c>
      <c r="AA956" t="s">
        <v>1280</v>
      </c>
      <c r="AL956">
        <f t="shared" si="65"/>
        <v>0</v>
      </c>
      <c r="AM956">
        <f t="shared" si="66"/>
        <v>0</v>
      </c>
      <c r="AN956">
        <f t="shared" si="67"/>
        <v>0</v>
      </c>
    </row>
    <row r="957" spans="1:40" x14ac:dyDescent="0.2">
      <c r="A957" s="2">
        <v>125</v>
      </c>
      <c r="B957" t="s">
        <v>2583</v>
      </c>
      <c r="C957">
        <v>0</v>
      </c>
      <c r="D957">
        <v>0</v>
      </c>
      <c r="E957">
        <v>0</v>
      </c>
      <c r="H957" t="s">
        <v>1191</v>
      </c>
      <c r="I957" s="2">
        <v>8</v>
      </c>
      <c r="J957" s="2" t="s">
        <v>2512</v>
      </c>
      <c r="K957">
        <v>2020</v>
      </c>
      <c r="L957" s="2" t="s">
        <v>32</v>
      </c>
      <c r="M957" t="s">
        <v>1319</v>
      </c>
      <c r="N957" s="31">
        <v>32.5</v>
      </c>
      <c r="O957">
        <f>23.5-19.5</f>
        <v>4</v>
      </c>
      <c r="P957" s="31" t="s">
        <v>2208</v>
      </c>
      <c r="Q957" t="s">
        <v>38</v>
      </c>
      <c r="R957" s="31" t="s">
        <v>39</v>
      </c>
      <c r="S957" s="4">
        <v>38.516800000000003</v>
      </c>
      <c r="T957" s="4">
        <v>-122.15206999999999</v>
      </c>
      <c r="U957">
        <v>1032</v>
      </c>
      <c r="V957" s="6">
        <f t="shared" si="73"/>
        <v>314.55360000000002</v>
      </c>
      <c r="W957" t="s">
        <v>2324</v>
      </c>
      <c r="X957" s="2" t="s">
        <v>2641</v>
      </c>
      <c r="Y957" s="1" t="s">
        <v>1333</v>
      </c>
      <c r="Z957" s="2" t="s">
        <v>2647</v>
      </c>
      <c r="AA957" t="s">
        <v>1282</v>
      </c>
      <c r="AL957">
        <f t="shared" si="65"/>
        <v>0</v>
      </c>
      <c r="AM957">
        <f t="shared" si="66"/>
        <v>0</v>
      </c>
      <c r="AN957">
        <f t="shared" si="67"/>
        <v>0</v>
      </c>
    </row>
    <row r="958" spans="1:40" x14ac:dyDescent="0.2">
      <c r="A958" s="2">
        <v>127</v>
      </c>
      <c r="B958" t="s">
        <v>2584</v>
      </c>
      <c r="C958">
        <v>2.1544852256774902</v>
      </c>
      <c r="D958">
        <v>1.2220717668533325</v>
      </c>
      <c r="E958">
        <v>1.4865295886993408</v>
      </c>
      <c r="H958" t="s">
        <v>1191</v>
      </c>
      <c r="I958" s="2">
        <v>9</v>
      </c>
      <c r="J958" s="2" t="s">
        <v>2512</v>
      </c>
      <c r="K958">
        <v>2020</v>
      </c>
      <c r="L958" s="2" t="s">
        <v>758</v>
      </c>
      <c r="M958" t="s">
        <v>1326</v>
      </c>
      <c r="N958" s="31">
        <v>30</v>
      </c>
      <c r="O958">
        <f>23.5-19.5</f>
        <v>4</v>
      </c>
      <c r="P958" s="31" t="s">
        <v>2208</v>
      </c>
      <c r="R958" t="s">
        <v>89</v>
      </c>
      <c r="S958" s="4">
        <v>38.495170000000002</v>
      </c>
      <c r="T958" s="4">
        <v>-122.10069</v>
      </c>
      <c r="U958">
        <v>727</v>
      </c>
      <c r="V958" s="6">
        <f t="shared" si="73"/>
        <v>221.58960000000002</v>
      </c>
      <c r="W958" t="s">
        <v>2015</v>
      </c>
      <c r="X958" s="2" t="s">
        <v>2384</v>
      </c>
      <c r="Y958" s="1" t="s">
        <v>2437</v>
      </c>
      <c r="Z958" s="2" t="s">
        <v>2648</v>
      </c>
      <c r="AA958" t="s">
        <v>2626</v>
      </c>
      <c r="AL958">
        <f t="shared" si="65"/>
        <v>172.35881805419922</v>
      </c>
      <c r="AM958">
        <f t="shared" si="66"/>
        <v>97.765741348266602</v>
      </c>
      <c r="AN958">
        <f t="shared" si="67"/>
        <v>118.92236709594727</v>
      </c>
    </row>
    <row r="959" spans="1:40" x14ac:dyDescent="0.2">
      <c r="A959" s="2">
        <v>127</v>
      </c>
      <c r="B959" t="s">
        <v>2585</v>
      </c>
      <c r="C959">
        <v>0</v>
      </c>
      <c r="D959">
        <v>0</v>
      </c>
      <c r="E959">
        <v>0</v>
      </c>
      <c r="H959" t="s">
        <v>1191</v>
      </c>
      <c r="I959" s="2">
        <v>9</v>
      </c>
      <c r="J959" s="2" t="s">
        <v>2512</v>
      </c>
      <c r="K959">
        <v>2020</v>
      </c>
      <c r="L959" s="2" t="s">
        <v>758</v>
      </c>
      <c r="M959" t="s">
        <v>1326</v>
      </c>
      <c r="N959" s="31">
        <v>25.5</v>
      </c>
      <c r="O959">
        <f>22-19.5</f>
        <v>2.5</v>
      </c>
      <c r="P959" s="31" t="s">
        <v>2208</v>
      </c>
      <c r="R959" t="s">
        <v>89</v>
      </c>
      <c r="S959" s="4">
        <v>38.495170000000002</v>
      </c>
      <c r="T959" s="4">
        <v>-122.10069</v>
      </c>
      <c r="U959">
        <v>727</v>
      </c>
      <c r="V959" s="6">
        <f t="shared" ref="V959:V1020" si="74">U959*0.3048</f>
        <v>221.58960000000002</v>
      </c>
      <c r="W959" t="s">
        <v>2015</v>
      </c>
      <c r="X959" s="2" t="s">
        <v>2384</v>
      </c>
      <c r="Y959" s="1" t="s">
        <v>2433</v>
      </c>
      <c r="Z959" s="2" t="s">
        <v>2649</v>
      </c>
      <c r="AA959" t="s">
        <v>2627</v>
      </c>
      <c r="AL959">
        <f t="shared" si="65"/>
        <v>0</v>
      </c>
      <c r="AM959">
        <f t="shared" si="66"/>
        <v>0</v>
      </c>
      <c r="AN959">
        <f t="shared" si="67"/>
        <v>0</v>
      </c>
    </row>
    <row r="960" spans="1:40" x14ac:dyDescent="0.2">
      <c r="A960" s="2">
        <v>127</v>
      </c>
      <c r="B960" t="s">
        <v>2586</v>
      </c>
      <c r="C960">
        <v>0</v>
      </c>
      <c r="D960">
        <v>2.2556539624929428E-2</v>
      </c>
      <c r="E960">
        <v>0</v>
      </c>
      <c r="H960" t="s">
        <v>1191</v>
      </c>
      <c r="I960" s="2">
        <v>9</v>
      </c>
      <c r="J960" s="2" t="s">
        <v>2512</v>
      </c>
      <c r="K960">
        <v>2020</v>
      </c>
      <c r="L960" s="2" t="s">
        <v>758</v>
      </c>
      <c r="M960" t="s">
        <v>1326</v>
      </c>
      <c r="N960" s="31">
        <v>33.5</v>
      </c>
      <c r="O960">
        <f>23.5-19.5</f>
        <v>4</v>
      </c>
      <c r="P960" s="31" t="s">
        <v>2208</v>
      </c>
      <c r="R960" t="s">
        <v>89</v>
      </c>
      <c r="S960" s="4">
        <v>38.495170000000002</v>
      </c>
      <c r="T960" s="4">
        <v>-122.10069</v>
      </c>
      <c r="U960">
        <v>727</v>
      </c>
      <c r="V960" s="6">
        <f t="shared" si="74"/>
        <v>221.58960000000002</v>
      </c>
      <c r="W960" t="s">
        <v>2015</v>
      </c>
      <c r="X960" s="2" t="s">
        <v>2384</v>
      </c>
      <c r="Y960" s="1" t="s">
        <v>2606</v>
      </c>
      <c r="Z960" s="2" t="s">
        <v>2650</v>
      </c>
      <c r="AA960" t="s">
        <v>2628</v>
      </c>
      <c r="AL960">
        <f t="shared" si="65"/>
        <v>0</v>
      </c>
      <c r="AM960">
        <f t="shared" si="66"/>
        <v>1.8045231699943542</v>
      </c>
      <c r="AN960">
        <f t="shared" si="67"/>
        <v>0</v>
      </c>
    </row>
    <row r="961" spans="1:40" x14ac:dyDescent="0.2">
      <c r="A961" s="2">
        <v>127</v>
      </c>
      <c r="B961" t="s">
        <v>2587</v>
      </c>
      <c r="C961">
        <v>1.72110915184021</v>
      </c>
      <c r="D961">
        <v>0</v>
      </c>
      <c r="E961">
        <v>0</v>
      </c>
      <c r="H961" t="s">
        <v>1191</v>
      </c>
      <c r="I961" s="2">
        <v>9</v>
      </c>
      <c r="J961" s="2" t="s">
        <v>2512</v>
      </c>
      <c r="K961">
        <v>2020</v>
      </c>
      <c r="L961" s="2" t="s">
        <v>758</v>
      </c>
      <c r="M961" t="s">
        <v>1326</v>
      </c>
      <c r="N961" s="31">
        <v>26.5</v>
      </c>
      <c r="O961">
        <f>22.5-19.5</f>
        <v>3</v>
      </c>
      <c r="P961" s="31" t="s">
        <v>2208</v>
      </c>
      <c r="R961" t="s">
        <v>89</v>
      </c>
      <c r="S961" s="4">
        <v>38.495449999999998</v>
      </c>
      <c r="T961" s="4">
        <v>-122.10012999999999</v>
      </c>
      <c r="U961">
        <v>615</v>
      </c>
      <c r="V961" s="6">
        <f t="shared" si="74"/>
        <v>187.452</v>
      </c>
      <c r="W961" t="s">
        <v>2015</v>
      </c>
      <c r="X961" s="2" t="s">
        <v>2384</v>
      </c>
      <c r="Y961" s="1" t="s">
        <v>2441</v>
      </c>
      <c r="Z961" s="2" t="s">
        <v>2651</v>
      </c>
      <c r="AA961" t="s">
        <v>2629</v>
      </c>
      <c r="AL961">
        <f t="shared" si="65"/>
        <v>137.6887321472168</v>
      </c>
      <c r="AM961">
        <f t="shared" si="66"/>
        <v>0</v>
      </c>
      <c r="AN961">
        <f t="shared" si="67"/>
        <v>0</v>
      </c>
    </row>
    <row r="962" spans="1:40" x14ac:dyDescent="0.2">
      <c r="A962" s="2">
        <v>128</v>
      </c>
      <c r="B962" t="s">
        <v>2588</v>
      </c>
      <c r="C962">
        <v>0.45869112014770508</v>
      </c>
      <c r="D962">
        <v>0.23506586253643036</v>
      </c>
      <c r="E962">
        <v>0.86683869361877441</v>
      </c>
      <c r="H962" t="s">
        <v>1191</v>
      </c>
      <c r="I962" s="2">
        <v>9</v>
      </c>
      <c r="J962" s="2" t="s">
        <v>2512</v>
      </c>
      <c r="K962">
        <v>2020</v>
      </c>
      <c r="L962" s="2" t="s">
        <v>758</v>
      </c>
      <c r="M962" t="s">
        <v>1326</v>
      </c>
      <c r="N962" s="31">
        <v>32</v>
      </c>
      <c r="O962">
        <f>24-19.5</f>
        <v>4.5</v>
      </c>
      <c r="P962" s="31" t="s">
        <v>2208</v>
      </c>
      <c r="R962" t="s">
        <v>89</v>
      </c>
      <c r="S962" s="44"/>
      <c r="T962" s="44"/>
      <c r="U962" s="3"/>
      <c r="V962" s="54"/>
      <c r="W962" t="s">
        <v>2015</v>
      </c>
      <c r="X962" t="s">
        <v>2387</v>
      </c>
      <c r="Y962" s="1" t="s">
        <v>891</v>
      </c>
      <c r="Z962" s="2" t="s">
        <v>2652</v>
      </c>
      <c r="AA962" t="s">
        <v>2630</v>
      </c>
      <c r="AL962">
        <f t="shared" si="65"/>
        <v>36.695289611816406</v>
      </c>
      <c r="AM962">
        <f t="shared" si="66"/>
        <v>18.805269002914429</v>
      </c>
      <c r="AN962">
        <f t="shared" si="67"/>
        <v>69.347095489501953</v>
      </c>
    </row>
    <row r="963" spans="1:40" x14ac:dyDescent="0.2">
      <c r="A963" s="2">
        <v>128</v>
      </c>
      <c r="B963" t="s">
        <v>2589</v>
      </c>
      <c r="C963">
        <v>0.11490164697170258</v>
      </c>
      <c r="D963">
        <v>0</v>
      </c>
      <c r="E963">
        <v>0</v>
      </c>
      <c r="H963" t="s">
        <v>1191</v>
      </c>
      <c r="I963" s="2">
        <v>9</v>
      </c>
      <c r="J963" s="2" t="s">
        <v>2512</v>
      </c>
      <c r="K963">
        <v>2020</v>
      </c>
      <c r="L963" s="2" t="s">
        <v>32</v>
      </c>
      <c r="M963" t="s">
        <v>1326</v>
      </c>
      <c r="N963" s="31">
        <v>35</v>
      </c>
      <c r="O963">
        <f>24-19.5</f>
        <v>4.5</v>
      </c>
      <c r="P963" s="31" t="s">
        <v>2208</v>
      </c>
      <c r="Q963" t="s">
        <v>38</v>
      </c>
      <c r="R963" s="31" t="s">
        <v>39</v>
      </c>
      <c r="S963" s="44"/>
      <c r="T963" s="44"/>
      <c r="U963" s="3"/>
      <c r="V963" s="54"/>
      <c r="W963" t="s">
        <v>2015</v>
      </c>
      <c r="X963" t="s">
        <v>2387</v>
      </c>
      <c r="Y963" s="1" t="s">
        <v>1114</v>
      </c>
      <c r="Z963" s="2" t="s">
        <v>2653</v>
      </c>
      <c r="AA963" t="s">
        <v>1287</v>
      </c>
      <c r="AL963">
        <f t="shared" si="65"/>
        <v>9.1921317577362061</v>
      </c>
      <c r="AM963">
        <f t="shared" si="66"/>
        <v>0</v>
      </c>
      <c r="AN963">
        <f t="shared" si="67"/>
        <v>0</v>
      </c>
    </row>
    <row r="964" spans="1:40" x14ac:dyDescent="0.2">
      <c r="A964" s="2">
        <v>130</v>
      </c>
      <c r="B964" t="s">
        <v>2668</v>
      </c>
      <c r="C964">
        <v>0.32827869057655334</v>
      </c>
      <c r="D964">
        <v>0</v>
      </c>
      <c r="E964">
        <v>0</v>
      </c>
      <c r="H964" t="s">
        <v>1191</v>
      </c>
      <c r="I964" s="2">
        <v>10</v>
      </c>
      <c r="J964" s="2" t="s">
        <v>2512</v>
      </c>
      <c r="K964">
        <v>2020</v>
      </c>
      <c r="L964" s="2" t="s">
        <v>33</v>
      </c>
      <c r="M964" t="s">
        <v>578</v>
      </c>
      <c r="N964" s="31">
        <v>89</v>
      </c>
      <c r="O964" t="s">
        <v>43</v>
      </c>
      <c r="P964" s="31" t="s">
        <v>2208</v>
      </c>
      <c r="Q964" s="2" t="s">
        <v>38</v>
      </c>
      <c r="R964" s="31" t="s">
        <v>39</v>
      </c>
      <c r="S964" s="4">
        <v>36.3857</v>
      </c>
      <c r="T964" s="4">
        <v>-121.55540999999999</v>
      </c>
      <c r="U964">
        <v>1692</v>
      </c>
      <c r="V964" s="6">
        <f t="shared" si="74"/>
        <v>515.72160000000008</v>
      </c>
      <c r="W964" t="s">
        <v>2681</v>
      </c>
      <c r="X964" t="s">
        <v>2656</v>
      </c>
      <c r="Y964" s="1" t="s">
        <v>1620</v>
      </c>
      <c r="Z964" s="2" t="s">
        <v>2686</v>
      </c>
      <c r="AA964" s="2" t="s">
        <v>1296</v>
      </c>
      <c r="AL964">
        <f t="shared" si="65"/>
        <v>26.262295246124268</v>
      </c>
      <c r="AM964">
        <f t="shared" si="66"/>
        <v>0</v>
      </c>
      <c r="AN964">
        <f t="shared" si="67"/>
        <v>0</v>
      </c>
    </row>
    <row r="965" spans="1:40" x14ac:dyDescent="0.2">
      <c r="A965" s="2">
        <v>130</v>
      </c>
      <c r="B965" t="s">
        <v>2669</v>
      </c>
      <c r="C965">
        <v>10.678440093994141</v>
      </c>
      <c r="D965">
        <v>9.3223323822021484</v>
      </c>
      <c r="E965">
        <v>10.523468017578125</v>
      </c>
      <c r="H965" t="s">
        <v>1191</v>
      </c>
      <c r="I965" s="2">
        <v>10</v>
      </c>
      <c r="J965" s="2" t="s">
        <v>2512</v>
      </c>
      <c r="K965">
        <v>2020</v>
      </c>
      <c r="L965" s="2" t="s">
        <v>33</v>
      </c>
      <c r="M965" t="s">
        <v>578</v>
      </c>
      <c r="N965" s="31">
        <v>70</v>
      </c>
      <c r="O965">
        <f>66.5-19.5</f>
        <v>47</v>
      </c>
      <c r="P965" s="31" t="s">
        <v>2208</v>
      </c>
      <c r="Q965" s="45" t="s">
        <v>42</v>
      </c>
      <c r="R965" s="31" t="s">
        <v>39</v>
      </c>
      <c r="S965" s="4">
        <v>36.385930000000002</v>
      </c>
      <c r="T965" s="4">
        <v>-121.55549999999999</v>
      </c>
      <c r="U965">
        <v>1694</v>
      </c>
      <c r="V965" s="6">
        <f t="shared" si="74"/>
        <v>516.33120000000008</v>
      </c>
      <c r="W965" t="s">
        <v>898</v>
      </c>
      <c r="X965" t="s">
        <v>2656</v>
      </c>
      <c r="Y965" s="1" t="s">
        <v>2682</v>
      </c>
      <c r="Z965" s="2" t="s">
        <v>2688</v>
      </c>
      <c r="AA965" s="2" t="s">
        <v>2698</v>
      </c>
      <c r="AL965">
        <f t="shared" si="65"/>
        <v>854.27520751953125</v>
      </c>
      <c r="AM965">
        <f t="shared" si="66"/>
        <v>745.78659057617188</v>
      </c>
      <c r="AN965">
        <f t="shared" si="67"/>
        <v>841.87744140625</v>
      </c>
    </row>
    <row r="966" spans="1:40" x14ac:dyDescent="0.2">
      <c r="A966" s="2">
        <v>130</v>
      </c>
      <c r="B966" t="s">
        <v>2670</v>
      </c>
      <c r="C966">
        <v>2.5538718700408936</v>
      </c>
      <c r="D966">
        <v>1.8461676836013794</v>
      </c>
      <c r="E966">
        <v>2.9319109916687012</v>
      </c>
      <c r="H966" t="s">
        <v>1191</v>
      </c>
      <c r="I966" s="2">
        <v>10</v>
      </c>
      <c r="J966" s="2" t="s">
        <v>2512</v>
      </c>
      <c r="K966">
        <v>2020</v>
      </c>
      <c r="L966" s="2" t="s">
        <v>33</v>
      </c>
      <c r="M966" t="s">
        <v>578</v>
      </c>
      <c r="N966" s="31">
        <v>73.5</v>
      </c>
      <c r="O966">
        <f>77-19.5</f>
        <v>57.5</v>
      </c>
      <c r="P966" s="31" t="s">
        <v>2208</v>
      </c>
      <c r="Q966" s="45" t="s">
        <v>42</v>
      </c>
      <c r="R966" s="31" t="s">
        <v>39</v>
      </c>
      <c r="S966" s="44"/>
      <c r="T966" s="44"/>
      <c r="U966" s="3"/>
      <c r="V966" s="54"/>
      <c r="W966" t="s">
        <v>898</v>
      </c>
      <c r="X966" t="s">
        <v>2656</v>
      </c>
      <c r="Y966" s="1" t="s">
        <v>2012</v>
      </c>
      <c r="Z966" s="2" t="s">
        <v>2689</v>
      </c>
      <c r="AA966" s="2" t="s">
        <v>2699</v>
      </c>
      <c r="AL966">
        <f t="shared" si="65"/>
        <v>204.30974960327148</v>
      </c>
      <c r="AM966">
        <f t="shared" si="66"/>
        <v>147.69341468811035</v>
      </c>
      <c r="AN966">
        <f t="shared" si="67"/>
        <v>234.55287933349609</v>
      </c>
    </row>
    <row r="967" spans="1:40" x14ac:dyDescent="0.2">
      <c r="A967" s="2">
        <v>130</v>
      </c>
      <c r="B967" t="s">
        <v>2671</v>
      </c>
      <c r="C967">
        <v>5.5881522595882416E-2</v>
      </c>
      <c r="D967">
        <v>0</v>
      </c>
      <c r="E967">
        <v>0</v>
      </c>
      <c r="H967" t="s">
        <v>1191</v>
      </c>
      <c r="I967" s="2">
        <v>10</v>
      </c>
      <c r="J967" s="2" t="s">
        <v>2512</v>
      </c>
      <c r="K967">
        <v>2020</v>
      </c>
      <c r="L967" s="2" t="s">
        <v>32</v>
      </c>
      <c r="M967" t="s">
        <v>578</v>
      </c>
      <c r="N967" s="31">
        <v>31.5</v>
      </c>
      <c r="O967">
        <f>22.5-19.5</f>
        <v>3</v>
      </c>
      <c r="P967" s="31" t="s">
        <v>2208</v>
      </c>
      <c r="Q967" t="s">
        <v>38</v>
      </c>
      <c r="R967" s="31" t="s">
        <v>39</v>
      </c>
      <c r="S967" s="44"/>
      <c r="T967" s="44"/>
      <c r="U967" s="3"/>
      <c r="V967" s="54"/>
      <c r="W967" t="s">
        <v>898</v>
      </c>
      <c r="X967" t="s">
        <v>2656</v>
      </c>
      <c r="Y967" s="1" t="s">
        <v>2683</v>
      </c>
      <c r="Z967" s="2" t="s">
        <v>2690</v>
      </c>
      <c r="AA967" s="2" t="s">
        <v>2700</v>
      </c>
      <c r="AL967">
        <f t="shared" si="65"/>
        <v>4.4705218076705933</v>
      </c>
      <c r="AM967">
        <f t="shared" si="66"/>
        <v>0</v>
      </c>
      <c r="AN967">
        <f t="shared" si="67"/>
        <v>0</v>
      </c>
    </row>
    <row r="968" spans="1:40" x14ac:dyDescent="0.2">
      <c r="A968" s="2">
        <v>130</v>
      </c>
      <c r="B968" t="s">
        <v>2672</v>
      </c>
      <c r="C968">
        <v>0</v>
      </c>
      <c r="D968">
        <v>0</v>
      </c>
      <c r="E968">
        <v>0</v>
      </c>
      <c r="H968" t="s">
        <v>1191</v>
      </c>
      <c r="I968" s="2">
        <v>10</v>
      </c>
      <c r="J968" s="2" t="s">
        <v>2512</v>
      </c>
      <c r="K968">
        <v>2020</v>
      </c>
      <c r="L968" s="2" t="s">
        <v>32</v>
      </c>
      <c r="M968" t="s">
        <v>578</v>
      </c>
      <c r="N968" s="31">
        <v>34</v>
      </c>
      <c r="O968">
        <f>23.5-19.5</f>
        <v>4</v>
      </c>
      <c r="P968" s="31" t="s">
        <v>2208</v>
      </c>
      <c r="Q968" t="s">
        <v>38</v>
      </c>
      <c r="R968" s="31" t="s">
        <v>39</v>
      </c>
      <c r="S968" s="44"/>
      <c r="T968" s="44"/>
      <c r="U968" s="3"/>
      <c r="V968" s="54"/>
      <c r="W968" t="s">
        <v>898</v>
      </c>
      <c r="X968" t="s">
        <v>2656</v>
      </c>
      <c r="Y968" s="1" t="s">
        <v>2684</v>
      </c>
      <c r="Z968" s="2" t="s">
        <v>2691</v>
      </c>
      <c r="AA968" s="2" t="s">
        <v>2701</v>
      </c>
      <c r="AL968">
        <f t="shared" si="65"/>
        <v>0</v>
      </c>
      <c r="AM968">
        <f t="shared" si="66"/>
        <v>0</v>
      </c>
      <c r="AN968">
        <f t="shared" si="67"/>
        <v>0</v>
      </c>
    </row>
    <row r="969" spans="1:40" x14ac:dyDescent="0.2">
      <c r="A969" s="2">
        <v>130</v>
      </c>
      <c r="B969" t="s">
        <v>2673</v>
      </c>
      <c r="C969">
        <v>0.19197139143943787</v>
      </c>
      <c r="D969">
        <v>4.6501610428094864E-2</v>
      </c>
      <c r="E969">
        <v>0</v>
      </c>
      <c r="H969" t="s">
        <v>1191</v>
      </c>
      <c r="I969" s="2">
        <v>10</v>
      </c>
      <c r="J969" s="2" t="s">
        <v>2512</v>
      </c>
      <c r="K969">
        <v>2020</v>
      </c>
      <c r="L969" s="2" t="s">
        <v>32</v>
      </c>
      <c r="M969" t="s">
        <v>578</v>
      </c>
      <c r="N969" s="31">
        <v>34.5</v>
      </c>
      <c r="O969">
        <f>24.5-19.5</f>
        <v>5</v>
      </c>
      <c r="P969" s="31" t="s">
        <v>2208</v>
      </c>
      <c r="Q969" t="s">
        <v>38</v>
      </c>
      <c r="R969" s="31" t="s">
        <v>39</v>
      </c>
      <c r="S969" s="44"/>
      <c r="T969" s="44"/>
      <c r="U969" s="3"/>
      <c r="V969" s="54"/>
      <c r="W969" t="s">
        <v>898</v>
      </c>
      <c r="X969" t="s">
        <v>2656</v>
      </c>
      <c r="Y969" s="1" t="s">
        <v>685</v>
      </c>
      <c r="Z969" s="2" t="s">
        <v>2692</v>
      </c>
      <c r="AA969" s="2" t="s">
        <v>2702</v>
      </c>
      <c r="AL969">
        <f t="shared" si="65"/>
        <v>15.357711315155029</v>
      </c>
      <c r="AM969">
        <f t="shared" si="66"/>
        <v>3.7201288342475891</v>
      </c>
      <c r="AN969">
        <f t="shared" si="67"/>
        <v>0</v>
      </c>
    </row>
    <row r="970" spans="1:40" x14ac:dyDescent="0.2">
      <c r="A970" s="2">
        <v>130</v>
      </c>
      <c r="B970" t="s">
        <v>2674</v>
      </c>
      <c r="C970">
        <v>18.217243194580078</v>
      </c>
      <c r="D970">
        <v>16.568967819213867</v>
      </c>
      <c r="E970">
        <v>20.248445510864258</v>
      </c>
      <c r="H970" t="s">
        <v>1191</v>
      </c>
      <c r="I970" s="2">
        <v>10</v>
      </c>
      <c r="J970" s="2" t="s">
        <v>2512</v>
      </c>
      <c r="K970">
        <v>2020</v>
      </c>
      <c r="L970" s="2" t="s">
        <v>32</v>
      </c>
      <c r="M970" t="s">
        <v>578</v>
      </c>
      <c r="N970" s="31">
        <v>39.5</v>
      </c>
      <c r="O970">
        <f>26.5-19.5</f>
        <v>7</v>
      </c>
      <c r="P970" s="31" t="s">
        <v>2208</v>
      </c>
      <c r="Q970" t="s">
        <v>38</v>
      </c>
      <c r="R970" s="31" t="s">
        <v>39</v>
      </c>
      <c r="S970" s="4">
        <v>36.385930000000002</v>
      </c>
      <c r="T970" s="4">
        <v>-121.55552</v>
      </c>
      <c r="U970">
        <v>1693</v>
      </c>
      <c r="V970" s="6">
        <f t="shared" si="74"/>
        <v>516.02640000000008</v>
      </c>
      <c r="W970" t="s">
        <v>898</v>
      </c>
      <c r="X970" t="s">
        <v>2656</v>
      </c>
      <c r="Y970" s="1" t="s">
        <v>1623</v>
      </c>
      <c r="Z970" s="2" t="s">
        <v>2693</v>
      </c>
      <c r="AA970" s="2" t="s">
        <v>2703</v>
      </c>
      <c r="AL970">
        <f t="shared" si="65"/>
        <v>1457.3794555664062</v>
      </c>
      <c r="AM970">
        <f t="shared" si="66"/>
        <v>1325.5174255371094</v>
      </c>
      <c r="AN970">
        <f t="shared" si="67"/>
        <v>1619.8756408691406</v>
      </c>
    </row>
    <row r="971" spans="1:40" x14ac:dyDescent="0.2">
      <c r="A971" s="2">
        <v>130</v>
      </c>
      <c r="B971" t="s">
        <v>2675</v>
      </c>
      <c r="C971">
        <v>5.0725298933684826E-5</v>
      </c>
      <c r="D971">
        <v>0</v>
      </c>
      <c r="E971">
        <v>0</v>
      </c>
      <c r="H971" t="s">
        <v>1191</v>
      </c>
      <c r="I971" s="2">
        <v>10</v>
      </c>
      <c r="J971" s="2" t="s">
        <v>2512</v>
      </c>
      <c r="K971">
        <v>2020</v>
      </c>
      <c r="L971" s="2" t="s">
        <v>32</v>
      </c>
      <c r="M971" t="s">
        <v>578</v>
      </c>
      <c r="N971" s="31">
        <v>34</v>
      </c>
      <c r="O971">
        <f>23-19.5</f>
        <v>3.5</v>
      </c>
      <c r="P971" s="31" t="s">
        <v>2208</v>
      </c>
      <c r="Q971" t="s">
        <v>38</v>
      </c>
      <c r="R971" s="31" t="s">
        <v>39</v>
      </c>
      <c r="S971" s="5">
        <v>36.38597</v>
      </c>
      <c r="T971" s="5">
        <v>-121.55546</v>
      </c>
      <c r="U971" s="2">
        <v>1695</v>
      </c>
      <c r="V971" s="6">
        <f t="shared" si="74"/>
        <v>516.63600000000008</v>
      </c>
      <c r="W971" t="s">
        <v>898</v>
      </c>
      <c r="X971" t="s">
        <v>2656</v>
      </c>
      <c r="Y971" s="1" t="s">
        <v>2458</v>
      </c>
      <c r="Z971" s="2" t="s">
        <v>2694</v>
      </c>
      <c r="AA971" s="2" t="s">
        <v>297</v>
      </c>
      <c r="AL971">
        <f t="shared" si="65"/>
        <v>4.0580239146947861E-3</v>
      </c>
      <c r="AM971">
        <f t="shared" si="66"/>
        <v>0</v>
      </c>
      <c r="AN971">
        <f t="shared" si="67"/>
        <v>0</v>
      </c>
    </row>
    <row r="972" spans="1:40" x14ac:dyDescent="0.2">
      <c r="A972" s="2">
        <v>130</v>
      </c>
      <c r="B972" t="s">
        <v>2676</v>
      </c>
      <c r="C972">
        <v>4.4414443969726562</v>
      </c>
      <c r="D972">
        <v>2.858729362487793</v>
      </c>
      <c r="E972">
        <v>3.679419994354248</v>
      </c>
      <c r="H972" t="s">
        <v>1191</v>
      </c>
      <c r="I972" s="2">
        <v>10</v>
      </c>
      <c r="J972" s="2" t="s">
        <v>2512</v>
      </c>
      <c r="K972">
        <v>2020</v>
      </c>
      <c r="L972" s="2" t="s">
        <v>32</v>
      </c>
      <c r="M972" t="s">
        <v>578</v>
      </c>
      <c r="N972" s="31">
        <v>35</v>
      </c>
      <c r="O972">
        <f>23.5-19.5</f>
        <v>4</v>
      </c>
      <c r="P972" s="31" t="s">
        <v>2208</v>
      </c>
      <c r="Q972" t="s">
        <v>38</v>
      </c>
      <c r="R972" s="31" t="s">
        <v>39</v>
      </c>
      <c r="S972" s="5">
        <v>36.385939999999998</v>
      </c>
      <c r="T972" s="5">
        <v>-121.55551</v>
      </c>
      <c r="U972" s="2">
        <v>1694</v>
      </c>
      <c r="V972" s="6">
        <f t="shared" si="74"/>
        <v>516.33120000000008</v>
      </c>
      <c r="W972" t="s">
        <v>898</v>
      </c>
      <c r="X972" t="s">
        <v>2656</v>
      </c>
      <c r="Y972" s="1" t="s">
        <v>591</v>
      </c>
      <c r="Z972" s="2" t="s">
        <v>2695</v>
      </c>
      <c r="AA972" s="2" t="s">
        <v>2704</v>
      </c>
      <c r="AL972">
        <f t="shared" si="65"/>
        <v>355.3155517578125</v>
      </c>
      <c r="AM972">
        <f t="shared" si="66"/>
        <v>228.69834899902344</v>
      </c>
      <c r="AN972">
        <f t="shared" si="67"/>
        <v>294.35359954833984</v>
      </c>
    </row>
    <row r="973" spans="1:40" x14ac:dyDescent="0.2">
      <c r="A973" s="2">
        <v>130</v>
      </c>
      <c r="B973" t="s">
        <v>2677</v>
      </c>
      <c r="C973">
        <v>41.713531494140625</v>
      </c>
      <c r="D973">
        <v>41.768726348876953</v>
      </c>
      <c r="E973">
        <v>37.389514923095703</v>
      </c>
      <c r="H973" t="s">
        <v>1191</v>
      </c>
      <c r="I973" s="2">
        <v>10</v>
      </c>
      <c r="J973" s="2" t="s">
        <v>2512</v>
      </c>
      <c r="K973">
        <v>2020</v>
      </c>
      <c r="L973" s="2" t="s">
        <v>33</v>
      </c>
      <c r="M973" t="s">
        <v>578</v>
      </c>
      <c r="N973" s="31">
        <v>26.5</v>
      </c>
      <c r="O973">
        <f>21.5-19.5</f>
        <v>2</v>
      </c>
      <c r="P973" s="31" t="s">
        <v>2208</v>
      </c>
      <c r="R973" t="s">
        <v>89</v>
      </c>
      <c r="S973" s="5">
        <v>36.385939999999998</v>
      </c>
      <c r="T973" s="5">
        <v>-121.55549000000001</v>
      </c>
      <c r="U973" s="2">
        <v>1694</v>
      </c>
      <c r="V973" s="6">
        <f t="shared" si="74"/>
        <v>516.33120000000008</v>
      </c>
      <c r="W973" t="s">
        <v>898</v>
      </c>
      <c r="X973" t="s">
        <v>2656</v>
      </c>
      <c r="Y973" s="1" t="s">
        <v>1624</v>
      </c>
      <c r="Z973" s="2" t="s">
        <v>2696</v>
      </c>
      <c r="AA973" s="2" t="s">
        <v>2705</v>
      </c>
      <c r="AL973">
        <f t="shared" si="65"/>
        <v>3337.08251953125</v>
      </c>
      <c r="AM973">
        <f t="shared" si="66"/>
        <v>3341.4981079101562</v>
      </c>
      <c r="AN973">
        <f t="shared" si="67"/>
        <v>2991.1611938476562</v>
      </c>
    </row>
    <row r="974" spans="1:40" x14ac:dyDescent="0.2">
      <c r="A974" s="2">
        <v>130</v>
      </c>
      <c r="B974" t="s">
        <v>2678</v>
      </c>
      <c r="C974">
        <v>52.103401184082031</v>
      </c>
      <c r="D974">
        <v>49.947990417480469</v>
      </c>
      <c r="E974">
        <v>57.763751983642578</v>
      </c>
      <c r="H974" t="s">
        <v>1191</v>
      </c>
      <c r="I974" s="2">
        <v>10</v>
      </c>
      <c r="J974" s="2" t="s">
        <v>2512</v>
      </c>
      <c r="K974">
        <v>2020</v>
      </c>
      <c r="L974" s="2" t="s">
        <v>32</v>
      </c>
      <c r="M974" t="s">
        <v>578</v>
      </c>
      <c r="N974" s="31">
        <v>34.5</v>
      </c>
      <c r="O974">
        <f>23-19.5</f>
        <v>3.5</v>
      </c>
      <c r="P974" s="31" t="s">
        <v>2208</v>
      </c>
      <c r="Q974" t="s">
        <v>38</v>
      </c>
      <c r="R974" s="31" t="s">
        <v>39</v>
      </c>
      <c r="S974" s="5">
        <v>36.385939999999998</v>
      </c>
      <c r="T974" s="5">
        <v>-121.55549000000001</v>
      </c>
      <c r="U974" s="2">
        <v>1694</v>
      </c>
      <c r="V974" s="6">
        <f t="shared" si="74"/>
        <v>516.33120000000008</v>
      </c>
      <c r="W974" t="s">
        <v>898</v>
      </c>
      <c r="X974" t="s">
        <v>2656</v>
      </c>
      <c r="Y974" s="1" t="s">
        <v>814</v>
      </c>
      <c r="Z974" s="2" t="s">
        <v>2687</v>
      </c>
      <c r="AA974" s="2" t="s">
        <v>2706</v>
      </c>
      <c r="AL974">
        <f t="shared" si="65"/>
        <v>4168.2720947265625</v>
      </c>
      <c r="AM974">
        <f t="shared" si="66"/>
        <v>3995.8392333984375</v>
      </c>
      <c r="AN974">
        <f t="shared" si="67"/>
        <v>4621.1001586914062</v>
      </c>
    </row>
    <row r="975" spans="1:40" x14ac:dyDescent="0.2">
      <c r="A975" s="2">
        <v>131</v>
      </c>
      <c r="B975" t="s">
        <v>2679</v>
      </c>
      <c r="C975">
        <v>0</v>
      </c>
      <c r="D975">
        <v>0</v>
      </c>
      <c r="E975">
        <v>0</v>
      </c>
      <c r="H975" t="s">
        <v>1191</v>
      </c>
      <c r="I975" s="2">
        <v>10</v>
      </c>
      <c r="J975" s="2" t="s">
        <v>2512</v>
      </c>
      <c r="K975">
        <v>2020</v>
      </c>
      <c r="L975" s="2" t="s">
        <v>32</v>
      </c>
      <c r="M975" t="s">
        <v>578</v>
      </c>
      <c r="N975" s="31">
        <v>21</v>
      </c>
      <c r="O975">
        <v>1</v>
      </c>
      <c r="P975" s="31" t="s">
        <v>30</v>
      </c>
      <c r="R975" s="53" t="s">
        <v>39</v>
      </c>
      <c r="S975" s="5">
        <v>36.383769999999998</v>
      </c>
      <c r="T975" s="5">
        <v>-121.55624</v>
      </c>
      <c r="U975" s="2">
        <v>1675</v>
      </c>
      <c r="V975" s="6">
        <f t="shared" si="74"/>
        <v>510.54</v>
      </c>
      <c r="W975" t="s">
        <v>366</v>
      </c>
      <c r="X975" t="s">
        <v>2791</v>
      </c>
      <c r="Y975" s="1" t="s">
        <v>694</v>
      </c>
      <c r="Z975" t="s">
        <v>2697</v>
      </c>
      <c r="AA975" s="2" t="s">
        <v>2707</v>
      </c>
      <c r="AL975">
        <f t="shared" ref="AL975:AL1038" si="75">C975*80</f>
        <v>0</v>
      </c>
      <c r="AM975">
        <f t="shared" ref="AM975:AM1038" si="76">D975*80</f>
        <v>0</v>
      </c>
      <c r="AN975">
        <f t="shared" ref="AN975:AN1038" si="77">E975*80</f>
        <v>0</v>
      </c>
    </row>
    <row r="976" spans="1:40" x14ac:dyDescent="0.2">
      <c r="A976" s="2">
        <v>131</v>
      </c>
      <c r="B976" t="s">
        <v>2680</v>
      </c>
      <c r="C976">
        <v>1.0894345045089722</v>
      </c>
      <c r="D976">
        <v>1.0659908056259155</v>
      </c>
      <c r="E976">
        <v>1.4272596836090088</v>
      </c>
      <c r="H976" t="s">
        <v>1191</v>
      </c>
      <c r="I976" s="2">
        <v>10</v>
      </c>
      <c r="J976" s="2" t="s">
        <v>2512</v>
      </c>
      <c r="K976">
        <v>2020</v>
      </c>
      <c r="L976" s="2" t="s">
        <v>33</v>
      </c>
      <c r="M976" t="s">
        <v>578</v>
      </c>
      <c r="N976" s="31">
        <v>39</v>
      </c>
      <c r="O976">
        <v>6</v>
      </c>
      <c r="P976" s="31" t="s">
        <v>30</v>
      </c>
      <c r="R976" s="31" t="s">
        <v>89</v>
      </c>
      <c r="S976" s="5">
        <v>36.37623</v>
      </c>
      <c r="T976" s="5">
        <v>-121.55969</v>
      </c>
      <c r="U976" s="2">
        <v>1621</v>
      </c>
      <c r="V976" s="6">
        <f t="shared" si="74"/>
        <v>494.08080000000001</v>
      </c>
      <c r="W976" t="s">
        <v>366</v>
      </c>
      <c r="X976" t="s">
        <v>2791</v>
      </c>
      <c r="Y976" s="1" t="s">
        <v>2685</v>
      </c>
      <c r="Z976" t="s">
        <v>2697</v>
      </c>
      <c r="AA976" s="2" t="s">
        <v>1312</v>
      </c>
      <c r="AL976">
        <f t="shared" si="75"/>
        <v>87.154760360717773</v>
      </c>
      <c r="AM976">
        <f t="shared" si="76"/>
        <v>85.279264450073242</v>
      </c>
      <c r="AN976">
        <f t="shared" si="77"/>
        <v>114.1807746887207</v>
      </c>
    </row>
    <row r="977" spans="1:40" x14ac:dyDescent="0.2">
      <c r="A977" s="2">
        <v>132</v>
      </c>
      <c r="B977" t="s">
        <v>2708</v>
      </c>
      <c r="C977">
        <v>4.3962535858154297</v>
      </c>
      <c r="D977">
        <v>2.8807344436645508</v>
      </c>
      <c r="E977">
        <v>3.1213142871856689</v>
      </c>
      <c r="H977" t="s">
        <v>1191</v>
      </c>
      <c r="I977" s="2">
        <v>13</v>
      </c>
      <c r="J977" s="2" t="s">
        <v>2512</v>
      </c>
      <c r="K977">
        <v>2020</v>
      </c>
      <c r="L977" s="2" t="s">
        <v>34</v>
      </c>
      <c r="M977" t="s">
        <v>29</v>
      </c>
      <c r="N977" s="31">
        <v>29</v>
      </c>
      <c r="O977">
        <f>8.5-6</f>
        <v>2.5</v>
      </c>
      <c r="P977" s="31" t="s">
        <v>2722</v>
      </c>
      <c r="Q977" t="s">
        <v>38</v>
      </c>
      <c r="R977" s="31" t="s">
        <v>39</v>
      </c>
      <c r="S977" s="4">
        <v>34.096220000000002</v>
      </c>
      <c r="T977" s="4">
        <v>-118.65382</v>
      </c>
      <c r="U977" s="2">
        <v>1099</v>
      </c>
      <c r="V977" s="6">
        <f t="shared" si="74"/>
        <v>334.97520000000003</v>
      </c>
      <c r="W977" t="s">
        <v>2015</v>
      </c>
      <c r="X977" t="s">
        <v>2245</v>
      </c>
      <c r="Y977" s="1" t="s">
        <v>2410</v>
      </c>
      <c r="AA977" s="2" t="s">
        <v>2763</v>
      </c>
      <c r="AL977">
        <f t="shared" si="75"/>
        <v>351.70028686523438</v>
      </c>
      <c r="AM977">
        <f t="shared" si="76"/>
        <v>230.45875549316406</v>
      </c>
      <c r="AN977">
        <f t="shared" si="77"/>
        <v>249.70514297485352</v>
      </c>
    </row>
    <row r="978" spans="1:40" x14ac:dyDescent="0.2">
      <c r="A978" s="2">
        <v>132</v>
      </c>
      <c r="B978" t="s">
        <v>2709</v>
      </c>
      <c r="C978">
        <v>0.26310217380523682</v>
      </c>
      <c r="D978">
        <v>9.7138144075870514E-2</v>
      </c>
      <c r="E978">
        <v>0.12218765914440155</v>
      </c>
      <c r="H978" t="s">
        <v>1191</v>
      </c>
      <c r="I978" s="2">
        <v>13</v>
      </c>
      <c r="J978" s="2" t="s">
        <v>2512</v>
      </c>
      <c r="K978">
        <v>2020</v>
      </c>
      <c r="L978" s="2" t="s">
        <v>34</v>
      </c>
      <c r="M978" t="s">
        <v>29</v>
      </c>
      <c r="N978" s="31">
        <v>30</v>
      </c>
      <c r="O978">
        <f>9.5-6.5</f>
        <v>3</v>
      </c>
      <c r="P978" s="31" t="s">
        <v>2722</v>
      </c>
      <c r="Q978" t="s">
        <v>38</v>
      </c>
      <c r="R978" s="31" t="s">
        <v>39</v>
      </c>
      <c r="S978" s="4">
        <v>34.096319999999999</v>
      </c>
      <c r="T978" s="4">
        <v>-118.65379</v>
      </c>
      <c r="U978" s="2">
        <v>1101</v>
      </c>
      <c r="V978" s="6">
        <f t="shared" si="74"/>
        <v>335.58480000000003</v>
      </c>
      <c r="W978" t="s">
        <v>2015</v>
      </c>
      <c r="X978" t="s">
        <v>2245</v>
      </c>
      <c r="Y978" s="1" t="s">
        <v>2403</v>
      </c>
      <c r="Z978" t="s">
        <v>2728</v>
      </c>
      <c r="AA978" s="2" t="s">
        <v>2764</v>
      </c>
      <c r="AL978">
        <f t="shared" si="75"/>
        <v>21.048173904418945</v>
      </c>
      <c r="AM978">
        <f t="shared" si="76"/>
        <v>7.7710515260696411</v>
      </c>
      <c r="AN978">
        <f t="shared" si="77"/>
        <v>9.775012731552124</v>
      </c>
    </row>
    <row r="979" spans="1:40" x14ac:dyDescent="0.2">
      <c r="A979" s="2">
        <v>132</v>
      </c>
      <c r="B979" t="s">
        <v>2710</v>
      </c>
      <c r="C979">
        <v>0</v>
      </c>
      <c r="D979">
        <v>0</v>
      </c>
      <c r="E979">
        <v>0</v>
      </c>
      <c r="H979" t="s">
        <v>1191</v>
      </c>
      <c r="I979" s="2">
        <v>13</v>
      </c>
      <c r="J979" s="2" t="s">
        <v>2512</v>
      </c>
      <c r="K979">
        <v>2020</v>
      </c>
      <c r="L979" s="2" t="s">
        <v>34</v>
      </c>
      <c r="M979" t="s">
        <v>29</v>
      </c>
      <c r="N979" s="31">
        <v>31</v>
      </c>
      <c r="O979">
        <v>2.5</v>
      </c>
      <c r="P979" s="31" t="s">
        <v>2722</v>
      </c>
      <c r="Q979" t="s">
        <v>38</v>
      </c>
      <c r="R979" s="31" t="s">
        <v>39</v>
      </c>
      <c r="S979" s="4">
        <v>34.096339999999998</v>
      </c>
      <c r="T979" s="4">
        <v>-118.65376999999999</v>
      </c>
      <c r="U979" s="2">
        <v>1099</v>
      </c>
      <c r="V979" s="6">
        <f t="shared" si="74"/>
        <v>334.97520000000003</v>
      </c>
      <c r="W979" t="s">
        <v>2015</v>
      </c>
      <c r="X979" t="s">
        <v>2245</v>
      </c>
      <c r="Y979" s="1" t="s">
        <v>2404</v>
      </c>
      <c r="Z979" t="s">
        <v>2729</v>
      </c>
      <c r="AA979" s="2" t="s">
        <v>2765</v>
      </c>
      <c r="AL979">
        <f t="shared" si="75"/>
        <v>0</v>
      </c>
      <c r="AM979">
        <f t="shared" si="76"/>
        <v>0</v>
      </c>
      <c r="AN979">
        <f t="shared" si="77"/>
        <v>0</v>
      </c>
    </row>
    <row r="980" spans="1:40" x14ac:dyDescent="0.2">
      <c r="A980" s="2">
        <v>132</v>
      </c>
      <c r="B980" t="s">
        <v>2711</v>
      </c>
      <c r="C980">
        <v>0.15906783938407898</v>
      </c>
      <c r="D980">
        <v>5.4462920874357224E-2</v>
      </c>
      <c r="E980">
        <v>0</v>
      </c>
      <c r="H980" t="s">
        <v>1191</v>
      </c>
      <c r="I980" s="2">
        <v>13</v>
      </c>
      <c r="J980" s="2" t="s">
        <v>2512</v>
      </c>
      <c r="K980">
        <v>2020</v>
      </c>
      <c r="L980" s="2" t="s">
        <v>34</v>
      </c>
      <c r="M980" t="s">
        <v>29</v>
      </c>
      <c r="N980" s="31">
        <v>32</v>
      </c>
      <c r="O980">
        <f>8-5.5</f>
        <v>2.5</v>
      </c>
      <c r="P980" s="31" t="s">
        <v>2722</v>
      </c>
      <c r="Q980" t="s">
        <v>38</v>
      </c>
      <c r="R980" s="31" t="s">
        <v>39</v>
      </c>
      <c r="S980" s="4">
        <v>34.096339999999998</v>
      </c>
      <c r="T980" s="4">
        <v>-118.65376999999999</v>
      </c>
      <c r="U980" s="2">
        <v>1099</v>
      </c>
      <c r="V980" s="6">
        <f t="shared" si="74"/>
        <v>334.97520000000003</v>
      </c>
      <c r="W980" t="s">
        <v>2015</v>
      </c>
      <c r="X980" t="s">
        <v>2245</v>
      </c>
      <c r="Y980" s="1" t="s">
        <v>2723</v>
      </c>
      <c r="AA980" s="2" t="s">
        <v>1636</v>
      </c>
      <c r="AL980">
        <f t="shared" si="75"/>
        <v>12.725427150726318</v>
      </c>
      <c r="AM980">
        <f t="shared" si="76"/>
        <v>4.3570336699485779</v>
      </c>
      <c r="AN980">
        <f t="shared" si="77"/>
        <v>0</v>
      </c>
    </row>
    <row r="981" spans="1:40" x14ac:dyDescent="0.2">
      <c r="A981" s="2">
        <v>132</v>
      </c>
      <c r="B981" t="s">
        <v>2712</v>
      </c>
      <c r="C981">
        <v>9.7777252197265625</v>
      </c>
      <c r="D981">
        <v>7.901148796081543</v>
      </c>
      <c r="E981">
        <v>9.5270490646362305</v>
      </c>
      <c r="H981" t="s">
        <v>1191</v>
      </c>
      <c r="I981" s="2">
        <v>13</v>
      </c>
      <c r="J981" s="2" t="s">
        <v>2512</v>
      </c>
      <c r="K981">
        <v>2020</v>
      </c>
      <c r="L981" s="2" t="s">
        <v>34</v>
      </c>
      <c r="M981" t="s">
        <v>29</v>
      </c>
      <c r="N981" s="31">
        <v>32</v>
      </c>
      <c r="O981">
        <v>3</v>
      </c>
      <c r="P981" s="31" t="s">
        <v>2722</v>
      </c>
      <c r="Q981" t="s">
        <v>38</v>
      </c>
      <c r="R981" s="31" t="s">
        <v>39</v>
      </c>
      <c r="S981" s="4">
        <v>34.096229999999998</v>
      </c>
      <c r="T981" s="4">
        <v>-118.65384</v>
      </c>
      <c r="U981" s="2">
        <v>1096</v>
      </c>
      <c r="V981" s="6">
        <f t="shared" si="74"/>
        <v>334.06080000000003</v>
      </c>
      <c r="W981" t="s">
        <v>2015</v>
      </c>
      <c r="X981" t="s">
        <v>2245</v>
      </c>
      <c r="Y981" s="1" t="s">
        <v>2724</v>
      </c>
      <c r="AA981" s="2" t="s">
        <v>1637</v>
      </c>
      <c r="AL981">
        <f t="shared" si="75"/>
        <v>782.218017578125</v>
      </c>
      <c r="AM981">
        <f t="shared" si="76"/>
        <v>632.09190368652344</v>
      </c>
      <c r="AN981">
        <f t="shared" si="77"/>
        <v>762.16392517089844</v>
      </c>
    </row>
    <row r="982" spans="1:40" x14ac:dyDescent="0.2">
      <c r="A982" s="2">
        <v>132</v>
      </c>
      <c r="B982" t="s">
        <v>2713</v>
      </c>
      <c r="C982">
        <v>0.19529697299003601</v>
      </c>
      <c r="D982">
        <v>0.19155889749526978</v>
      </c>
      <c r="E982">
        <v>0.23521806299686432</v>
      </c>
      <c r="H982" t="s">
        <v>1191</v>
      </c>
      <c r="I982" s="2">
        <v>13</v>
      </c>
      <c r="J982" s="2" t="s">
        <v>2512</v>
      </c>
      <c r="K982">
        <v>2020</v>
      </c>
      <c r="L982" s="2" t="s">
        <v>34</v>
      </c>
      <c r="M982" t="s">
        <v>29</v>
      </c>
      <c r="N982" s="31">
        <v>30</v>
      </c>
      <c r="O982">
        <v>2.5</v>
      </c>
      <c r="P982" s="31" t="s">
        <v>2722</v>
      </c>
      <c r="Q982" t="s">
        <v>38</v>
      </c>
      <c r="R982" s="31" t="s">
        <v>39</v>
      </c>
      <c r="S982" s="4">
        <v>34.096170000000001</v>
      </c>
      <c r="T982" s="4">
        <v>-118.65374</v>
      </c>
      <c r="U982" s="2">
        <v>1097</v>
      </c>
      <c r="V982" s="6">
        <f t="shared" si="74"/>
        <v>334.36560000000003</v>
      </c>
      <c r="W982" t="s">
        <v>2015</v>
      </c>
      <c r="X982" t="s">
        <v>2245</v>
      </c>
      <c r="Y982" s="1" t="s">
        <v>2455</v>
      </c>
      <c r="AA982" s="2" t="s">
        <v>2766</v>
      </c>
      <c r="AL982">
        <f t="shared" si="75"/>
        <v>15.623757839202881</v>
      </c>
      <c r="AM982">
        <f t="shared" si="76"/>
        <v>15.324711799621582</v>
      </c>
      <c r="AN982">
        <f t="shared" si="77"/>
        <v>18.817445039749146</v>
      </c>
    </row>
    <row r="983" spans="1:40" x14ac:dyDescent="0.2">
      <c r="A983" s="2">
        <v>132</v>
      </c>
      <c r="B983" t="s">
        <v>2714</v>
      </c>
      <c r="C983">
        <v>0</v>
      </c>
      <c r="D983">
        <v>4.8904232680797577E-2</v>
      </c>
      <c r="E983">
        <v>0</v>
      </c>
      <c r="H983" t="s">
        <v>1191</v>
      </c>
      <c r="I983" s="2">
        <v>13</v>
      </c>
      <c r="J983" s="2" t="s">
        <v>2512</v>
      </c>
      <c r="K983">
        <v>2020</v>
      </c>
      <c r="L983" s="2" t="s">
        <v>34</v>
      </c>
      <c r="M983" t="s">
        <v>29</v>
      </c>
      <c r="N983" s="31">
        <v>34</v>
      </c>
      <c r="O983">
        <f>15-12.5</f>
        <v>2.5</v>
      </c>
      <c r="P983" s="31" t="s">
        <v>2722</v>
      </c>
      <c r="Q983" t="s">
        <v>38</v>
      </c>
      <c r="R983" s="31" t="s">
        <v>39</v>
      </c>
      <c r="S983" s="4">
        <v>34.096170000000001</v>
      </c>
      <c r="T983" s="4">
        <v>-118.65374</v>
      </c>
      <c r="U983" s="2">
        <v>1097</v>
      </c>
      <c r="V983" s="6">
        <f t="shared" ref="V983" si="78">U983*0.3048</f>
        <v>334.36560000000003</v>
      </c>
      <c r="W983" t="s">
        <v>2015</v>
      </c>
      <c r="X983" t="s">
        <v>2245</v>
      </c>
      <c r="Y983" s="1" t="s">
        <v>2455</v>
      </c>
      <c r="Z983" t="s">
        <v>2172</v>
      </c>
      <c r="AA983" s="2" t="s">
        <v>2767</v>
      </c>
      <c r="AL983">
        <f t="shared" si="75"/>
        <v>0</v>
      </c>
      <c r="AM983">
        <f t="shared" si="76"/>
        <v>3.9123386144638062</v>
      </c>
      <c r="AN983">
        <f t="shared" si="77"/>
        <v>0</v>
      </c>
    </row>
    <row r="984" spans="1:40" x14ac:dyDescent="0.2">
      <c r="A984" s="2">
        <v>132</v>
      </c>
      <c r="B984" t="s">
        <v>2715</v>
      </c>
      <c r="C984">
        <v>2.0898165702819824</v>
      </c>
      <c r="D984">
        <v>1.8559399843215942</v>
      </c>
      <c r="E984">
        <v>1.8239181041717529</v>
      </c>
      <c r="H984" t="s">
        <v>1191</v>
      </c>
      <c r="I984" s="2">
        <v>13</v>
      </c>
      <c r="J984" s="2" t="s">
        <v>2512</v>
      </c>
      <c r="K984">
        <v>2020</v>
      </c>
      <c r="L984" s="2" t="s">
        <v>34</v>
      </c>
      <c r="M984" t="s">
        <v>29</v>
      </c>
      <c r="N984" s="31">
        <v>32.5</v>
      </c>
      <c r="O984">
        <f>25.5-22</f>
        <v>3.5</v>
      </c>
      <c r="P984" s="31" t="s">
        <v>2722</v>
      </c>
      <c r="Q984" t="s">
        <v>38</v>
      </c>
      <c r="R984" s="31" t="s">
        <v>39</v>
      </c>
      <c r="S984" s="4">
        <v>34.096200000000003</v>
      </c>
      <c r="T984" s="4">
        <v>-118.65376999999999</v>
      </c>
      <c r="U984" s="2">
        <v>1095</v>
      </c>
      <c r="V984" s="6">
        <f t="shared" si="74"/>
        <v>333.75600000000003</v>
      </c>
      <c r="W984" t="s">
        <v>2015</v>
      </c>
      <c r="X984" t="s">
        <v>2245</v>
      </c>
      <c r="Y984" s="1" t="s">
        <v>2725</v>
      </c>
      <c r="AA984" s="2" t="s">
        <v>2768</v>
      </c>
      <c r="AL984">
        <f t="shared" si="75"/>
        <v>167.18532562255859</v>
      </c>
      <c r="AM984">
        <f t="shared" si="76"/>
        <v>148.47519874572754</v>
      </c>
      <c r="AN984">
        <f t="shared" si="77"/>
        <v>145.91344833374023</v>
      </c>
    </row>
    <row r="985" spans="1:40" x14ac:dyDescent="0.2">
      <c r="A985" s="2">
        <v>132</v>
      </c>
      <c r="B985" t="s">
        <v>2716</v>
      </c>
      <c r="C985">
        <v>8.3680152893066406E-2</v>
      </c>
      <c r="D985">
        <v>0</v>
      </c>
      <c r="E985">
        <v>0.10615434497594833</v>
      </c>
      <c r="H985" t="s">
        <v>1191</v>
      </c>
      <c r="I985" s="2">
        <v>13</v>
      </c>
      <c r="J985" s="2" t="s">
        <v>2512</v>
      </c>
      <c r="K985">
        <v>2020</v>
      </c>
      <c r="L985" s="2" t="s">
        <v>34</v>
      </c>
      <c r="M985" t="s">
        <v>29</v>
      </c>
      <c r="N985" s="31">
        <v>29.5</v>
      </c>
      <c r="O985">
        <v>2.5</v>
      </c>
      <c r="P985" s="31" t="s">
        <v>2722</v>
      </c>
      <c r="Q985" t="s">
        <v>38</v>
      </c>
      <c r="R985" s="31" t="s">
        <v>39</v>
      </c>
      <c r="S985" s="4">
        <v>34.096130000000002</v>
      </c>
      <c r="T985" s="4">
        <v>-118.65366</v>
      </c>
      <c r="U985" s="2">
        <v>1095</v>
      </c>
      <c r="V985" s="6">
        <f t="shared" si="74"/>
        <v>333.75600000000003</v>
      </c>
      <c r="W985" t="s">
        <v>2015</v>
      </c>
      <c r="X985" t="s">
        <v>2245</v>
      </c>
      <c r="Y985" s="1" t="s">
        <v>2726</v>
      </c>
      <c r="AA985" s="2" t="s">
        <v>836</v>
      </c>
      <c r="AL985">
        <f t="shared" si="75"/>
        <v>6.6944122314453125</v>
      </c>
      <c r="AM985">
        <f t="shared" si="76"/>
        <v>0</v>
      </c>
      <c r="AN985">
        <f t="shared" si="77"/>
        <v>8.4923475980758667</v>
      </c>
    </row>
    <row r="986" spans="1:40" x14ac:dyDescent="0.2">
      <c r="A986" s="2">
        <v>132</v>
      </c>
      <c r="B986" t="s">
        <v>2717</v>
      </c>
      <c r="C986">
        <v>0</v>
      </c>
      <c r="D986">
        <v>0</v>
      </c>
      <c r="E986">
        <v>0</v>
      </c>
      <c r="H986" t="s">
        <v>1191</v>
      </c>
      <c r="I986" s="2">
        <v>13</v>
      </c>
      <c r="J986" s="2" t="s">
        <v>2512</v>
      </c>
      <c r="K986">
        <v>2020</v>
      </c>
      <c r="L986" s="2" t="s">
        <v>34</v>
      </c>
      <c r="M986" t="s">
        <v>29</v>
      </c>
      <c r="N986" s="31">
        <v>33.5</v>
      </c>
      <c r="O986">
        <v>3</v>
      </c>
      <c r="P986" s="31" t="s">
        <v>2722</v>
      </c>
      <c r="Q986" t="s">
        <v>38</v>
      </c>
      <c r="R986" s="31" t="s">
        <v>39</v>
      </c>
      <c r="S986" s="4">
        <v>34.096130000000002</v>
      </c>
      <c r="T986" s="4">
        <v>-118.65349999999999</v>
      </c>
      <c r="U986" s="2">
        <v>1094</v>
      </c>
      <c r="V986" s="6">
        <f t="shared" si="74"/>
        <v>333.45120000000003</v>
      </c>
      <c r="W986" t="s">
        <v>2015</v>
      </c>
      <c r="X986" t="s">
        <v>2245</v>
      </c>
      <c r="Y986" s="1" t="s">
        <v>2011</v>
      </c>
      <c r="AA986" s="2" t="s">
        <v>1639</v>
      </c>
      <c r="AL986">
        <f t="shared" si="75"/>
        <v>0</v>
      </c>
      <c r="AM986">
        <f t="shared" si="76"/>
        <v>0</v>
      </c>
      <c r="AN986">
        <f t="shared" si="77"/>
        <v>0</v>
      </c>
    </row>
    <row r="987" spans="1:40" x14ac:dyDescent="0.2">
      <c r="A987" s="2">
        <v>132</v>
      </c>
      <c r="B987" t="s">
        <v>2718</v>
      </c>
      <c r="C987">
        <v>8.9458756148815155E-2</v>
      </c>
      <c r="D987">
        <v>9.0367831289768219E-2</v>
      </c>
      <c r="E987">
        <v>0.13490913808345795</v>
      </c>
      <c r="H987" t="s">
        <v>1191</v>
      </c>
      <c r="I987" s="2">
        <v>13</v>
      </c>
      <c r="J987" s="2" t="s">
        <v>2512</v>
      </c>
      <c r="K987">
        <v>2020</v>
      </c>
      <c r="L987" s="2" t="s">
        <v>28</v>
      </c>
      <c r="M987" t="s">
        <v>29</v>
      </c>
      <c r="N987" s="31">
        <v>31</v>
      </c>
      <c r="O987">
        <v>3.5</v>
      </c>
      <c r="P987" s="31" t="s">
        <v>2722</v>
      </c>
      <c r="Q987" s="45"/>
      <c r="R987" s="51" t="s">
        <v>89</v>
      </c>
      <c r="S987" s="4">
        <v>34.096130000000002</v>
      </c>
      <c r="T987" s="4">
        <v>-118.65349999999999</v>
      </c>
      <c r="U987" s="2">
        <v>1094</v>
      </c>
      <c r="V987" s="6">
        <f t="shared" si="74"/>
        <v>333.45120000000003</v>
      </c>
      <c r="W987" t="s">
        <v>2015</v>
      </c>
      <c r="X987" t="s">
        <v>2245</v>
      </c>
      <c r="Y987" s="1" t="s">
        <v>2543</v>
      </c>
      <c r="AA987" s="2" t="s">
        <v>336</v>
      </c>
      <c r="AL987">
        <f t="shared" si="75"/>
        <v>7.1567004919052124</v>
      </c>
      <c r="AM987">
        <f t="shared" si="76"/>
        <v>7.2294265031814575</v>
      </c>
      <c r="AN987">
        <f t="shared" si="77"/>
        <v>10.792731046676636</v>
      </c>
    </row>
    <row r="988" spans="1:40" x14ac:dyDescent="0.2">
      <c r="A988" s="2">
        <v>132</v>
      </c>
      <c r="B988" t="s">
        <v>2719</v>
      </c>
      <c r="C988">
        <v>0</v>
      </c>
      <c r="D988">
        <v>0</v>
      </c>
      <c r="E988">
        <v>0</v>
      </c>
      <c r="H988" t="s">
        <v>1191</v>
      </c>
      <c r="I988" s="2">
        <v>13</v>
      </c>
      <c r="J988" s="2" t="s">
        <v>2512</v>
      </c>
      <c r="K988">
        <v>2020</v>
      </c>
      <c r="L988" s="2" t="s">
        <v>34</v>
      </c>
      <c r="M988" t="s">
        <v>29</v>
      </c>
      <c r="N988" s="31">
        <v>30</v>
      </c>
      <c r="O988">
        <v>3</v>
      </c>
      <c r="P988" s="31" t="s">
        <v>2722</v>
      </c>
      <c r="Q988" t="s">
        <v>38</v>
      </c>
      <c r="R988" s="31" t="s">
        <v>39</v>
      </c>
      <c r="S988" s="4">
        <v>34.0961</v>
      </c>
      <c r="T988" s="4">
        <v>-118.65356</v>
      </c>
      <c r="U988">
        <v>1094</v>
      </c>
      <c r="V988" s="6">
        <f t="shared" si="74"/>
        <v>333.45120000000003</v>
      </c>
      <c r="W988" t="s">
        <v>2015</v>
      </c>
      <c r="X988" t="s">
        <v>2245</v>
      </c>
      <c r="Y988" s="1" t="s">
        <v>2682</v>
      </c>
      <c r="AA988" s="2" t="s">
        <v>1640</v>
      </c>
      <c r="AL988">
        <f t="shared" si="75"/>
        <v>0</v>
      </c>
      <c r="AM988">
        <f t="shared" si="76"/>
        <v>0</v>
      </c>
      <c r="AN988">
        <f t="shared" si="77"/>
        <v>0</v>
      </c>
    </row>
    <row r="989" spans="1:40" x14ac:dyDescent="0.2">
      <c r="A989" s="2">
        <v>132</v>
      </c>
      <c r="B989" t="s">
        <v>2720</v>
      </c>
      <c r="C989">
        <v>0</v>
      </c>
      <c r="D989">
        <v>0</v>
      </c>
      <c r="E989">
        <v>0</v>
      </c>
      <c r="H989" t="s">
        <v>1191</v>
      </c>
      <c r="I989" s="2">
        <v>13</v>
      </c>
      <c r="J989" s="2" t="s">
        <v>2512</v>
      </c>
      <c r="K989">
        <v>2020</v>
      </c>
      <c r="L989" s="2" t="s">
        <v>34</v>
      </c>
      <c r="M989" t="s">
        <v>29</v>
      </c>
      <c r="N989" s="31">
        <v>35</v>
      </c>
      <c r="O989">
        <f>13.5-8</f>
        <v>5.5</v>
      </c>
      <c r="P989" s="31" t="s">
        <v>2722</v>
      </c>
      <c r="Q989" t="s">
        <v>42</v>
      </c>
      <c r="R989" s="31" t="s">
        <v>39</v>
      </c>
      <c r="S989" s="4">
        <v>34.0961</v>
      </c>
      <c r="T989" s="4">
        <v>-118.65356</v>
      </c>
      <c r="U989">
        <v>1094</v>
      </c>
      <c r="V989" s="6">
        <f t="shared" si="74"/>
        <v>333.45120000000003</v>
      </c>
      <c r="W989" t="s">
        <v>2015</v>
      </c>
      <c r="X989" t="s">
        <v>2245</v>
      </c>
      <c r="Y989" s="1" t="s">
        <v>2727</v>
      </c>
      <c r="Z989" t="s">
        <v>2730</v>
      </c>
      <c r="AA989" s="2" t="s">
        <v>2769</v>
      </c>
      <c r="AL989">
        <f t="shared" si="75"/>
        <v>0</v>
      </c>
      <c r="AM989">
        <f t="shared" si="76"/>
        <v>0</v>
      </c>
      <c r="AN989">
        <f t="shared" si="77"/>
        <v>0</v>
      </c>
    </row>
    <row r="990" spans="1:40" x14ac:dyDescent="0.2">
      <c r="A990" s="2">
        <v>132</v>
      </c>
      <c r="B990" t="s">
        <v>2721</v>
      </c>
      <c r="C990">
        <v>8.9793567657470703</v>
      </c>
      <c r="D990">
        <v>8.6177949905395508</v>
      </c>
      <c r="E990">
        <v>10.528959274291992</v>
      </c>
      <c r="H990" t="s">
        <v>1191</v>
      </c>
      <c r="I990" s="2">
        <v>13</v>
      </c>
      <c r="J990" s="2" t="s">
        <v>2512</v>
      </c>
      <c r="K990">
        <v>2020</v>
      </c>
      <c r="L990" s="2" t="s">
        <v>34</v>
      </c>
      <c r="M990" t="s">
        <v>29</v>
      </c>
      <c r="N990" s="31">
        <v>31.5</v>
      </c>
      <c r="O990">
        <f>18.5-16</f>
        <v>2.5</v>
      </c>
      <c r="P990" s="31" t="s">
        <v>2722</v>
      </c>
      <c r="Q990" t="s">
        <v>38</v>
      </c>
      <c r="R990" s="31" t="s">
        <v>39</v>
      </c>
      <c r="S990" s="4">
        <v>34.096060000000001</v>
      </c>
      <c r="T990" s="4">
        <v>-118.65349999999999</v>
      </c>
      <c r="U990">
        <v>1092</v>
      </c>
      <c r="V990" s="6">
        <f t="shared" si="74"/>
        <v>332.84160000000003</v>
      </c>
      <c r="W990" t="s">
        <v>2015</v>
      </c>
      <c r="X990" t="s">
        <v>2245</v>
      </c>
      <c r="Y990" s="1" t="s">
        <v>685</v>
      </c>
      <c r="AA990" s="2" t="s">
        <v>1641</v>
      </c>
      <c r="AL990">
        <f t="shared" si="75"/>
        <v>718.34854125976562</v>
      </c>
      <c r="AM990">
        <f t="shared" si="76"/>
        <v>689.42359924316406</v>
      </c>
      <c r="AN990">
        <f t="shared" si="77"/>
        <v>842.31674194335938</v>
      </c>
    </row>
    <row r="991" spans="1:40" x14ac:dyDescent="0.2">
      <c r="A991" s="2">
        <v>133</v>
      </c>
      <c r="B991" t="s">
        <v>2731</v>
      </c>
      <c r="C991">
        <v>1.8797342777252197</v>
      </c>
      <c r="D991">
        <v>1.331334114074707</v>
      </c>
      <c r="E991">
        <v>1.8447372913360596</v>
      </c>
      <c r="H991" t="s">
        <v>1186</v>
      </c>
      <c r="I991" s="2">
        <v>14</v>
      </c>
      <c r="J991" s="2" t="s">
        <v>2512</v>
      </c>
      <c r="K991">
        <v>2020</v>
      </c>
      <c r="L991" s="2" t="s">
        <v>34</v>
      </c>
      <c r="M991" t="s">
        <v>29</v>
      </c>
      <c r="N991" s="31">
        <v>30.5</v>
      </c>
      <c r="O991">
        <f>15.5-13</f>
        <v>2.5</v>
      </c>
      <c r="P991" s="31" t="s">
        <v>2722</v>
      </c>
      <c r="Q991" t="s">
        <v>38</v>
      </c>
      <c r="R991" s="31" t="s">
        <v>39</v>
      </c>
      <c r="S991" s="4">
        <v>34.097920000000002</v>
      </c>
      <c r="T991" s="4">
        <v>-118.65608</v>
      </c>
      <c r="U991">
        <v>977</v>
      </c>
      <c r="V991" s="6">
        <f t="shared" si="74"/>
        <v>297.78960000000001</v>
      </c>
      <c r="W991" t="s">
        <v>2015</v>
      </c>
      <c r="X991" t="s">
        <v>2241</v>
      </c>
      <c r="Y991" s="1" t="s">
        <v>2666</v>
      </c>
      <c r="AA991" s="2" t="s">
        <v>347</v>
      </c>
      <c r="AL991">
        <f t="shared" si="75"/>
        <v>150.37874221801758</v>
      </c>
      <c r="AM991">
        <f t="shared" si="76"/>
        <v>106.50672912597656</v>
      </c>
      <c r="AN991">
        <f t="shared" si="77"/>
        <v>147.57898330688477</v>
      </c>
    </row>
    <row r="992" spans="1:40" x14ac:dyDescent="0.2">
      <c r="A992" s="2">
        <v>133</v>
      </c>
      <c r="B992" t="s">
        <v>2732</v>
      </c>
      <c r="C992">
        <v>0.31396245956420898</v>
      </c>
      <c r="D992">
        <v>0.26781550049781799</v>
      </c>
      <c r="E992">
        <v>0.43607500195503235</v>
      </c>
      <c r="H992" t="s">
        <v>1191</v>
      </c>
      <c r="I992" s="2">
        <v>14</v>
      </c>
      <c r="J992" s="2" t="s">
        <v>2512</v>
      </c>
      <c r="K992">
        <v>2020</v>
      </c>
      <c r="L992" s="2" t="s">
        <v>34</v>
      </c>
      <c r="M992" t="s">
        <v>29</v>
      </c>
      <c r="N992" s="31">
        <v>30</v>
      </c>
      <c r="O992">
        <f>11-8.5</f>
        <v>2.5</v>
      </c>
      <c r="P992" s="31" t="s">
        <v>2722</v>
      </c>
      <c r="Q992" t="s">
        <v>38</v>
      </c>
      <c r="R992" s="31" t="s">
        <v>39</v>
      </c>
      <c r="S992" s="44"/>
      <c r="T992" s="44"/>
      <c r="U992" s="3"/>
      <c r="V992" s="54"/>
      <c r="W992" t="s">
        <v>2015</v>
      </c>
      <c r="X992" t="s">
        <v>2241</v>
      </c>
      <c r="Y992" s="1" t="s">
        <v>2747</v>
      </c>
      <c r="AA992" s="2" t="s">
        <v>361</v>
      </c>
      <c r="AL992">
        <f t="shared" si="75"/>
        <v>25.116996765136719</v>
      </c>
      <c r="AM992">
        <f t="shared" si="76"/>
        <v>21.425240039825439</v>
      </c>
      <c r="AN992">
        <f t="shared" si="77"/>
        <v>34.886000156402588</v>
      </c>
    </row>
    <row r="993" spans="1:40" x14ac:dyDescent="0.2">
      <c r="A993" s="2">
        <v>133</v>
      </c>
      <c r="B993" t="s">
        <v>2733</v>
      </c>
      <c r="C993">
        <v>5.8811988681554794E-2</v>
      </c>
      <c r="D993">
        <v>0</v>
      </c>
      <c r="E993">
        <v>0</v>
      </c>
      <c r="H993" t="s">
        <v>1191</v>
      </c>
      <c r="I993" s="2">
        <v>14</v>
      </c>
      <c r="J993" s="2" t="s">
        <v>2512</v>
      </c>
      <c r="K993">
        <v>2020</v>
      </c>
      <c r="L993" s="2" t="s">
        <v>34</v>
      </c>
      <c r="M993" t="s">
        <v>29</v>
      </c>
      <c r="N993" s="31">
        <v>29</v>
      </c>
      <c r="O993">
        <f>13.5-10.5</f>
        <v>3</v>
      </c>
      <c r="P993" s="31" t="s">
        <v>2722</v>
      </c>
      <c r="Q993" t="s">
        <v>38</v>
      </c>
      <c r="R993" s="31" t="s">
        <v>39</v>
      </c>
      <c r="S993" s="4">
        <v>34.097880000000004</v>
      </c>
      <c r="T993" s="4">
        <v>-118.65613</v>
      </c>
      <c r="U993">
        <v>975</v>
      </c>
      <c r="V993" s="6">
        <f t="shared" si="74"/>
        <v>297.18</v>
      </c>
      <c r="W993" t="s">
        <v>2015</v>
      </c>
      <c r="X993" t="s">
        <v>2241</v>
      </c>
      <c r="Y993" s="1" t="s">
        <v>2420</v>
      </c>
      <c r="AA993" s="2" t="s">
        <v>1642</v>
      </c>
      <c r="AL993">
        <f t="shared" si="75"/>
        <v>4.7049590945243835</v>
      </c>
      <c r="AM993">
        <f t="shared" si="76"/>
        <v>0</v>
      </c>
      <c r="AN993">
        <f t="shared" si="77"/>
        <v>0</v>
      </c>
    </row>
    <row r="994" spans="1:40" x14ac:dyDescent="0.2">
      <c r="A994" s="2">
        <v>133</v>
      </c>
      <c r="B994" t="s">
        <v>2734</v>
      </c>
      <c r="C994">
        <v>1.1833870410919189</v>
      </c>
      <c r="D994">
        <v>0.75002217292785645</v>
      </c>
      <c r="E994">
        <v>0.79823362827301025</v>
      </c>
      <c r="H994" t="s">
        <v>1186</v>
      </c>
      <c r="I994" s="2">
        <v>14</v>
      </c>
      <c r="J994" s="2" t="s">
        <v>2512</v>
      </c>
      <c r="K994">
        <v>2020</v>
      </c>
      <c r="L994" s="2" t="s">
        <v>34</v>
      </c>
      <c r="M994" t="s">
        <v>29</v>
      </c>
      <c r="N994" s="31">
        <v>29</v>
      </c>
      <c r="O994">
        <f>14.5-12</f>
        <v>2.5</v>
      </c>
      <c r="P994" s="31" t="s">
        <v>2722</v>
      </c>
      <c r="Q994" t="s">
        <v>38</v>
      </c>
      <c r="R994" s="31" t="s">
        <v>39</v>
      </c>
      <c r="S994" s="44"/>
      <c r="T994" s="44"/>
      <c r="U994" s="3"/>
      <c r="V994" s="54"/>
      <c r="W994" t="s">
        <v>2015</v>
      </c>
      <c r="X994" t="s">
        <v>2241</v>
      </c>
      <c r="Y994" s="1" t="s">
        <v>2405</v>
      </c>
      <c r="AA994" s="2" t="s">
        <v>2770</v>
      </c>
      <c r="AL994">
        <f t="shared" si="75"/>
        <v>94.670963287353516</v>
      </c>
      <c r="AM994">
        <f t="shared" si="76"/>
        <v>60.001773834228516</v>
      </c>
      <c r="AN994">
        <f t="shared" si="77"/>
        <v>63.85869026184082</v>
      </c>
    </row>
    <row r="995" spans="1:40" x14ac:dyDescent="0.2">
      <c r="A995" s="2">
        <v>133</v>
      </c>
      <c r="B995" t="s">
        <v>2735</v>
      </c>
      <c r="C995">
        <v>0</v>
      </c>
      <c r="D995">
        <v>0</v>
      </c>
      <c r="E995">
        <v>0</v>
      </c>
      <c r="H995" t="s">
        <v>1191</v>
      </c>
      <c r="I995" s="2">
        <v>14</v>
      </c>
      <c r="J995" s="2" t="s">
        <v>2512</v>
      </c>
      <c r="K995">
        <v>2020</v>
      </c>
      <c r="L995" s="2" t="s">
        <v>34</v>
      </c>
      <c r="M995" t="s">
        <v>29</v>
      </c>
      <c r="N995" s="31">
        <v>29.5</v>
      </c>
      <c r="O995">
        <f>11-8</f>
        <v>3</v>
      </c>
      <c r="P995" s="31" t="s">
        <v>2722</v>
      </c>
      <c r="Q995" t="s">
        <v>38</v>
      </c>
      <c r="R995" s="31" t="s">
        <v>39</v>
      </c>
      <c r="S995" s="4">
        <v>34.097839999999998</v>
      </c>
      <c r="T995" s="4">
        <v>-118.65606</v>
      </c>
      <c r="U995">
        <v>990</v>
      </c>
      <c r="V995" s="6">
        <f t="shared" si="74"/>
        <v>301.75200000000001</v>
      </c>
      <c r="W995" t="s">
        <v>2015</v>
      </c>
      <c r="X995" t="s">
        <v>2241</v>
      </c>
      <c r="Y995" s="1" t="s">
        <v>1331</v>
      </c>
      <c r="AA995" s="2" t="s">
        <v>467</v>
      </c>
      <c r="AL995">
        <f t="shared" si="75"/>
        <v>0</v>
      </c>
      <c r="AM995">
        <f t="shared" si="76"/>
        <v>0</v>
      </c>
      <c r="AN995">
        <f t="shared" si="77"/>
        <v>0</v>
      </c>
    </row>
    <row r="996" spans="1:40" x14ac:dyDescent="0.2">
      <c r="A996" s="2">
        <v>133</v>
      </c>
      <c r="B996" t="s">
        <v>2736</v>
      </c>
      <c r="C996">
        <v>0</v>
      </c>
      <c r="D996">
        <v>3.7783164530992508E-2</v>
      </c>
      <c r="E996">
        <v>6.1574894934892654E-2</v>
      </c>
      <c r="H996" t="s">
        <v>1191</v>
      </c>
      <c r="I996" s="2">
        <v>14</v>
      </c>
      <c r="J996" s="2" t="s">
        <v>2512</v>
      </c>
      <c r="K996">
        <v>2020</v>
      </c>
      <c r="L996" s="2" t="s">
        <v>34</v>
      </c>
      <c r="M996" t="s">
        <v>29</v>
      </c>
      <c r="N996" s="31">
        <v>30.5</v>
      </c>
      <c r="O996">
        <v>2</v>
      </c>
      <c r="P996" s="31" t="s">
        <v>2722</v>
      </c>
      <c r="Q996" t="s">
        <v>38</v>
      </c>
      <c r="R996" s="31" t="s">
        <v>39</v>
      </c>
      <c r="S996" s="5">
        <v>34.097850000000001</v>
      </c>
      <c r="T996" s="5">
        <v>-118.6561</v>
      </c>
      <c r="U996" s="2">
        <v>996</v>
      </c>
      <c r="V996" s="6">
        <f t="shared" si="74"/>
        <v>303.58080000000001</v>
      </c>
      <c r="W996" t="s">
        <v>2015</v>
      </c>
      <c r="X996" t="s">
        <v>2241</v>
      </c>
      <c r="Y996" s="1" t="s">
        <v>1334</v>
      </c>
      <c r="AA996" s="2" t="s">
        <v>1644</v>
      </c>
      <c r="AL996">
        <f t="shared" si="75"/>
        <v>0</v>
      </c>
      <c r="AM996">
        <f t="shared" si="76"/>
        <v>3.0226531624794006</v>
      </c>
      <c r="AN996">
        <f t="shared" si="77"/>
        <v>4.9259915947914124</v>
      </c>
    </row>
    <row r="997" spans="1:40" x14ac:dyDescent="0.2">
      <c r="A997" s="2">
        <v>133</v>
      </c>
      <c r="B997" t="s">
        <v>2737</v>
      </c>
      <c r="C997">
        <v>4.0950927734375</v>
      </c>
      <c r="D997">
        <v>4.617253303527832</v>
      </c>
      <c r="E997">
        <v>5.8603653907775879</v>
      </c>
      <c r="H997" t="s">
        <v>1191</v>
      </c>
      <c r="I997" s="2">
        <v>14</v>
      </c>
      <c r="J997" s="2" t="s">
        <v>2512</v>
      </c>
      <c r="K997">
        <v>2020</v>
      </c>
      <c r="L997" s="2" t="s">
        <v>34</v>
      </c>
      <c r="M997" t="s">
        <v>29</v>
      </c>
      <c r="N997" s="31">
        <v>32</v>
      </c>
      <c r="O997">
        <f>16-13.5</f>
        <v>2.5</v>
      </c>
      <c r="P997" s="31" t="s">
        <v>2722</v>
      </c>
      <c r="Q997" t="s">
        <v>38</v>
      </c>
      <c r="R997" s="31" t="s">
        <v>39</v>
      </c>
      <c r="S997" s="44"/>
      <c r="T997" s="44"/>
      <c r="U997" s="3"/>
      <c r="V997" s="54"/>
      <c r="W997" t="s">
        <v>2015</v>
      </c>
      <c r="X997" t="s">
        <v>2241</v>
      </c>
      <c r="Y997" s="1" t="s">
        <v>1334</v>
      </c>
      <c r="AA997" s="2" t="s">
        <v>1645</v>
      </c>
      <c r="AL997">
        <f t="shared" si="75"/>
        <v>327.607421875</v>
      </c>
      <c r="AM997">
        <f t="shared" si="76"/>
        <v>369.38026428222656</v>
      </c>
      <c r="AN997">
        <f t="shared" si="77"/>
        <v>468.82923126220703</v>
      </c>
    </row>
    <row r="998" spans="1:40" x14ac:dyDescent="0.2">
      <c r="A998" s="2">
        <v>133</v>
      </c>
      <c r="B998" t="s">
        <v>2738</v>
      </c>
      <c r="C998">
        <v>0.33531227707862854</v>
      </c>
      <c r="D998">
        <v>0.9162980318069458</v>
      </c>
      <c r="E998">
        <v>0.95443874597549438</v>
      </c>
      <c r="H998" t="s">
        <v>1191</v>
      </c>
      <c r="I998" s="2">
        <v>14</v>
      </c>
      <c r="J998" s="2" t="s">
        <v>2512</v>
      </c>
      <c r="K998">
        <v>2020</v>
      </c>
      <c r="L998" s="2" t="s">
        <v>34</v>
      </c>
      <c r="M998" t="s">
        <v>29</v>
      </c>
      <c r="N998" s="31">
        <v>31.5</v>
      </c>
      <c r="O998">
        <v>3</v>
      </c>
      <c r="P998" s="31" t="s">
        <v>2722</v>
      </c>
      <c r="Q998" t="s">
        <v>38</v>
      </c>
      <c r="R998" s="31" t="s">
        <v>39</v>
      </c>
      <c r="S998" s="5">
        <v>34.097850000000001</v>
      </c>
      <c r="T998" s="5">
        <v>-118.6561</v>
      </c>
      <c r="U998" s="2">
        <v>996</v>
      </c>
      <c r="V998" s="6">
        <f t="shared" si="74"/>
        <v>303.58080000000001</v>
      </c>
      <c r="W998" t="s">
        <v>2015</v>
      </c>
      <c r="X998" t="s">
        <v>2241</v>
      </c>
      <c r="Y998" s="1" t="s">
        <v>2010</v>
      </c>
      <c r="AA998" s="2" t="s">
        <v>2771</v>
      </c>
      <c r="AL998">
        <f t="shared" si="75"/>
        <v>26.824982166290283</v>
      </c>
      <c r="AM998">
        <f t="shared" si="76"/>
        <v>73.303842544555664</v>
      </c>
      <c r="AN998">
        <f t="shared" si="77"/>
        <v>76.355099678039551</v>
      </c>
    </row>
    <row r="999" spans="1:40" x14ac:dyDescent="0.2">
      <c r="A999" s="2">
        <v>133</v>
      </c>
      <c r="B999" t="s">
        <v>2739</v>
      </c>
      <c r="C999">
        <v>10.044095993041992</v>
      </c>
      <c r="D999">
        <v>12.764932632446289</v>
      </c>
      <c r="E999">
        <v>16.640579223632812</v>
      </c>
      <c r="H999" t="s">
        <v>1191</v>
      </c>
      <c r="I999" s="2">
        <v>14</v>
      </c>
      <c r="J999" s="2" t="s">
        <v>2512</v>
      </c>
      <c r="K999">
        <v>2020</v>
      </c>
      <c r="L999" s="2" t="s">
        <v>34</v>
      </c>
      <c r="M999" t="s">
        <v>29</v>
      </c>
      <c r="N999" s="31">
        <v>32</v>
      </c>
      <c r="O999">
        <v>0.5</v>
      </c>
      <c r="P999" s="31" t="s">
        <v>2722</v>
      </c>
      <c r="Q999" t="s">
        <v>38</v>
      </c>
      <c r="R999" s="31" t="s">
        <v>39</v>
      </c>
      <c r="S999" s="44"/>
      <c r="T999" s="44"/>
      <c r="U999" s="3"/>
      <c r="V999" s="54"/>
      <c r="W999" t="s">
        <v>2015</v>
      </c>
      <c r="X999" t="s">
        <v>2241</v>
      </c>
      <c r="Y999" s="1" t="s">
        <v>2407</v>
      </c>
      <c r="AA999" s="2" t="s">
        <v>2772</v>
      </c>
      <c r="AL999">
        <f t="shared" si="75"/>
        <v>803.52767944335938</v>
      </c>
      <c r="AM999">
        <f t="shared" si="76"/>
        <v>1021.1946105957031</v>
      </c>
      <c r="AN999">
        <f t="shared" si="77"/>
        <v>1331.246337890625</v>
      </c>
    </row>
    <row r="1000" spans="1:40" x14ac:dyDescent="0.2">
      <c r="A1000" s="2">
        <v>133</v>
      </c>
      <c r="B1000" t="s">
        <v>2740</v>
      </c>
      <c r="C1000">
        <v>5.6162152290344238</v>
      </c>
      <c r="D1000">
        <v>7.5298948287963867</v>
      </c>
      <c r="E1000">
        <v>7.7568283081054688</v>
      </c>
      <c r="H1000" t="s">
        <v>1191</v>
      </c>
      <c r="I1000" s="2">
        <v>14</v>
      </c>
      <c r="J1000" s="2" t="s">
        <v>2512</v>
      </c>
      <c r="K1000">
        <v>2020</v>
      </c>
      <c r="L1000" s="2" t="s">
        <v>34</v>
      </c>
      <c r="M1000" t="s">
        <v>29</v>
      </c>
      <c r="N1000" s="31">
        <v>29</v>
      </c>
      <c r="O1000">
        <v>0.5</v>
      </c>
      <c r="P1000" s="31" t="s">
        <v>2722</v>
      </c>
      <c r="Q1000" t="s">
        <v>38</v>
      </c>
      <c r="R1000" s="31" t="s">
        <v>39</v>
      </c>
      <c r="S1000" s="4">
        <v>34.097839999999998</v>
      </c>
      <c r="T1000" s="4">
        <v>-118.65615</v>
      </c>
      <c r="U1000">
        <v>993</v>
      </c>
      <c r="V1000" s="6">
        <f t="shared" si="74"/>
        <v>302.66640000000001</v>
      </c>
      <c r="W1000" t="s">
        <v>2015</v>
      </c>
      <c r="X1000" t="s">
        <v>2241</v>
      </c>
      <c r="Y1000" s="1" t="s">
        <v>2407</v>
      </c>
      <c r="AA1000" s="2" t="s">
        <v>2773</v>
      </c>
      <c r="AL1000">
        <f t="shared" si="75"/>
        <v>449.29721832275391</v>
      </c>
      <c r="AM1000">
        <f t="shared" si="76"/>
        <v>602.39158630371094</v>
      </c>
      <c r="AN1000">
        <f t="shared" si="77"/>
        <v>620.5462646484375</v>
      </c>
    </row>
    <row r="1001" spans="1:40" x14ac:dyDescent="0.2">
      <c r="A1001" s="2">
        <v>133</v>
      </c>
      <c r="B1001" t="s">
        <v>2741</v>
      </c>
      <c r="C1001">
        <v>0.64792072772979736</v>
      </c>
      <c r="D1001">
        <v>1.2010174989700317</v>
      </c>
      <c r="E1001">
        <v>1.0804004669189453</v>
      </c>
      <c r="H1001" t="s">
        <v>1191</v>
      </c>
      <c r="I1001" s="2">
        <v>14</v>
      </c>
      <c r="J1001" s="2" t="s">
        <v>2512</v>
      </c>
      <c r="K1001">
        <v>2020</v>
      </c>
      <c r="L1001" s="2" t="s">
        <v>34</v>
      </c>
      <c r="M1001" t="s">
        <v>29</v>
      </c>
      <c r="N1001" s="31">
        <v>31.5</v>
      </c>
      <c r="O1001">
        <v>0.5</v>
      </c>
      <c r="P1001" s="31" t="s">
        <v>2722</v>
      </c>
      <c r="Q1001" t="s">
        <v>38</v>
      </c>
      <c r="R1001" s="31" t="s">
        <v>39</v>
      </c>
      <c r="S1001" s="44"/>
      <c r="T1001" s="44"/>
      <c r="U1001" s="3"/>
      <c r="V1001" s="54"/>
      <c r="W1001" t="s">
        <v>2015</v>
      </c>
      <c r="X1001" t="s">
        <v>2241</v>
      </c>
      <c r="Y1001" s="1" t="s">
        <v>2748</v>
      </c>
      <c r="AA1001" s="2" t="s">
        <v>2774</v>
      </c>
      <c r="AL1001">
        <f t="shared" si="75"/>
        <v>51.833658218383789</v>
      </c>
      <c r="AM1001">
        <f t="shared" si="76"/>
        <v>96.081399917602539</v>
      </c>
      <c r="AN1001">
        <f t="shared" si="77"/>
        <v>86.432037353515625</v>
      </c>
    </row>
    <row r="1002" spans="1:40" x14ac:dyDescent="0.2">
      <c r="A1002" s="2">
        <v>133</v>
      </c>
      <c r="B1002" t="s">
        <v>2742</v>
      </c>
      <c r="C1002">
        <v>0</v>
      </c>
      <c r="D1002">
        <v>0</v>
      </c>
      <c r="E1002">
        <v>0</v>
      </c>
      <c r="H1002" t="s">
        <v>1191</v>
      </c>
      <c r="I1002" s="2">
        <v>14</v>
      </c>
      <c r="J1002" s="2" t="s">
        <v>2512</v>
      </c>
      <c r="K1002">
        <v>2020</v>
      </c>
      <c r="L1002" s="2" t="s">
        <v>34</v>
      </c>
      <c r="M1002" t="s">
        <v>29</v>
      </c>
      <c r="N1002" s="31">
        <v>29</v>
      </c>
      <c r="O1002">
        <f>13.5-11.5</f>
        <v>2</v>
      </c>
      <c r="P1002" s="31" t="s">
        <v>2722</v>
      </c>
      <c r="Q1002" t="s">
        <v>38</v>
      </c>
      <c r="R1002" s="31" t="s">
        <v>39</v>
      </c>
      <c r="S1002" s="44"/>
      <c r="T1002" s="44"/>
      <c r="U1002" s="3"/>
      <c r="V1002" s="54"/>
      <c r="W1002" t="s">
        <v>2015</v>
      </c>
      <c r="X1002" t="s">
        <v>2241</v>
      </c>
      <c r="Y1002" s="1" t="s">
        <v>2726</v>
      </c>
      <c r="AA1002" s="2" t="s">
        <v>2775</v>
      </c>
      <c r="AL1002">
        <f t="shared" si="75"/>
        <v>0</v>
      </c>
      <c r="AM1002">
        <f t="shared" si="76"/>
        <v>0</v>
      </c>
      <c r="AN1002">
        <f t="shared" si="77"/>
        <v>0</v>
      </c>
    </row>
    <row r="1003" spans="1:40" x14ac:dyDescent="0.2">
      <c r="A1003" s="2">
        <v>133</v>
      </c>
      <c r="B1003" t="s">
        <v>2743</v>
      </c>
      <c r="C1003">
        <v>0</v>
      </c>
      <c r="D1003">
        <v>0</v>
      </c>
      <c r="E1003">
        <v>0</v>
      </c>
      <c r="H1003" t="s">
        <v>1191</v>
      </c>
      <c r="I1003" s="2">
        <v>14</v>
      </c>
      <c r="J1003" s="2" t="s">
        <v>2512</v>
      </c>
      <c r="K1003">
        <v>2020</v>
      </c>
      <c r="L1003" s="2" t="s">
        <v>34</v>
      </c>
      <c r="M1003" t="s">
        <v>29</v>
      </c>
      <c r="N1003" s="31">
        <v>29.5</v>
      </c>
      <c r="O1003">
        <v>2.5</v>
      </c>
      <c r="P1003" s="31" t="s">
        <v>2722</v>
      </c>
      <c r="Q1003" t="s">
        <v>38</v>
      </c>
      <c r="R1003" s="31" t="s">
        <v>39</v>
      </c>
      <c r="S1003" s="44"/>
      <c r="T1003" s="44"/>
      <c r="U1003" s="3"/>
      <c r="V1003" s="54"/>
      <c r="W1003" t="s">
        <v>2015</v>
      </c>
      <c r="X1003" t="s">
        <v>2241</v>
      </c>
      <c r="Y1003" s="1" t="s">
        <v>2543</v>
      </c>
      <c r="AA1003" s="2" t="s">
        <v>2776</v>
      </c>
      <c r="AL1003">
        <f t="shared" si="75"/>
        <v>0</v>
      </c>
      <c r="AM1003">
        <f t="shared" si="76"/>
        <v>0</v>
      </c>
      <c r="AN1003">
        <f t="shared" si="77"/>
        <v>0</v>
      </c>
    </row>
    <row r="1004" spans="1:40" x14ac:dyDescent="0.2">
      <c r="A1004" s="2">
        <v>133</v>
      </c>
      <c r="B1004" t="s">
        <v>2744</v>
      </c>
      <c r="C1004">
        <v>0.70544326305389404</v>
      </c>
      <c r="D1004">
        <v>0.70782709121704102</v>
      </c>
      <c r="E1004">
        <v>0.71215575933456421</v>
      </c>
      <c r="H1004" t="s">
        <v>1191</v>
      </c>
      <c r="I1004" s="2">
        <v>14</v>
      </c>
      <c r="J1004" s="2" t="s">
        <v>2512</v>
      </c>
      <c r="K1004">
        <v>2020</v>
      </c>
      <c r="L1004" s="2" t="s">
        <v>34</v>
      </c>
      <c r="M1004" t="s">
        <v>29</v>
      </c>
      <c r="N1004" s="31">
        <v>36.5</v>
      </c>
      <c r="O1004">
        <v>2.5</v>
      </c>
      <c r="P1004" s="31" t="s">
        <v>2722</v>
      </c>
      <c r="Q1004" t="s">
        <v>38</v>
      </c>
      <c r="R1004" s="31" t="s">
        <v>39</v>
      </c>
      <c r="S1004" s="44"/>
      <c r="T1004" s="44"/>
      <c r="U1004" s="3"/>
      <c r="V1004" s="54"/>
      <c r="W1004" t="s">
        <v>2015</v>
      </c>
      <c r="X1004" t="s">
        <v>2241</v>
      </c>
      <c r="Y1004" s="1" t="s">
        <v>2543</v>
      </c>
      <c r="AA1004" s="2" t="s">
        <v>2777</v>
      </c>
      <c r="AL1004">
        <f t="shared" si="75"/>
        <v>56.435461044311523</v>
      </c>
      <c r="AM1004">
        <f t="shared" si="76"/>
        <v>56.626167297363281</v>
      </c>
      <c r="AN1004">
        <f t="shared" si="77"/>
        <v>56.972460746765137</v>
      </c>
    </row>
    <row r="1005" spans="1:40" x14ac:dyDescent="0.2">
      <c r="A1005" s="2">
        <v>133</v>
      </c>
      <c r="B1005" t="s">
        <v>2745</v>
      </c>
      <c r="C1005">
        <v>0</v>
      </c>
      <c r="D1005">
        <v>3.433796763420105E-2</v>
      </c>
      <c r="E1005">
        <v>3.1427100300788879E-2</v>
      </c>
      <c r="H1005" t="s">
        <v>1191</v>
      </c>
      <c r="I1005" s="2">
        <v>14</v>
      </c>
      <c r="J1005" s="2" t="s">
        <v>2512</v>
      </c>
      <c r="K1005">
        <v>2020</v>
      </c>
      <c r="L1005" s="2" t="s">
        <v>34</v>
      </c>
      <c r="M1005" t="s">
        <v>29</v>
      </c>
      <c r="N1005" s="31">
        <v>36.5</v>
      </c>
      <c r="O1005">
        <v>2.5</v>
      </c>
      <c r="P1005" s="31" t="s">
        <v>2722</v>
      </c>
      <c r="Q1005" t="s">
        <v>38</v>
      </c>
      <c r="R1005" s="31" t="s">
        <v>39</v>
      </c>
      <c r="S1005" s="44"/>
      <c r="T1005" s="44"/>
      <c r="U1005" s="3"/>
      <c r="V1005" s="54"/>
      <c r="W1005" t="s">
        <v>2015</v>
      </c>
      <c r="X1005" t="s">
        <v>2241</v>
      </c>
      <c r="Y1005" s="1" t="s">
        <v>2012</v>
      </c>
      <c r="AA1005" s="2" t="s">
        <v>2778</v>
      </c>
      <c r="AL1005">
        <f t="shared" si="75"/>
        <v>0</v>
      </c>
      <c r="AM1005">
        <f t="shared" si="76"/>
        <v>2.747037410736084</v>
      </c>
      <c r="AN1005">
        <f t="shared" si="77"/>
        <v>2.5141680240631104</v>
      </c>
    </row>
    <row r="1006" spans="1:40" x14ac:dyDescent="0.2">
      <c r="A1006" s="2">
        <v>133</v>
      </c>
      <c r="B1006" t="s">
        <v>2746</v>
      </c>
      <c r="C1006">
        <v>1.1941400766372681</v>
      </c>
      <c r="D1006">
        <v>2.4297218322753906</v>
      </c>
      <c r="E1006">
        <v>1.7483888864517212</v>
      </c>
      <c r="H1006" t="s">
        <v>1191</v>
      </c>
      <c r="I1006" s="2">
        <v>14</v>
      </c>
      <c r="J1006" s="2" t="s">
        <v>2512</v>
      </c>
      <c r="K1006">
        <v>2020</v>
      </c>
      <c r="L1006" s="2" t="s">
        <v>34</v>
      </c>
      <c r="M1006" t="s">
        <v>29</v>
      </c>
      <c r="N1006" s="31">
        <v>28.5</v>
      </c>
      <c r="O1006">
        <v>2</v>
      </c>
      <c r="P1006" s="31" t="s">
        <v>2722</v>
      </c>
      <c r="Q1006" t="s">
        <v>38</v>
      </c>
      <c r="R1006" s="31" t="s">
        <v>39</v>
      </c>
      <c r="S1006" s="44"/>
      <c r="T1006" s="44"/>
      <c r="U1006" s="3"/>
      <c r="V1006" s="54"/>
      <c r="W1006" t="s">
        <v>2015</v>
      </c>
      <c r="X1006" t="s">
        <v>2241</v>
      </c>
      <c r="Y1006" s="1" t="s">
        <v>2749</v>
      </c>
      <c r="AA1006" s="2" t="s">
        <v>2779</v>
      </c>
      <c r="AL1006">
        <f t="shared" si="75"/>
        <v>95.531206130981445</v>
      </c>
      <c r="AM1006">
        <f t="shared" si="76"/>
        <v>194.37774658203125</v>
      </c>
      <c r="AN1006">
        <f t="shared" si="77"/>
        <v>139.8711109161377</v>
      </c>
    </row>
    <row r="1007" spans="1:40" x14ac:dyDescent="0.2">
      <c r="A1007" s="2">
        <v>135</v>
      </c>
      <c r="B1007" t="s">
        <v>2750</v>
      </c>
      <c r="C1007">
        <v>18.877960205078125</v>
      </c>
      <c r="D1007">
        <v>16.971582412719727</v>
      </c>
      <c r="E1007">
        <v>20.391044616699219</v>
      </c>
      <c r="H1007" t="s">
        <v>1191</v>
      </c>
      <c r="I1007" s="2">
        <v>15</v>
      </c>
      <c r="J1007" s="2" t="s">
        <v>2512</v>
      </c>
      <c r="K1007">
        <v>2020</v>
      </c>
      <c r="L1007" s="2" t="s">
        <v>32</v>
      </c>
      <c r="M1007" t="s">
        <v>46</v>
      </c>
      <c r="N1007" s="31">
        <v>34</v>
      </c>
      <c r="O1007">
        <f>14.5-10.5</f>
        <v>4</v>
      </c>
      <c r="P1007" s="31" t="s">
        <v>2722</v>
      </c>
      <c r="Q1007" t="s">
        <v>38</v>
      </c>
      <c r="R1007" s="31" t="s">
        <v>39</v>
      </c>
      <c r="S1007" s="44"/>
      <c r="T1007" s="44"/>
      <c r="U1007" s="3"/>
      <c r="V1007" s="54"/>
      <c r="W1007" t="s">
        <v>898</v>
      </c>
      <c r="X1007" t="s">
        <v>2256</v>
      </c>
      <c r="Y1007" s="1" t="s">
        <v>1619</v>
      </c>
      <c r="AA1007" s="2" t="s">
        <v>2780</v>
      </c>
      <c r="AL1007">
        <f t="shared" si="75"/>
        <v>1510.23681640625</v>
      </c>
      <c r="AM1007">
        <f t="shared" si="76"/>
        <v>1357.7265930175781</v>
      </c>
      <c r="AN1007">
        <f t="shared" si="77"/>
        <v>1631.2835693359375</v>
      </c>
    </row>
    <row r="1008" spans="1:40" x14ac:dyDescent="0.2">
      <c r="A1008" s="2">
        <v>135</v>
      </c>
      <c r="B1008" t="s">
        <v>2751</v>
      </c>
      <c r="C1008">
        <v>0</v>
      </c>
      <c r="D1008">
        <v>0</v>
      </c>
      <c r="E1008">
        <v>0</v>
      </c>
      <c r="H1008" t="s">
        <v>1191</v>
      </c>
      <c r="I1008" s="2">
        <v>15</v>
      </c>
      <c r="J1008" s="2" t="s">
        <v>2512</v>
      </c>
      <c r="K1008">
        <v>2020</v>
      </c>
      <c r="L1008" s="2" t="s">
        <v>32</v>
      </c>
      <c r="M1008" t="s">
        <v>46</v>
      </c>
      <c r="N1008" s="31">
        <v>27.5</v>
      </c>
      <c r="O1008">
        <v>2</v>
      </c>
      <c r="P1008" s="31" t="s">
        <v>2762</v>
      </c>
      <c r="Q1008" t="s">
        <v>38</v>
      </c>
      <c r="R1008" s="31" t="s">
        <v>39</v>
      </c>
      <c r="S1008" s="44">
        <v>34.695450000000001</v>
      </c>
      <c r="T1008" s="44">
        <v>-120.0416</v>
      </c>
      <c r="U1008" s="3">
        <v>1107</v>
      </c>
      <c r="V1008" s="54">
        <f t="shared" si="74"/>
        <v>337.41360000000003</v>
      </c>
      <c r="W1008" t="s">
        <v>898</v>
      </c>
      <c r="X1008" t="s">
        <v>2256</v>
      </c>
      <c r="Y1008" s="1" t="s">
        <v>2725</v>
      </c>
      <c r="Z1008" t="s">
        <v>2787</v>
      </c>
      <c r="AA1008" s="2" t="s">
        <v>1818</v>
      </c>
      <c r="AL1008">
        <f t="shared" si="75"/>
        <v>0</v>
      </c>
      <c r="AM1008">
        <f t="shared" si="76"/>
        <v>0</v>
      </c>
      <c r="AN1008">
        <f t="shared" si="77"/>
        <v>0</v>
      </c>
    </row>
    <row r="1009" spans="1:40" x14ac:dyDescent="0.2">
      <c r="A1009" s="2">
        <v>135</v>
      </c>
      <c r="B1009" t="s">
        <v>2752</v>
      </c>
      <c r="C1009">
        <v>0.68052840232849121</v>
      </c>
      <c r="D1009">
        <v>1.4216083288192749</v>
      </c>
      <c r="E1009">
        <v>1.525147557258606</v>
      </c>
      <c r="H1009" t="s">
        <v>1191</v>
      </c>
      <c r="I1009" s="2">
        <v>15</v>
      </c>
      <c r="J1009" s="2" t="s">
        <v>2512</v>
      </c>
      <c r="K1009">
        <v>2020</v>
      </c>
      <c r="L1009" s="2" t="s">
        <v>33</v>
      </c>
      <c r="M1009" t="s">
        <v>46</v>
      </c>
      <c r="N1009" s="31">
        <v>75</v>
      </c>
      <c r="O1009">
        <f>70-13</f>
        <v>57</v>
      </c>
      <c r="P1009" s="31" t="s">
        <v>2722</v>
      </c>
      <c r="Q1009" t="s">
        <v>38</v>
      </c>
      <c r="R1009" s="31" t="s">
        <v>39</v>
      </c>
      <c r="S1009" s="44">
        <v>34.695450000000001</v>
      </c>
      <c r="T1009" s="44">
        <v>-120.0416</v>
      </c>
      <c r="U1009" s="3">
        <v>1107</v>
      </c>
      <c r="V1009" s="54">
        <f t="shared" ref="V1009:V1016" si="79">U1009*0.3048</f>
        <v>337.41360000000003</v>
      </c>
      <c r="W1009" t="s">
        <v>898</v>
      </c>
      <c r="X1009" t="s">
        <v>2256</v>
      </c>
      <c r="Y1009" s="1" t="s">
        <v>2760</v>
      </c>
      <c r="AA1009" s="2" t="s">
        <v>2781</v>
      </c>
      <c r="AL1009">
        <f t="shared" si="75"/>
        <v>54.442272186279297</v>
      </c>
      <c r="AM1009">
        <f t="shared" si="76"/>
        <v>113.72866630554199</v>
      </c>
      <c r="AN1009">
        <f t="shared" si="77"/>
        <v>122.01180458068848</v>
      </c>
    </row>
    <row r="1010" spans="1:40" x14ac:dyDescent="0.2">
      <c r="A1010" s="2">
        <v>135</v>
      </c>
      <c r="B1010" t="s">
        <v>2753</v>
      </c>
      <c r="C1010" s="3"/>
      <c r="D1010">
        <v>3.6590170115232468E-2</v>
      </c>
      <c r="E1010">
        <v>3.4740783274173737E-2</v>
      </c>
      <c r="H1010" t="s">
        <v>1191</v>
      </c>
      <c r="I1010" s="2">
        <v>15</v>
      </c>
      <c r="J1010" s="2" t="s">
        <v>2512</v>
      </c>
      <c r="K1010">
        <v>2020</v>
      </c>
      <c r="L1010" s="2" t="s">
        <v>33</v>
      </c>
      <c r="M1010" t="s">
        <v>46</v>
      </c>
      <c r="N1010" s="31">
        <v>78.5</v>
      </c>
      <c r="O1010">
        <f>73-17.5</f>
        <v>55.5</v>
      </c>
      <c r="P1010" s="31" t="s">
        <v>2722</v>
      </c>
      <c r="Q1010" t="s">
        <v>42</v>
      </c>
      <c r="R1010" s="31" t="s">
        <v>39</v>
      </c>
      <c r="S1010" s="44">
        <v>34.695450000000001</v>
      </c>
      <c r="T1010" s="44">
        <v>-120.0416</v>
      </c>
      <c r="U1010" s="3">
        <v>1107</v>
      </c>
      <c r="V1010" s="54">
        <f t="shared" si="79"/>
        <v>337.41360000000003</v>
      </c>
      <c r="W1010" t="s">
        <v>898</v>
      </c>
      <c r="X1010" t="s">
        <v>2256</v>
      </c>
      <c r="Y1010" s="1" t="s">
        <v>2726</v>
      </c>
      <c r="AA1010" s="2" t="s">
        <v>2782</v>
      </c>
      <c r="AL1010">
        <f t="shared" si="75"/>
        <v>0</v>
      </c>
      <c r="AM1010">
        <f t="shared" si="76"/>
        <v>2.9272136092185974</v>
      </c>
      <c r="AN1010">
        <f t="shared" si="77"/>
        <v>2.7792626619338989</v>
      </c>
    </row>
    <row r="1011" spans="1:40" x14ac:dyDescent="0.2">
      <c r="A1011" s="2">
        <v>135</v>
      </c>
      <c r="B1011" t="s">
        <v>2754</v>
      </c>
      <c r="C1011">
        <v>3.3344109058380127</v>
      </c>
      <c r="D1011">
        <v>3.3180923461914062</v>
      </c>
      <c r="E1011">
        <v>3.4317667484283447</v>
      </c>
      <c r="H1011" t="s">
        <v>1191</v>
      </c>
      <c r="I1011" s="2">
        <v>15</v>
      </c>
      <c r="J1011" s="2" t="s">
        <v>2512</v>
      </c>
      <c r="K1011">
        <v>2020</v>
      </c>
      <c r="L1011" s="2" t="s">
        <v>33</v>
      </c>
      <c r="M1011" t="s">
        <v>46</v>
      </c>
      <c r="N1011" s="31">
        <v>88.5</v>
      </c>
      <c r="O1011">
        <v>75</v>
      </c>
      <c r="P1011" s="31" t="s">
        <v>2722</v>
      </c>
      <c r="Q1011" t="s">
        <v>42</v>
      </c>
      <c r="R1011" s="31" t="s">
        <v>39</v>
      </c>
      <c r="S1011" s="44">
        <v>34.695450000000001</v>
      </c>
      <c r="T1011" s="44">
        <v>-120.0416</v>
      </c>
      <c r="U1011" s="3">
        <v>1107</v>
      </c>
      <c r="V1011" s="54">
        <f t="shared" si="79"/>
        <v>337.41360000000003</v>
      </c>
      <c r="W1011" t="s">
        <v>898</v>
      </c>
      <c r="X1011" t="s">
        <v>2256</v>
      </c>
      <c r="Y1011" s="1" t="s">
        <v>2761</v>
      </c>
      <c r="AA1011" s="2" t="s">
        <v>2783</v>
      </c>
      <c r="AL1011">
        <f t="shared" si="75"/>
        <v>266.75287246704102</v>
      </c>
      <c r="AM1011">
        <f t="shared" si="76"/>
        <v>265.4473876953125</v>
      </c>
      <c r="AN1011">
        <f t="shared" si="77"/>
        <v>274.54133987426758</v>
      </c>
    </row>
    <row r="1012" spans="1:40" x14ac:dyDescent="0.2">
      <c r="A1012" s="2">
        <v>135</v>
      </c>
      <c r="B1012" t="s">
        <v>2755</v>
      </c>
      <c r="C1012">
        <v>8.4417095184326172</v>
      </c>
      <c r="D1012">
        <v>10.644291877746582</v>
      </c>
      <c r="E1012">
        <v>13.42291259765625</v>
      </c>
      <c r="H1012" t="s">
        <v>1191</v>
      </c>
      <c r="I1012" s="2">
        <v>15</v>
      </c>
      <c r="J1012" s="2" t="s">
        <v>2512</v>
      </c>
      <c r="K1012">
        <v>2020</v>
      </c>
      <c r="L1012" s="2" t="s">
        <v>32</v>
      </c>
      <c r="M1012" t="s">
        <v>46</v>
      </c>
      <c r="N1012" s="31">
        <v>32</v>
      </c>
      <c r="O1012">
        <v>3</v>
      </c>
      <c r="P1012" s="31" t="s">
        <v>2722</v>
      </c>
      <c r="Q1012" t="s">
        <v>38</v>
      </c>
      <c r="R1012" s="31" t="s">
        <v>39</v>
      </c>
      <c r="S1012" s="44">
        <v>34.695450000000001</v>
      </c>
      <c r="T1012" s="44">
        <v>-120.0416</v>
      </c>
      <c r="U1012" s="3">
        <v>1107</v>
      </c>
      <c r="V1012" s="54">
        <f t="shared" si="79"/>
        <v>337.41360000000003</v>
      </c>
      <c r="W1012" t="s">
        <v>898</v>
      </c>
      <c r="X1012" t="s">
        <v>2256</v>
      </c>
      <c r="Y1012" s="1" t="s">
        <v>2682</v>
      </c>
      <c r="Z1012" t="s">
        <v>2788</v>
      </c>
      <c r="AA1012" s="2" t="s">
        <v>2784</v>
      </c>
      <c r="AL1012">
        <f t="shared" si="75"/>
        <v>675.33676147460938</v>
      </c>
      <c r="AM1012">
        <f t="shared" si="76"/>
        <v>851.54335021972656</v>
      </c>
      <c r="AN1012">
        <f t="shared" si="77"/>
        <v>1073.8330078125</v>
      </c>
    </row>
    <row r="1013" spans="1:40" x14ac:dyDescent="0.2">
      <c r="A1013" s="2">
        <v>135</v>
      </c>
      <c r="B1013" t="s">
        <v>2756</v>
      </c>
      <c r="C1013">
        <v>2.4397826194763184</v>
      </c>
      <c r="D1013">
        <v>3.4906313419342041</v>
      </c>
      <c r="E1013">
        <v>4.8807892799377441</v>
      </c>
      <c r="H1013" t="s">
        <v>1191</v>
      </c>
      <c r="I1013" s="2">
        <v>15</v>
      </c>
      <c r="J1013" s="2" t="s">
        <v>2512</v>
      </c>
      <c r="K1013">
        <v>2020</v>
      </c>
      <c r="L1013" s="2" t="s">
        <v>33</v>
      </c>
      <c r="M1013" t="s">
        <v>46</v>
      </c>
      <c r="N1013" s="31">
        <v>75</v>
      </c>
      <c r="O1013">
        <f>64-7.5</f>
        <v>56.5</v>
      </c>
      <c r="P1013" s="31" t="s">
        <v>2722</v>
      </c>
      <c r="Q1013" t="s">
        <v>38</v>
      </c>
      <c r="R1013" s="31" t="s">
        <v>39</v>
      </c>
      <c r="S1013" s="44">
        <v>34.695450000000001</v>
      </c>
      <c r="T1013" s="44">
        <v>-120.0416</v>
      </c>
      <c r="U1013" s="3">
        <v>1107</v>
      </c>
      <c r="V1013" s="54">
        <f t="shared" si="79"/>
        <v>337.41360000000003</v>
      </c>
      <c r="W1013" t="s">
        <v>898</v>
      </c>
      <c r="X1013" t="s">
        <v>2256</v>
      </c>
      <c r="Y1013" s="1" t="s">
        <v>2012</v>
      </c>
      <c r="Z1013" t="s">
        <v>2789</v>
      </c>
      <c r="AA1013" s="2" t="s">
        <v>465</v>
      </c>
      <c r="AL1013">
        <f t="shared" si="75"/>
        <v>195.18260955810547</v>
      </c>
      <c r="AM1013">
        <f t="shared" si="76"/>
        <v>279.25050735473633</v>
      </c>
      <c r="AN1013">
        <f t="shared" si="77"/>
        <v>390.46314239501953</v>
      </c>
    </row>
    <row r="1014" spans="1:40" x14ac:dyDescent="0.2">
      <c r="A1014" s="2">
        <v>135</v>
      </c>
      <c r="B1014" t="s">
        <v>2757</v>
      </c>
      <c r="C1014">
        <v>4.1822075843811035E-2</v>
      </c>
      <c r="D1014">
        <v>3.9951417595148087E-2</v>
      </c>
      <c r="E1014">
        <v>6.9535665214061737E-2</v>
      </c>
      <c r="H1014" t="s">
        <v>1186</v>
      </c>
      <c r="I1014" s="2">
        <v>15</v>
      </c>
      <c r="J1014" s="2" t="s">
        <v>2512</v>
      </c>
      <c r="K1014">
        <v>2020</v>
      </c>
      <c r="L1014" s="2" t="s">
        <v>32</v>
      </c>
      <c r="M1014" t="s">
        <v>46</v>
      </c>
      <c r="N1014" s="31">
        <v>31</v>
      </c>
      <c r="O1014">
        <v>3.5</v>
      </c>
      <c r="P1014" s="31" t="s">
        <v>2722</v>
      </c>
      <c r="Q1014" t="s">
        <v>38</v>
      </c>
      <c r="R1014" s="31" t="s">
        <v>39</v>
      </c>
      <c r="S1014" s="44">
        <v>34.695450000000001</v>
      </c>
      <c r="T1014" s="44">
        <v>-120.0416</v>
      </c>
      <c r="U1014" s="3">
        <v>1107</v>
      </c>
      <c r="V1014" s="54">
        <f t="shared" si="79"/>
        <v>337.41360000000003</v>
      </c>
      <c r="W1014" t="s">
        <v>898</v>
      </c>
      <c r="X1014" t="s">
        <v>2256</v>
      </c>
      <c r="Y1014" s="1" t="s">
        <v>2749</v>
      </c>
      <c r="AA1014" s="2" t="s">
        <v>2785</v>
      </c>
      <c r="AL1014">
        <f t="shared" si="75"/>
        <v>3.3457660675048828</v>
      </c>
      <c r="AM1014">
        <f t="shared" si="76"/>
        <v>3.1961134076118469</v>
      </c>
      <c r="AN1014">
        <f t="shared" si="77"/>
        <v>5.562853217124939</v>
      </c>
    </row>
    <row r="1015" spans="1:40" x14ac:dyDescent="0.2">
      <c r="A1015" s="2">
        <v>135</v>
      </c>
      <c r="B1015" t="s">
        <v>2758</v>
      </c>
      <c r="C1015">
        <v>0</v>
      </c>
      <c r="D1015">
        <v>6.9617494940757751E-2</v>
      </c>
      <c r="E1015">
        <v>3.7174560129642487E-2</v>
      </c>
      <c r="H1015" t="s">
        <v>1191</v>
      </c>
      <c r="I1015" s="2">
        <v>15</v>
      </c>
      <c r="J1015" s="2" t="s">
        <v>2512</v>
      </c>
      <c r="K1015">
        <v>2020</v>
      </c>
      <c r="L1015" s="2" t="s">
        <v>32</v>
      </c>
      <c r="M1015" t="s">
        <v>46</v>
      </c>
      <c r="N1015" s="31">
        <v>29.5</v>
      </c>
      <c r="O1015">
        <v>2</v>
      </c>
      <c r="P1015" s="31" t="s">
        <v>2722</v>
      </c>
      <c r="Q1015" t="s">
        <v>38</v>
      </c>
      <c r="R1015" s="31" t="s">
        <v>39</v>
      </c>
      <c r="S1015" s="44">
        <v>34.695450000000001</v>
      </c>
      <c r="T1015" s="44">
        <v>-120.0416</v>
      </c>
      <c r="U1015" s="3">
        <v>1107</v>
      </c>
      <c r="V1015" s="54">
        <f t="shared" si="79"/>
        <v>337.41360000000003</v>
      </c>
      <c r="W1015" t="s">
        <v>898</v>
      </c>
      <c r="X1015" t="s">
        <v>2256</v>
      </c>
      <c r="Y1015" s="1" t="s">
        <v>2684</v>
      </c>
      <c r="Z1015" t="s">
        <v>2790</v>
      </c>
      <c r="AA1015" s="2" t="s">
        <v>2786</v>
      </c>
      <c r="AL1015">
        <f t="shared" si="75"/>
        <v>0</v>
      </c>
      <c r="AM1015">
        <f t="shared" si="76"/>
        <v>5.5693995952606201</v>
      </c>
      <c r="AN1015">
        <f t="shared" si="77"/>
        <v>2.9739648103713989</v>
      </c>
    </row>
    <row r="1016" spans="1:40" x14ac:dyDescent="0.2">
      <c r="A1016" s="2">
        <v>135</v>
      </c>
      <c r="B1016" t="s">
        <v>2759</v>
      </c>
      <c r="C1016">
        <v>2.2169191837310791</v>
      </c>
      <c r="D1016">
        <v>3.3949906826019287</v>
      </c>
      <c r="E1016">
        <v>3.7638652324676514</v>
      </c>
      <c r="H1016" t="s">
        <v>1191</v>
      </c>
      <c r="I1016" s="2">
        <v>15</v>
      </c>
      <c r="J1016" s="2" t="s">
        <v>2512</v>
      </c>
      <c r="K1016">
        <v>2020</v>
      </c>
      <c r="L1016" s="2" t="s">
        <v>32</v>
      </c>
      <c r="M1016" t="s">
        <v>46</v>
      </c>
      <c r="N1016" s="31">
        <v>34</v>
      </c>
      <c r="O1016">
        <f>16-13.5</f>
        <v>2.5</v>
      </c>
      <c r="P1016" s="31" t="s">
        <v>2722</v>
      </c>
      <c r="Q1016" t="s">
        <v>38</v>
      </c>
      <c r="R1016" s="31" t="s">
        <v>39</v>
      </c>
      <c r="S1016" s="44">
        <v>34.695450000000001</v>
      </c>
      <c r="T1016" s="44">
        <v>-120.0416</v>
      </c>
      <c r="U1016" s="3">
        <v>1107</v>
      </c>
      <c r="V1016" s="54">
        <f t="shared" si="79"/>
        <v>337.41360000000003</v>
      </c>
      <c r="W1016" t="s">
        <v>898</v>
      </c>
      <c r="X1016" t="s">
        <v>2256</v>
      </c>
      <c r="Y1016" s="1" t="s">
        <v>1621</v>
      </c>
      <c r="AL1016">
        <f t="shared" si="75"/>
        <v>177.35353469848633</v>
      </c>
      <c r="AM1016">
        <f t="shared" si="76"/>
        <v>271.5992546081543</v>
      </c>
      <c r="AN1016">
        <f t="shared" si="77"/>
        <v>301.10921859741211</v>
      </c>
    </row>
    <row r="1017" spans="1:40" x14ac:dyDescent="0.2">
      <c r="A1017" s="2">
        <v>137</v>
      </c>
      <c r="B1017" t="s">
        <v>2844</v>
      </c>
      <c r="C1017">
        <v>0</v>
      </c>
      <c r="D1017">
        <v>0</v>
      </c>
      <c r="E1017">
        <v>0</v>
      </c>
      <c r="I1017" s="2">
        <v>18</v>
      </c>
      <c r="J1017" s="2" t="s">
        <v>319</v>
      </c>
      <c r="K1017">
        <v>2020</v>
      </c>
      <c r="L1017" s="2" t="s">
        <v>32</v>
      </c>
      <c r="M1017" t="s">
        <v>578</v>
      </c>
      <c r="N1017" s="31">
        <v>33.5</v>
      </c>
      <c r="O1017">
        <f>25-21.5</f>
        <v>3.5</v>
      </c>
      <c r="P1017" s="31" t="s">
        <v>30</v>
      </c>
      <c r="Q1017" t="s">
        <v>42</v>
      </c>
      <c r="R1017" s="31" t="s">
        <v>39</v>
      </c>
      <c r="S1017" s="4">
        <v>36.38599</v>
      </c>
      <c r="T1017" s="4">
        <v>121.55181</v>
      </c>
      <c r="U1017">
        <v>1735</v>
      </c>
      <c r="V1017" s="6">
        <f t="shared" si="74"/>
        <v>528.82799999999997</v>
      </c>
      <c r="W1017" t="s">
        <v>2324</v>
      </c>
      <c r="X1017" t="s">
        <v>2985</v>
      </c>
      <c r="Y1017" s="1" t="s">
        <v>597</v>
      </c>
      <c r="Z1017" t="s">
        <v>2986</v>
      </c>
      <c r="AA1017" t="s">
        <v>2987</v>
      </c>
      <c r="AL1017">
        <f t="shared" si="75"/>
        <v>0</v>
      </c>
      <c r="AM1017">
        <f t="shared" si="76"/>
        <v>0</v>
      </c>
      <c r="AN1017">
        <f t="shared" si="77"/>
        <v>0</v>
      </c>
    </row>
    <row r="1018" spans="1:40" x14ac:dyDescent="0.2">
      <c r="A1018" s="2">
        <v>137</v>
      </c>
      <c r="B1018" t="s">
        <v>2845</v>
      </c>
      <c r="C1018">
        <v>0</v>
      </c>
      <c r="D1018">
        <v>0</v>
      </c>
      <c r="E1018">
        <v>0</v>
      </c>
      <c r="I1018" s="2">
        <v>18</v>
      </c>
      <c r="J1018" s="2" t="s">
        <v>319</v>
      </c>
      <c r="K1018">
        <v>2020</v>
      </c>
      <c r="L1018" s="2" t="s">
        <v>32</v>
      </c>
      <c r="M1018" t="s">
        <v>578</v>
      </c>
      <c r="N1018" s="31">
        <v>31.5</v>
      </c>
      <c r="O1018">
        <f>19.5-18</f>
        <v>1.5</v>
      </c>
      <c r="P1018" s="31" t="s">
        <v>30</v>
      </c>
      <c r="Q1018" t="s">
        <v>42</v>
      </c>
      <c r="R1018" s="31" t="s">
        <v>39</v>
      </c>
      <c r="S1018" s="4">
        <v>36.38599</v>
      </c>
      <c r="T1018" s="4">
        <v>121.55181</v>
      </c>
      <c r="U1018">
        <v>1735</v>
      </c>
      <c r="V1018" s="6">
        <f t="shared" si="74"/>
        <v>528.82799999999997</v>
      </c>
      <c r="W1018" t="s">
        <v>2324</v>
      </c>
      <c r="X1018" t="s">
        <v>2985</v>
      </c>
      <c r="Y1018" s="1" t="s">
        <v>597</v>
      </c>
      <c r="AA1018" t="s">
        <v>2988</v>
      </c>
      <c r="AL1018">
        <f t="shared" si="75"/>
        <v>0</v>
      </c>
      <c r="AM1018">
        <f t="shared" si="76"/>
        <v>0</v>
      </c>
      <c r="AN1018">
        <f t="shared" si="77"/>
        <v>0</v>
      </c>
    </row>
    <row r="1019" spans="1:40" x14ac:dyDescent="0.2">
      <c r="A1019" s="2">
        <v>140</v>
      </c>
      <c r="B1019" t="s">
        <v>2846</v>
      </c>
      <c r="C1019">
        <v>0</v>
      </c>
      <c r="D1019">
        <v>0</v>
      </c>
      <c r="E1019">
        <v>0</v>
      </c>
      <c r="I1019" s="2">
        <v>19</v>
      </c>
      <c r="J1019" s="2" t="s">
        <v>319</v>
      </c>
      <c r="K1019">
        <v>2020</v>
      </c>
      <c r="L1019" s="2" t="s">
        <v>32</v>
      </c>
      <c r="M1019" t="s">
        <v>578</v>
      </c>
      <c r="N1019" s="31">
        <v>30.1</v>
      </c>
      <c r="O1019">
        <v>3</v>
      </c>
      <c r="P1019" s="31" t="s">
        <v>30</v>
      </c>
      <c r="Q1019" t="s">
        <v>42</v>
      </c>
      <c r="R1019" s="31" t="s">
        <v>39</v>
      </c>
      <c r="S1019" s="4">
        <v>36.38599</v>
      </c>
      <c r="T1019" s="4">
        <v>121.55181</v>
      </c>
      <c r="U1019">
        <v>1735</v>
      </c>
      <c r="V1019" s="6">
        <f t="shared" si="74"/>
        <v>528.82799999999997</v>
      </c>
      <c r="W1019" t="s">
        <v>2324</v>
      </c>
      <c r="X1019" t="s">
        <v>2985</v>
      </c>
      <c r="Y1019" s="1" t="s">
        <v>1599</v>
      </c>
      <c r="Z1019" t="s">
        <v>2989</v>
      </c>
      <c r="AA1019" t="s">
        <v>2990</v>
      </c>
      <c r="AL1019">
        <f t="shared" si="75"/>
        <v>0</v>
      </c>
      <c r="AM1019">
        <f t="shared" si="76"/>
        <v>0</v>
      </c>
      <c r="AN1019">
        <f t="shared" si="77"/>
        <v>0</v>
      </c>
    </row>
    <row r="1020" spans="1:40" x14ac:dyDescent="0.2">
      <c r="A1020" s="2">
        <v>142</v>
      </c>
      <c r="B1020" t="s">
        <v>2847</v>
      </c>
      <c r="C1020">
        <v>0</v>
      </c>
      <c r="D1020">
        <v>0</v>
      </c>
      <c r="E1020">
        <v>0</v>
      </c>
      <c r="I1020" s="2">
        <v>21</v>
      </c>
      <c r="J1020" s="2" t="s">
        <v>319</v>
      </c>
      <c r="K1020">
        <v>2020</v>
      </c>
      <c r="L1020" s="2" t="s">
        <v>32</v>
      </c>
      <c r="M1020" t="s">
        <v>1319</v>
      </c>
      <c r="N1020" s="31">
        <v>32</v>
      </c>
      <c r="O1020">
        <f>12-9.5</f>
        <v>2.5</v>
      </c>
      <c r="P1020" s="31" t="s">
        <v>30</v>
      </c>
      <c r="Q1020" t="s">
        <v>38</v>
      </c>
      <c r="R1020" s="31" t="s">
        <v>39</v>
      </c>
      <c r="V1020" s="6">
        <f t="shared" si="74"/>
        <v>0</v>
      </c>
      <c r="W1020" t="s">
        <v>898</v>
      </c>
      <c r="X1020" t="s">
        <v>2641</v>
      </c>
      <c r="Y1020" s="1" t="s">
        <v>750</v>
      </c>
      <c r="AA1020" t="s">
        <v>2991</v>
      </c>
      <c r="AL1020">
        <f t="shared" si="75"/>
        <v>0</v>
      </c>
      <c r="AM1020">
        <f t="shared" si="76"/>
        <v>0</v>
      </c>
      <c r="AN1020">
        <f t="shared" si="77"/>
        <v>0</v>
      </c>
    </row>
    <row r="1021" spans="1:40" x14ac:dyDescent="0.2">
      <c r="A1021" s="2">
        <v>143</v>
      </c>
      <c r="B1021" t="s">
        <v>2848</v>
      </c>
      <c r="C1021">
        <v>0</v>
      </c>
      <c r="D1021">
        <v>0</v>
      </c>
      <c r="E1021">
        <v>0</v>
      </c>
      <c r="I1021" s="2">
        <v>21</v>
      </c>
      <c r="J1021" s="2" t="s">
        <v>319</v>
      </c>
      <c r="K1021">
        <v>2020</v>
      </c>
      <c r="L1021" s="2" t="s">
        <v>32</v>
      </c>
      <c r="M1021" t="s">
        <v>1319</v>
      </c>
      <c r="N1021" s="31">
        <v>29</v>
      </c>
      <c r="O1021">
        <f>10-7.5</f>
        <v>2.5</v>
      </c>
      <c r="P1021" s="31" t="s">
        <v>30</v>
      </c>
      <c r="Q1021" t="s">
        <v>38</v>
      </c>
      <c r="R1021" s="31" t="s">
        <v>39</v>
      </c>
      <c r="S1021" s="4">
        <v>38.477719999999998</v>
      </c>
      <c r="T1021" s="4">
        <v>-122.14245</v>
      </c>
      <c r="U1021">
        <v>1096</v>
      </c>
      <c r="V1021" s="6">
        <f t="shared" ref="V1021" si="80">U1021*0.3048</f>
        <v>334.06080000000003</v>
      </c>
      <c r="W1021" t="s">
        <v>898</v>
      </c>
      <c r="X1021" t="s">
        <v>2239</v>
      </c>
      <c r="Y1021" s="1" t="s">
        <v>2992</v>
      </c>
      <c r="AA1021" t="s">
        <v>2993</v>
      </c>
      <c r="AL1021">
        <f t="shared" si="75"/>
        <v>0</v>
      </c>
      <c r="AM1021">
        <f t="shared" si="76"/>
        <v>0</v>
      </c>
      <c r="AN1021">
        <f t="shared" si="77"/>
        <v>0</v>
      </c>
    </row>
    <row r="1022" spans="1:40" x14ac:dyDescent="0.2">
      <c r="A1022" s="2">
        <v>143</v>
      </c>
      <c r="B1022" t="s">
        <v>2849</v>
      </c>
      <c r="C1022">
        <v>0</v>
      </c>
      <c r="D1022">
        <v>0</v>
      </c>
      <c r="E1022">
        <v>0</v>
      </c>
      <c r="I1022" s="2">
        <v>21</v>
      </c>
      <c r="J1022" s="2" t="s">
        <v>319</v>
      </c>
      <c r="K1022">
        <v>2020</v>
      </c>
      <c r="L1022" s="2" t="s">
        <v>32</v>
      </c>
      <c r="M1022" t="s">
        <v>1319</v>
      </c>
      <c r="N1022" s="31">
        <v>30.5</v>
      </c>
      <c r="O1022">
        <f>19.5-16.5</f>
        <v>3</v>
      </c>
      <c r="P1022" s="31" t="s">
        <v>30</v>
      </c>
      <c r="Q1022" t="s">
        <v>42</v>
      </c>
      <c r="R1022" s="31" t="s">
        <v>39</v>
      </c>
      <c r="S1022" s="4">
        <v>38.477719999999998</v>
      </c>
      <c r="T1022" s="4">
        <v>-122.14245</v>
      </c>
      <c r="U1022">
        <v>1096</v>
      </c>
      <c r="V1022" s="6">
        <f t="shared" ref="V1022:V1045" si="81">U1022*0.3048</f>
        <v>334.06080000000003</v>
      </c>
      <c r="W1022" t="s">
        <v>898</v>
      </c>
      <c r="X1022" t="s">
        <v>2239</v>
      </c>
      <c r="Y1022" s="1" t="s">
        <v>1600</v>
      </c>
      <c r="AA1022" t="s">
        <v>2224</v>
      </c>
      <c r="AL1022">
        <f t="shared" si="75"/>
        <v>0</v>
      </c>
      <c r="AM1022">
        <f t="shared" si="76"/>
        <v>0</v>
      </c>
      <c r="AN1022">
        <f t="shared" si="77"/>
        <v>0</v>
      </c>
    </row>
    <row r="1023" spans="1:40" x14ac:dyDescent="0.2">
      <c r="B1023" t="s">
        <v>2850</v>
      </c>
      <c r="C1023">
        <v>0</v>
      </c>
      <c r="D1023">
        <v>0</v>
      </c>
      <c r="E1023">
        <v>0</v>
      </c>
      <c r="I1023" s="2">
        <v>22</v>
      </c>
      <c r="J1023" s="2" t="s">
        <v>319</v>
      </c>
      <c r="K1023">
        <v>2020</v>
      </c>
      <c r="L1023" s="2" t="s">
        <v>32</v>
      </c>
      <c r="M1023" t="s">
        <v>1319</v>
      </c>
      <c r="N1023" s="31">
        <v>35</v>
      </c>
      <c r="O1023">
        <f>24.5-22</f>
        <v>2.5</v>
      </c>
      <c r="P1023" s="31" t="s">
        <v>30</v>
      </c>
      <c r="Q1023" t="s">
        <v>83</v>
      </c>
      <c r="R1023" s="31" t="s">
        <v>39</v>
      </c>
      <c r="S1023" s="4">
        <v>38.478540000000002</v>
      </c>
      <c r="T1023" s="4">
        <v>122.14349</v>
      </c>
      <c r="U1023">
        <v>1308</v>
      </c>
      <c r="V1023" s="6">
        <f t="shared" si="81"/>
        <v>398.67840000000001</v>
      </c>
      <c r="W1023" t="s">
        <v>3116</v>
      </c>
      <c r="X1023" t="s">
        <v>2994</v>
      </c>
      <c r="Z1023" t="s">
        <v>2995</v>
      </c>
      <c r="AA1023" t="s">
        <v>2996</v>
      </c>
      <c r="AL1023">
        <f t="shared" si="75"/>
        <v>0</v>
      </c>
      <c r="AM1023">
        <f t="shared" si="76"/>
        <v>0</v>
      </c>
      <c r="AN1023">
        <f t="shared" si="77"/>
        <v>0</v>
      </c>
    </row>
    <row r="1024" spans="1:40" x14ac:dyDescent="0.2">
      <c r="A1024">
        <v>149</v>
      </c>
      <c r="B1024" t="s">
        <v>2851</v>
      </c>
      <c r="C1024">
        <v>0</v>
      </c>
      <c r="D1024">
        <v>0</v>
      </c>
      <c r="E1024">
        <v>0</v>
      </c>
      <c r="I1024" s="2">
        <v>26</v>
      </c>
      <c r="J1024" s="2" t="s">
        <v>319</v>
      </c>
      <c r="K1024">
        <v>2020</v>
      </c>
      <c r="L1024" s="2" t="s">
        <v>758</v>
      </c>
      <c r="M1024" t="s">
        <v>759</v>
      </c>
      <c r="N1024" s="31">
        <v>38.5</v>
      </c>
      <c r="O1024">
        <f>52.5-46.5</f>
        <v>6</v>
      </c>
      <c r="P1024" s="31" t="s">
        <v>30</v>
      </c>
      <c r="R1024" s="45" t="s">
        <v>39</v>
      </c>
      <c r="S1024" s="4">
        <v>39.74033</v>
      </c>
      <c r="T1024" s="4">
        <v>123.63178000000001</v>
      </c>
      <c r="U1024">
        <v>1398</v>
      </c>
      <c r="V1024" s="6">
        <f t="shared" si="81"/>
        <v>426.11040000000003</v>
      </c>
      <c r="W1024" t="s">
        <v>2015</v>
      </c>
      <c r="X1024" t="s">
        <v>2997</v>
      </c>
      <c r="Y1024" s="1" t="s">
        <v>751</v>
      </c>
      <c r="Z1024" t="s">
        <v>2998</v>
      </c>
      <c r="AL1024">
        <f t="shared" si="75"/>
        <v>0</v>
      </c>
      <c r="AM1024">
        <f t="shared" si="76"/>
        <v>0</v>
      </c>
      <c r="AN1024">
        <f t="shared" si="77"/>
        <v>0</v>
      </c>
    </row>
    <row r="1025" spans="1:40" x14ac:dyDescent="0.2">
      <c r="A1025">
        <v>149</v>
      </c>
      <c r="B1025" t="s">
        <v>2852</v>
      </c>
      <c r="C1025">
        <v>0.19773834943771362</v>
      </c>
      <c r="D1025">
        <v>9.1546967625617981E-2</v>
      </c>
      <c r="E1025">
        <v>7.3377221822738647E-2</v>
      </c>
      <c r="I1025" s="2">
        <v>26</v>
      </c>
      <c r="J1025" s="2" t="s">
        <v>319</v>
      </c>
      <c r="K1025">
        <v>2020</v>
      </c>
      <c r="L1025" s="2" t="s">
        <v>758</v>
      </c>
      <c r="M1025" t="s">
        <v>759</v>
      </c>
      <c r="N1025" s="31">
        <v>39.5</v>
      </c>
      <c r="O1025">
        <f>72.5-64</f>
        <v>8.5</v>
      </c>
      <c r="P1025" s="31" t="s">
        <v>30</v>
      </c>
      <c r="R1025" s="45" t="s">
        <v>39</v>
      </c>
      <c r="S1025" s="4">
        <v>39.740310000000001</v>
      </c>
      <c r="T1025" s="4">
        <v>123.63168</v>
      </c>
      <c r="U1025">
        <v>1379</v>
      </c>
      <c r="V1025" s="6">
        <f t="shared" si="81"/>
        <v>420.31920000000002</v>
      </c>
      <c r="W1025" t="s">
        <v>2015</v>
      </c>
      <c r="X1025" t="s">
        <v>2997</v>
      </c>
      <c r="Y1025" s="1" t="s">
        <v>76</v>
      </c>
      <c r="Z1025" t="s">
        <v>2999</v>
      </c>
      <c r="AL1025">
        <f t="shared" si="75"/>
        <v>15.81906795501709</v>
      </c>
      <c r="AM1025">
        <f t="shared" si="76"/>
        <v>7.3237574100494385</v>
      </c>
      <c r="AN1025">
        <f t="shared" si="77"/>
        <v>5.8701777458190918</v>
      </c>
    </row>
    <row r="1026" spans="1:40" x14ac:dyDescent="0.2">
      <c r="A1026">
        <v>149</v>
      </c>
      <c r="B1026" t="s">
        <v>2853</v>
      </c>
      <c r="C1026">
        <v>0</v>
      </c>
      <c r="D1026">
        <v>0</v>
      </c>
      <c r="E1026">
        <v>0</v>
      </c>
      <c r="I1026" s="2">
        <v>26</v>
      </c>
      <c r="J1026" s="2" t="s">
        <v>319</v>
      </c>
      <c r="K1026">
        <v>2020</v>
      </c>
      <c r="L1026" s="2" t="s">
        <v>32</v>
      </c>
      <c r="M1026" t="s">
        <v>759</v>
      </c>
      <c r="N1026" s="31">
        <v>32</v>
      </c>
      <c r="O1026">
        <f>5-3</f>
        <v>2</v>
      </c>
      <c r="P1026" s="31" t="s">
        <v>30</v>
      </c>
      <c r="Q1026" s="2" t="s">
        <v>42</v>
      </c>
      <c r="R1026" s="31" t="s">
        <v>39</v>
      </c>
      <c r="S1026" s="4">
        <v>39.740859999999998</v>
      </c>
      <c r="T1026" s="4">
        <v>123.62878000000001</v>
      </c>
      <c r="U1026">
        <v>1450</v>
      </c>
      <c r="V1026" s="6">
        <f t="shared" si="81"/>
        <v>441.96000000000004</v>
      </c>
      <c r="W1026" t="s">
        <v>2015</v>
      </c>
      <c r="X1026" t="s">
        <v>2997</v>
      </c>
      <c r="Y1026" s="1" t="s">
        <v>2809</v>
      </c>
      <c r="Z1026" t="s">
        <v>3000</v>
      </c>
      <c r="AL1026">
        <f t="shared" si="75"/>
        <v>0</v>
      </c>
      <c r="AM1026">
        <f t="shared" si="76"/>
        <v>0</v>
      </c>
      <c r="AN1026">
        <f t="shared" si="77"/>
        <v>0</v>
      </c>
    </row>
    <row r="1027" spans="1:40" x14ac:dyDescent="0.2">
      <c r="A1027">
        <v>150</v>
      </c>
      <c r="B1027" t="s">
        <v>2854</v>
      </c>
      <c r="C1027">
        <v>0</v>
      </c>
      <c r="D1027">
        <v>0</v>
      </c>
      <c r="E1027">
        <v>0</v>
      </c>
      <c r="I1027" s="2">
        <v>27</v>
      </c>
      <c r="J1027" s="2" t="s">
        <v>319</v>
      </c>
      <c r="K1027">
        <v>2020</v>
      </c>
      <c r="L1027" s="2" t="s">
        <v>758</v>
      </c>
      <c r="M1027" t="s">
        <v>759</v>
      </c>
      <c r="N1027" s="31">
        <v>47</v>
      </c>
      <c r="O1027">
        <f>52-15.5</f>
        <v>36.5</v>
      </c>
      <c r="P1027" s="31" t="s">
        <v>30</v>
      </c>
      <c r="Q1027" t="s">
        <v>38</v>
      </c>
      <c r="R1027" s="31" t="s">
        <v>39</v>
      </c>
      <c r="S1027" s="4">
        <v>39.71799</v>
      </c>
      <c r="T1027" s="4">
        <v>123.65276</v>
      </c>
      <c r="U1027">
        <v>1427</v>
      </c>
      <c r="V1027" s="6">
        <f t="shared" si="81"/>
        <v>434.94960000000003</v>
      </c>
      <c r="W1027" t="s">
        <v>2015</v>
      </c>
      <c r="X1027" t="s">
        <v>3001</v>
      </c>
      <c r="Y1027" s="1" t="s">
        <v>3002</v>
      </c>
      <c r="Z1027" t="s">
        <v>3005</v>
      </c>
      <c r="AA1027" t="s">
        <v>3004</v>
      </c>
      <c r="AL1027">
        <f t="shared" si="75"/>
        <v>0</v>
      </c>
      <c r="AM1027">
        <f t="shared" si="76"/>
        <v>0</v>
      </c>
      <c r="AN1027">
        <f t="shared" si="77"/>
        <v>0</v>
      </c>
    </row>
    <row r="1028" spans="1:40" x14ac:dyDescent="0.2">
      <c r="A1028">
        <v>150</v>
      </c>
      <c r="B1028" t="s">
        <v>2855</v>
      </c>
      <c r="C1028">
        <v>0</v>
      </c>
      <c r="D1028">
        <v>0</v>
      </c>
      <c r="E1028">
        <v>0</v>
      </c>
      <c r="I1028" s="2">
        <v>27</v>
      </c>
      <c r="J1028" s="2" t="s">
        <v>319</v>
      </c>
      <c r="K1028">
        <v>2020</v>
      </c>
      <c r="L1028" s="2" t="s">
        <v>32</v>
      </c>
      <c r="M1028" t="s">
        <v>759</v>
      </c>
      <c r="N1028" s="31">
        <v>30</v>
      </c>
      <c r="O1028">
        <f>22.5-20</f>
        <v>2.5</v>
      </c>
      <c r="P1028" s="31" t="s">
        <v>30</v>
      </c>
      <c r="Q1028" t="s">
        <v>42</v>
      </c>
      <c r="R1028" s="31" t="s">
        <v>39</v>
      </c>
      <c r="S1028" s="44"/>
      <c r="T1028" s="44"/>
      <c r="U1028" s="3"/>
      <c r="V1028" s="54"/>
      <c r="W1028" t="s">
        <v>2015</v>
      </c>
      <c r="X1028" t="s">
        <v>3001</v>
      </c>
      <c r="Y1028" s="1" t="s">
        <v>3003</v>
      </c>
      <c r="Z1028" t="s">
        <v>3006</v>
      </c>
      <c r="AL1028">
        <f t="shared" si="75"/>
        <v>0</v>
      </c>
      <c r="AM1028">
        <f t="shared" si="76"/>
        <v>0</v>
      </c>
      <c r="AN1028">
        <f t="shared" si="77"/>
        <v>0</v>
      </c>
    </row>
    <row r="1029" spans="1:40" x14ac:dyDescent="0.2">
      <c r="A1029">
        <v>150</v>
      </c>
      <c r="B1029" t="s">
        <v>2856</v>
      </c>
      <c r="C1029">
        <v>0</v>
      </c>
      <c r="D1029">
        <v>0</v>
      </c>
      <c r="E1029">
        <v>0</v>
      </c>
      <c r="I1029" s="2">
        <v>27</v>
      </c>
      <c r="J1029" s="2" t="s">
        <v>319</v>
      </c>
      <c r="K1029">
        <v>2020</v>
      </c>
      <c r="L1029" s="2" t="s">
        <v>758</v>
      </c>
      <c r="M1029" t="s">
        <v>759</v>
      </c>
      <c r="N1029" s="31">
        <v>37.5</v>
      </c>
      <c r="O1029">
        <f>23.5-19</f>
        <v>4.5</v>
      </c>
      <c r="P1029" s="31" t="s">
        <v>30</v>
      </c>
      <c r="R1029" t="s">
        <v>89</v>
      </c>
      <c r="S1029" s="4">
        <v>39.71799</v>
      </c>
      <c r="T1029" s="4">
        <v>123.65276</v>
      </c>
      <c r="U1029">
        <v>1453</v>
      </c>
      <c r="V1029" s="6">
        <f t="shared" si="81"/>
        <v>442.87440000000004</v>
      </c>
      <c r="W1029" t="s">
        <v>2015</v>
      </c>
      <c r="X1029" t="s">
        <v>3001</v>
      </c>
      <c r="Y1029" s="1" t="s">
        <v>2817</v>
      </c>
      <c r="Z1029" t="s">
        <v>3007</v>
      </c>
      <c r="AL1029">
        <f t="shared" si="75"/>
        <v>0</v>
      </c>
      <c r="AM1029">
        <f t="shared" si="76"/>
        <v>0</v>
      </c>
      <c r="AN1029">
        <f t="shared" si="77"/>
        <v>0</v>
      </c>
    </row>
    <row r="1030" spans="1:40" x14ac:dyDescent="0.2">
      <c r="A1030">
        <v>151</v>
      </c>
      <c r="B1030" t="s">
        <v>2857</v>
      </c>
      <c r="C1030">
        <v>0</v>
      </c>
      <c r="D1030">
        <v>0</v>
      </c>
      <c r="E1030">
        <v>0</v>
      </c>
      <c r="I1030" s="2">
        <v>28</v>
      </c>
      <c r="J1030" s="2" t="s">
        <v>319</v>
      </c>
      <c r="K1030">
        <v>2020</v>
      </c>
      <c r="L1030" s="2" t="s">
        <v>32</v>
      </c>
      <c r="M1030" t="s">
        <v>759</v>
      </c>
      <c r="N1030" s="31">
        <v>33</v>
      </c>
      <c r="O1030">
        <f>25-21</f>
        <v>4</v>
      </c>
      <c r="P1030" s="31" t="s">
        <v>30</v>
      </c>
      <c r="Q1030" t="s">
        <v>38</v>
      </c>
      <c r="R1030" s="31" t="s">
        <v>39</v>
      </c>
      <c r="S1030" s="4">
        <v>39.724809999999998</v>
      </c>
      <c r="T1030" s="4">
        <v>123.64439</v>
      </c>
      <c r="U1030">
        <v>1386</v>
      </c>
      <c r="V1030" s="6">
        <f t="shared" si="81"/>
        <v>422.45280000000002</v>
      </c>
      <c r="W1030" t="s">
        <v>2360</v>
      </c>
      <c r="X1030" t="s">
        <v>3008</v>
      </c>
      <c r="Y1030" s="1" t="s">
        <v>752</v>
      </c>
      <c r="AA1030" t="s">
        <v>1701</v>
      </c>
      <c r="AL1030">
        <f t="shared" si="75"/>
        <v>0</v>
      </c>
      <c r="AM1030">
        <f t="shared" si="76"/>
        <v>0</v>
      </c>
      <c r="AN1030">
        <f t="shared" si="77"/>
        <v>0</v>
      </c>
    </row>
    <row r="1031" spans="1:40" x14ac:dyDescent="0.2">
      <c r="A1031">
        <v>151</v>
      </c>
      <c r="B1031" t="s">
        <v>2858</v>
      </c>
      <c r="C1031">
        <v>0</v>
      </c>
      <c r="D1031">
        <v>0</v>
      </c>
      <c r="E1031">
        <v>0</v>
      </c>
      <c r="I1031" s="2">
        <v>28</v>
      </c>
      <c r="J1031" s="2" t="s">
        <v>319</v>
      </c>
      <c r="K1031">
        <v>2020</v>
      </c>
      <c r="L1031" s="2" t="s">
        <v>32</v>
      </c>
      <c r="M1031" t="s">
        <v>759</v>
      </c>
      <c r="N1031" s="31">
        <v>30</v>
      </c>
      <c r="O1031">
        <v>4</v>
      </c>
      <c r="P1031" s="31" t="s">
        <v>30</v>
      </c>
      <c r="Q1031" t="s">
        <v>38</v>
      </c>
      <c r="R1031" s="31" t="s">
        <v>39</v>
      </c>
      <c r="S1031" s="4">
        <v>39.725940000000001</v>
      </c>
      <c r="T1031" s="4">
        <v>123.64447</v>
      </c>
      <c r="U1031">
        <v>1361</v>
      </c>
      <c r="V1031" s="6">
        <f t="shared" si="81"/>
        <v>414.83280000000002</v>
      </c>
      <c r="W1031" t="s">
        <v>2360</v>
      </c>
      <c r="X1031" t="s">
        <v>3008</v>
      </c>
      <c r="Y1031" s="1" t="s">
        <v>587</v>
      </c>
      <c r="AA1031" t="s">
        <v>3009</v>
      </c>
      <c r="AL1031">
        <f t="shared" si="75"/>
        <v>0</v>
      </c>
      <c r="AM1031">
        <f t="shared" si="76"/>
        <v>0</v>
      </c>
      <c r="AN1031">
        <f t="shared" si="77"/>
        <v>0</v>
      </c>
    </row>
    <row r="1032" spans="1:40" x14ac:dyDescent="0.2">
      <c r="A1032">
        <v>151</v>
      </c>
      <c r="B1032" t="s">
        <v>2859</v>
      </c>
      <c r="C1032">
        <v>0</v>
      </c>
      <c r="D1032">
        <v>0</v>
      </c>
      <c r="E1032">
        <v>0</v>
      </c>
      <c r="I1032" s="2">
        <v>28</v>
      </c>
      <c r="J1032" s="2" t="s">
        <v>319</v>
      </c>
      <c r="K1032">
        <v>2020</v>
      </c>
      <c r="L1032" s="2" t="s">
        <v>758</v>
      </c>
      <c r="M1032" t="s">
        <v>759</v>
      </c>
      <c r="N1032" s="31">
        <v>49</v>
      </c>
      <c r="O1032">
        <f>40.5-24.5</f>
        <v>16</v>
      </c>
      <c r="P1032" s="31" t="s">
        <v>30</v>
      </c>
      <c r="Q1032" t="s">
        <v>38</v>
      </c>
      <c r="R1032" s="31" t="s">
        <v>39</v>
      </c>
      <c r="S1032" s="4">
        <v>39.726100000000002</v>
      </c>
      <c r="T1032" s="4">
        <v>123.64474</v>
      </c>
      <c r="U1032">
        <v>1392</v>
      </c>
      <c r="V1032" s="6">
        <f t="shared" si="81"/>
        <v>424.28160000000003</v>
      </c>
      <c r="W1032" t="s">
        <v>2360</v>
      </c>
      <c r="X1032" t="s">
        <v>3008</v>
      </c>
      <c r="Y1032" s="1" t="s">
        <v>1085</v>
      </c>
      <c r="Z1032" t="s">
        <v>3011</v>
      </c>
      <c r="AA1032" t="s">
        <v>3010</v>
      </c>
      <c r="AL1032">
        <f t="shared" si="75"/>
        <v>0</v>
      </c>
      <c r="AM1032">
        <f t="shared" si="76"/>
        <v>0</v>
      </c>
      <c r="AN1032">
        <f t="shared" si="77"/>
        <v>0</v>
      </c>
    </row>
    <row r="1033" spans="1:40" x14ac:dyDescent="0.2">
      <c r="A1033">
        <v>151</v>
      </c>
      <c r="B1033" t="s">
        <v>2860</v>
      </c>
      <c r="C1033">
        <v>0</v>
      </c>
      <c r="D1033">
        <v>0</v>
      </c>
      <c r="E1033">
        <v>0</v>
      </c>
      <c r="I1033" s="2">
        <v>28</v>
      </c>
      <c r="J1033" s="2" t="s">
        <v>319</v>
      </c>
      <c r="K1033">
        <v>2020</v>
      </c>
      <c r="L1033" s="2" t="s">
        <v>758</v>
      </c>
      <c r="M1033" t="s">
        <v>759</v>
      </c>
      <c r="N1033" s="31">
        <v>41</v>
      </c>
      <c r="O1033">
        <v>9</v>
      </c>
      <c r="P1033" s="31" t="s">
        <v>30</v>
      </c>
      <c r="Q1033" t="s">
        <v>38</v>
      </c>
      <c r="R1033" s="31" t="s">
        <v>39</v>
      </c>
      <c r="S1033" s="4">
        <v>39.726280000000003</v>
      </c>
      <c r="T1033" s="4">
        <v>123.64474</v>
      </c>
      <c r="U1033">
        <v>1362</v>
      </c>
      <c r="V1033" s="6">
        <f t="shared" si="81"/>
        <v>415.13760000000002</v>
      </c>
      <c r="W1033" t="s">
        <v>2360</v>
      </c>
      <c r="X1033" t="s">
        <v>3008</v>
      </c>
      <c r="Y1033" s="1" t="s">
        <v>1109</v>
      </c>
      <c r="Z1033" t="s">
        <v>3013</v>
      </c>
      <c r="AA1033" t="s">
        <v>3016</v>
      </c>
      <c r="AL1033">
        <f t="shared" si="75"/>
        <v>0</v>
      </c>
      <c r="AM1033">
        <f t="shared" si="76"/>
        <v>0</v>
      </c>
      <c r="AN1033">
        <f t="shared" si="77"/>
        <v>0</v>
      </c>
    </row>
    <row r="1034" spans="1:40" x14ac:dyDescent="0.2">
      <c r="A1034">
        <v>151</v>
      </c>
      <c r="B1034" t="s">
        <v>2861</v>
      </c>
      <c r="C1034">
        <v>0</v>
      </c>
      <c r="D1034">
        <v>0</v>
      </c>
      <c r="E1034">
        <v>0</v>
      </c>
      <c r="I1034" s="2">
        <v>28</v>
      </c>
      <c r="J1034" s="2" t="s">
        <v>319</v>
      </c>
      <c r="K1034">
        <v>2020</v>
      </c>
      <c r="L1034" s="2" t="s">
        <v>758</v>
      </c>
      <c r="M1034" t="s">
        <v>759</v>
      </c>
      <c r="N1034" s="31">
        <v>42.5</v>
      </c>
      <c r="O1034">
        <f>37-26.5</f>
        <v>10.5</v>
      </c>
      <c r="P1034" s="31" t="s">
        <v>30</v>
      </c>
      <c r="Q1034" t="s">
        <v>42</v>
      </c>
      <c r="R1034" s="31" t="s">
        <v>39</v>
      </c>
      <c r="S1034" s="4">
        <v>39.725940000000001</v>
      </c>
      <c r="T1034" s="4">
        <v>123.64442</v>
      </c>
      <c r="U1034">
        <v>1359</v>
      </c>
      <c r="V1034" s="6">
        <f t="shared" si="81"/>
        <v>414.22320000000002</v>
      </c>
      <c r="W1034" t="s">
        <v>2360</v>
      </c>
      <c r="X1034" t="s">
        <v>3008</v>
      </c>
      <c r="Y1034" s="1" t="s">
        <v>2808</v>
      </c>
      <c r="Z1034" t="s">
        <v>3014</v>
      </c>
      <c r="AA1034" t="s">
        <v>3019</v>
      </c>
      <c r="AL1034">
        <f t="shared" si="75"/>
        <v>0</v>
      </c>
      <c r="AM1034">
        <f t="shared" si="76"/>
        <v>0</v>
      </c>
      <c r="AN1034">
        <f t="shared" si="77"/>
        <v>0</v>
      </c>
    </row>
    <row r="1035" spans="1:40" x14ac:dyDescent="0.2">
      <c r="A1035">
        <v>151</v>
      </c>
      <c r="B1035" t="s">
        <v>2862</v>
      </c>
      <c r="C1035">
        <v>0</v>
      </c>
      <c r="D1035">
        <v>0</v>
      </c>
      <c r="E1035">
        <v>0</v>
      </c>
      <c r="I1035" s="2">
        <v>28</v>
      </c>
      <c r="J1035" s="2" t="s">
        <v>319</v>
      </c>
      <c r="K1035">
        <v>2020</v>
      </c>
      <c r="L1035" s="2" t="s">
        <v>32</v>
      </c>
      <c r="M1035" t="s">
        <v>759</v>
      </c>
      <c r="N1035" s="31">
        <v>35.5</v>
      </c>
      <c r="O1035">
        <f>27-23.5</f>
        <v>3.5</v>
      </c>
      <c r="P1035" s="31" t="s">
        <v>30</v>
      </c>
      <c r="Q1035" t="s">
        <v>38</v>
      </c>
      <c r="R1035" s="31" t="s">
        <v>39</v>
      </c>
      <c r="S1035" s="4">
        <v>39.725990000000003</v>
      </c>
      <c r="T1035" s="4">
        <v>123.64446</v>
      </c>
      <c r="U1035">
        <v>1361</v>
      </c>
      <c r="V1035" s="6">
        <f t="shared" si="81"/>
        <v>414.83280000000002</v>
      </c>
      <c r="W1035" t="s">
        <v>2360</v>
      </c>
      <c r="X1035" t="s">
        <v>3008</v>
      </c>
      <c r="Y1035" s="1" t="s">
        <v>1090</v>
      </c>
      <c r="Z1035" t="s">
        <v>3012</v>
      </c>
      <c r="AA1035" t="s">
        <v>3017</v>
      </c>
      <c r="AL1035">
        <f t="shared" si="75"/>
        <v>0</v>
      </c>
      <c r="AM1035">
        <f t="shared" si="76"/>
        <v>0</v>
      </c>
      <c r="AN1035">
        <f t="shared" si="77"/>
        <v>0</v>
      </c>
    </row>
    <row r="1036" spans="1:40" x14ac:dyDescent="0.2">
      <c r="A1036">
        <v>151</v>
      </c>
      <c r="B1036" t="s">
        <v>2863</v>
      </c>
      <c r="C1036">
        <v>0.1972690224647522</v>
      </c>
      <c r="D1036">
        <v>0.10412313789129257</v>
      </c>
      <c r="E1036">
        <v>0.18538418412208557</v>
      </c>
      <c r="I1036" s="2">
        <v>28</v>
      </c>
      <c r="J1036" s="2" t="s">
        <v>319</v>
      </c>
      <c r="K1036">
        <v>2020</v>
      </c>
      <c r="L1036" s="2" t="s">
        <v>758</v>
      </c>
      <c r="M1036" t="s">
        <v>759</v>
      </c>
      <c r="N1036" s="31">
        <v>45</v>
      </c>
      <c r="O1036">
        <f>53-43.5</f>
        <v>9.5</v>
      </c>
      <c r="P1036" s="31" t="s">
        <v>30</v>
      </c>
      <c r="Q1036" t="s">
        <v>38</v>
      </c>
      <c r="R1036" s="31" t="s">
        <v>39</v>
      </c>
      <c r="S1036" s="44"/>
      <c r="T1036" s="44"/>
      <c r="U1036" s="3"/>
      <c r="V1036" s="54"/>
      <c r="W1036" t="s">
        <v>2360</v>
      </c>
      <c r="X1036" t="s">
        <v>3008</v>
      </c>
      <c r="Y1036" s="1" t="s">
        <v>2514</v>
      </c>
      <c r="Z1036" t="s">
        <v>3015</v>
      </c>
      <c r="AA1036" t="s">
        <v>3018</v>
      </c>
      <c r="AL1036">
        <f t="shared" si="75"/>
        <v>15.781521797180176</v>
      </c>
      <c r="AM1036">
        <f t="shared" si="76"/>
        <v>8.3298510313034058</v>
      </c>
      <c r="AN1036">
        <f t="shared" si="77"/>
        <v>14.830734729766846</v>
      </c>
    </row>
    <row r="1037" spans="1:40" x14ac:dyDescent="0.2">
      <c r="A1037">
        <v>152</v>
      </c>
      <c r="B1037" t="s">
        <v>2864</v>
      </c>
      <c r="C1037">
        <v>0</v>
      </c>
      <c r="D1037">
        <v>0</v>
      </c>
      <c r="E1037">
        <v>0</v>
      </c>
      <c r="I1037" s="2">
        <v>29</v>
      </c>
      <c r="J1037" s="2" t="s">
        <v>319</v>
      </c>
      <c r="K1037">
        <v>2020</v>
      </c>
      <c r="L1037" s="2" t="s">
        <v>758</v>
      </c>
      <c r="M1037" t="s">
        <v>759</v>
      </c>
      <c r="N1037" s="31">
        <v>48.5</v>
      </c>
      <c r="O1037">
        <f>50-29.5</f>
        <v>20.5</v>
      </c>
      <c r="P1037" s="31" t="s">
        <v>30</v>
      </c>
      <c r="Q1037" t="s">
        <v>38</v>
      </c>
      <c r="R1037" s="31" t="s">
        <v>39</v>
      </c>
      <c r="S1037" s="31">
        <v>39.724110000000003</v>
      </c>
      <c r="T1037" s="4">
        <v>123.64375</v>
      </c>
      <c r="U1037">
        <v>1452</v>
      </c>
      <c r="V1037" s="6">
        <f t="shared" si="81"/>
        <v>442.56960000000004</v>
      </c>
      <c r="W1037" t="s">
        <v>2015</v>
      </c>
      <c r="X1037" t="s">
        <v>3020</v>
      </c>
      <c r="Y1037" s="1" t="s">
        <v>2826</v>
      </c>
      <c r="Z1037" t="s">
        <v>3021</v>
      </c>
      <c r="AL1037">
        <f t="shared" si="75"/>
        <v>0</v>
      </c>
      <c r="AM1037">
        <f t="shared" si="76"/>
        <v>0</v>
      </c>
      <c r="AN1037">
        <f t="shared" si="77"/>
        <v>0</v>
      </c>
    </row>
    <row r="1038" spans="1:40" x14ac:dyDescent="0.2">
      <c r="A1038">
        <v>152</v>
      </c>
      <c r="B1038" t="s">
        <v>2865</v>
      </c>
      <c r="C1038">
        <v>0</v>
      </c>
      <c r="D1038">
        <v>0</v>
      </c>
      <c r="E1038">
        <v>0</v>
      </c>
      <c r="I1038" s="2">
        <v>29</v>
      </c>
      <c r="J1038" s="2" t="s">
        <v>319</v>
      </c>
      <c r="K1038">
        <v>2020</v>
      </c>
      <c r="L1038" s="2" t="s">
        <v>758</v>
      </c>
      <c r="M1038" t="s">
        <v>759</v>
      </c>
      <c r="N1038" s="31">
        <v>53.5</v>
      </c>
      <c r="O1038">
        <f>62-39</f>
        <v>23</v>
      </c>
      <c r="P1038" s="31" t="s">
        <v>30</v>
      </c>
      <c r="Q1038" t="s">
        <v>38</v>
      </c>
      <c r="R1038" s="31" t="s">
        <v>39</v>
      </c>
      <c r="S1038" s="5">
        <v>39.835555560000003</v>
      </c>
      <c r="T1038" s="5">
        <v>-123.81472221999999</v>
      </c>
      <c r="U1038" s="2">
        <v>1449</v>
      </c>
      <c r="V1038" s="6">
        <f t="shared" si="81"/>
        <v>441.65520000000004</v>
      </c>
      <c r="W1038" t="s">
        <v>2015</v>
      </c>
      <c r="X1038" t="s">
        <v>3020</v>
      </c>
      <c r="Y1038" s="1" t="s">
        <v>2829</v>
      </c>
      <c r="Z1038" t="s">
        <v>3022</v>
      </c>
      <c r="AL1038">
        <f t="shared" si="75"/>
        <v>0</v>
      </c>
      <c r="AM1038">
        <f t="shared" si="76"/>
        <v>0</v>
      </c>
      <c r="AN1038">
        <f t="shared" si="77"/>
        <v>0</v>
      </c>
    </row>
    <row r="1039" spans="1:40" x14ac:dyDescent="0.2">
      <c r="A1039">
        <v>153</v>
      </c>
      <c r="B1039" t="s">
        <v>2866</v>
      </c>
      <c r="C1039">
        <v>0</v>
      </c>
      <c r="D1039">
        <v>0</v>
      </c>
      <c r="E1039">
        <v>0</v>
      </c>
      <c r="I1039" s="2">
        <v>29</v>
      </c>
      <c r="J1039" s="2" t="s">
        <v>319</v>
      </c>
      <c r="K1039">
        <v>2020</v>
      </c>
      <c r="L1039" s="2" t="s">
        <v>758</v>
      </c>
      <c r="M1039" t="s">
        <v>759</v>
      </c>
      <c r="N1039" s="31">
        <v>63.5</v>
      </c>
      <c r="O1039">
        <f>70.5-34.5</f>
        <v>36</v>
      </c>
      <c r="P1039" s="31" t="s">
        <v>30</v>
      </c>
      <c r="Q1039" t="s">
        <v>42</v>
      </c>
      <c r="R1039" s="31" t="s">
        <v>39</v>
      </c>
      <c r="S1039" s="4">
        <v>39.723759999999999</v>
      </c>
      <c r="T1039" s="4">
        <v>123.6443</v>
      </c>
      <c r="U1039">
        <v>1518</v>
      </c>
      <c r="V1039" s="6">
        <f t="shared" si="81"/>
        <v>462.68640000000005</v>
      </c>
      <c r="W1039" t="s">
        <v>2015</v>
      </c>
      <c r="X1039" t="s">
        <v>3020</v>
      </c>
      <c r="Y1039" s="1" t="s">
        <v>820</v>
      </c>
      <c r="Z1039" t="s">
        <v>3023</v>
      </c>
      <c r="AL1039">
        <f t="shared" ref="AL1039:AL1102" si="82">C1039*80</f>
        <v>0</v>
      </c>
      <c r="AM1039">
        <f t="shared" ref="AM1039:AM1102" si="83">D1039*80</f>
        <v>0</v>
      </c>
      <c r="AN1039">
        <f t="shared" ref="AN1039:AN1102" si="84">E1039*80</f>
        <v>0</v>
      </c>
    </row>
    <row r="1040" spans="1:40" x14ac:dyDescent="0.2">
      <c r="A1040">
        <v>153</v>
      </c>
      <c r="B1040" t="s">
        <v>2867</v>
      </c>
      <c r="C1040">
        <v>0</v>
      </c>
      <c r="D1040">
        <v>0</v>
      </c>
      <c r="E1040">
        <v>0</v>
      </c>
      <c r="I1040" s="2">
        <v>29</v>
      </c>
      <c r="J1040" s="2" t="s">
        <v>319</v>
      </c>
      <c r="K1040">
        <v>2020</v>
      </c>
      <c r="L1040" s="2" t="s">
        <v>758</v>
      </c>
      <c r="M1040" t="s">
        <v>759</v>
      </c>
      <c r="N1040" s="31">
        <v>43</v>
      </c>
      <c r="O1040">
        <f>43.5-31.5</f>
        <v>12</v>
      </c>
      <c r="P1040" s="31" t="s">
        <v>30</v>
      </c>
      <c r="Q1040" t="s">
        <v>38</v>
      </c>
      <c r="R1040" s="31" t="s">
        <v>39</v>
      </c>
      <c r="S1040" s="4">
        <v>39.723759999999999</v>
      </c>
      <c r="T1040" s="4">
        <v>123.6443</v>
      </c>
      <c r="U1040">
        <v>1518</v>
      </c>
      <c r="V1040" s="6">
        <f t="shared" si="81"/>
        <v>462.68640000000005</v>
      </c>
      <c r="W1040" t="s">
        <v>2015</v>
      </c>
      <c r="X1040" t="s">
        <v>3020</v>
      </c>
      <c r="Y1040" s="1" t="s">
        <v>1605</v>
      </c>
      <c r="Z1040" t="s">
        <v>3024</v>
      </c>
      <c r="AL1040">
        <f t="shared" si="82"/>
        <v>0</v>
      </c>
      <c r="AM1040">
        <f t="shared" si="83"/>
        <v>0</v>
      </c>
      <c r="AN1040">
        <f t="shared" si="84"/>
        <v>0</v>
      </c>
    </row>
    <row r="1041" spans="1:40" x14ac:dyDescent="0.2">
      <c r="A1041">
        <v>153</v>
      </c>
      <c r="B1041" t="s">
        <v>2868</v>
      </c>
      <c r="C1041">
        <v>0</v>
      </c>
      <c r="D1041">
        <v>0</v>
      </c>
      <c r="E1041">
        <v>0</v>
      </c>
      <c r="I1041" s="2">
        <v>29</v>
      </c>
      <c r="J1041" s="2" t="s">
        <v>319</v>
      </c>
      <c r="K1041">
        <v>2020</v>
      </c>
      <c r="L1041" s="2" t="s">
        <v>758</v>
      </c>
      <c r="M1041" t="s">
        <v>759</v>
      </c>
      <c r="N1041" s="31">
        <v>60</v>
      </c>
      <c r="O1041">
        <f>54.5-30.5</f>
        <v>24</v>
      </c>
      <c r="P1041" s="31" t="s">
        <v>30</v>
      </c>
      <c r="Q1041" t="s">
        <v>42</v>
      </c>
      <c r="R1041" s="31" t="s">
        <v>39</v>
      </c>
      <c r="S1041" s="4">
        <v>39.723759999999999</v>
      </c>
      <c r="T1041" s="4">
        <v>123.6443</v>
      </c>
      <c r="U1041">
        <v>1518</v>
      </c>
      <c r="V1041" s="6">
        <f t="shared" si="81"/>
        <v>462.68640000000005</v>
      </c>
      <c r="W1041" t="s">
        <v>2015</v>
      </c>
      <c r="X1041" t="s">
        <v>3020</v>
      </c>
      <c r="Y1041" s="1" t="s">
        <v>221</v>
      </c>
      <c r="Z1041" t="s">
        <v>3025</v>
      </c>
      <c r="AL1041">
        <f t="shared" si="82"/>
        <v>0</v>
      </c>
      <c r="AM1041">
        <f t="shared" si="83"/>
        <v>0</v>
      </c>
      <c r="AN1041">
        <f t="shared" si="84"/>
        <v>0</v>
      </c>
    </row>
    <row r="1042" spans="1:40" x14ac:dyDescent="0.2">
      <c r="A1042">
        <v>154</v>
      </c>
      <c r="B1042" t="s">
        <v>2869</v>
      </c>
      <c r="C1042">
        <v>0</v>
      </c>
      <c r="D1042">
        <v>0</v>
      </c>
      <c r="E1042">
        <v>0</v>
      </c>
      <c r="I1042" s="2">
        <v>29</v>
      </c>
      <c r="J1042" s="2" t="s">
        <v>319</v>
      </c>
      <c r="K1042">
        <v>2020</v>
      </c>
      <c r="L1042" s="2" t="s">
        <v>32</v>
      </c>
      <c r="M1042" t="s">
        <v>759</v>
      </c>
      <c r="N1042" s="31">
        <v>20</v>
      </c>
      <c r="O1042">
        <v>1</v>
      </c>
      <c r="P1042" s="31" t="s">
        <v>30</v>
      </c>
      <c r="R1042" s="53" t="s">
        <v>39</v>
      </c>
      <c r="S1042" s="4">
        <v>39.734569999999998</v>
      </c>
      <c r="T1042" s="4">
        <v>123.62917</v>
      </c>
      <c r="U1042">
        <v>1438</v>
      </c>
      <c r="V1042" s="6">
        <f t="shared" si="81"/>
        <v>438.30240000000003</v>
      </c>
      <c r="W1042" t="s">
        <v>2015</v>
      </c>
      <c r="X1042" t="s">
        <v>3026</v>
      </c>
      <c r="Y1042" s="1" t="s">
        <v>1106</v>
      </c>
      <c r="AL1042">
        <f t="shared" si="82"/>
        <v>0</v>
      </c>
      <c r="AM1042">
        <f t="shared" si="83"/>
        <v>0</v>
      </c>
      <c r="AN1042">
        <f t="shared" si="84"/>
        <v>0</v>
      </c>
    </row>
    <row r="1043" spans="1:40" x14ac:dyDescent="0.2">
      <c r="A1043">
        <v>154</v>
      </c>
      <c r="B1043" t="s">
        <v>2870</v>
      </c>
      <c r="C1043">
        <v>0</v>
      </c>
      <c r="D1043">
        <v>0</v>
      </c>
      <c r="E1043">
        <v>0</v>
      </c>
      <c r="I1043" s="2">
        <v>29</v>
      </c>
      <c r="J1043" s="2" t="s">
        <v>319</v>
      </c>
      <c r="K1043">
        <v>2020</v>
      </c>
      <c r="L1043" s="2" t="s">
        <v>758</v>
      </c>
      <c r="M1043" t="s">
        <v>759</v>
      </c>
      <c r="N1043" s="31">
        <v>38.5</v>
      </c>
      <c r="O1043">
        <f>37-29</f>
        <v>8</v>
      </c>
      <c r="P1043" s="31" t="s">
        <v>30</v>
      </c>
      <c r="Q1043" t="s">
        <v>42</v>
      </c>
      <c r="R1043" s="31" t="s">
        <v>39</v>
      </c>
      <c r="S1043" s="4">
        <v>39.734679999999997</v>
      </c>
      <c r="T1043" s="4">
        <v>123.62897</v>
      </c>
      <c r="U1043">
        <v>1435</v>
      </c>
      <c r="V1043" s="6">
        <f t="shared" si="81"/>
        <v>437.38800000000003</v>
      </c>
      <c r="W1043" t="s">
        <v>2015</v>
      </c>
      <c r="X1043" t="s">
        <v>3026</v>
      </c>
      <c r="Y1043" s="1" t="s">
        <v>1600</v>
      </c>
      <c r="Z1043" t="s">
        <v>3027</v>
      </c>
      <c r="AL1043">
        <f t="shared" si="82"/>
        <v>0</v>
      </c>
      <c r="AM1043">
        <f t="shared" si="83"/>
        <v>0</v>
      </c>
      <c r="AN1043">
        <f t="shared" si="84"/>
        <v>0</v>
      </c>
    </row>
    <row r="1044" spans="1:40" x14ac:dyDescent="0.2">
      <c r="A1044">
        <v>154</v>
      </c>
      <c r="B1044" t="s">
        <v>2871</v>
      </c>
      <c r="C1044">
        <v>0</v>
      </c>
      <c r="D1044">
        <v>0</v>
      </c>
      <c r="E1044">
        <v>0</v>
      </c>
      <c r="I1044" s="2">
        <v>29</v>
      </c>
      <c r="J1044" s="2" t="s">
        <v>319</v>
      </c>
      <c r="K1044">
        <v>2020</v>
      </c>
      <c r="L1044" s="2" t="s">
        <v>758</v>
      </c>
      <c r="M1044" t="s">
        <v>759</v>
      </c>
      <c r="N1044" s="31">
        <v>36</v>
      </c>
      <c r="O1044">
        <v>7</v>
      </c>
      <c r="P1044" s="31" t="s">
        <v>30</v>
      </c>
      <c r="Q1044" t="s">
        <v>38</v>
      </c>
      <c r="R1044" s="51" t="s">
        <v>89</v>
      </c>
      <c r="S1044" s="4">
        <v>39.734560000000002</v>
      </c>
      <c r="T1044" s="4">
        <v>123.63033</v>
      </c>
      <c r="U1044">
        <v>1398</v>
      </c>
      <c r="V1044" s="6">
        <f t="shared" si="81"/>
        <v>426.11040000000003</v>
      </c>
      <c r="W1044" t="s">
        <v>2015</v>
      </c>
      <c r="X1044" t="s">
        <v>3026</v>
      </c>
      <c r="Y1044" s="1" t="s">
        <v>280</v>
      </c>
      <c r="Z1044" t="s">
        <v>3028</v>
      </c>
      <c r="AL1044">
        <f t="shared" si="82"/>
        <v>0</v>
      </c>
      <c r="AM1044">
        <f t="shared" si="83"/>
        <v>0</v>
      </c>
      <c r="AN1044">
        <f t="shared" si="84"/>
        <v>0</v>
      </c>
    </row>
    <row r="1045" spans="1:40" x14ac:dyDescent="0.2">
      <c r="A1045">
        <v>154</v>
      </c>
      <c r="B1045" t="s">
        <v>2872</v>
      </c>
      <c r="C1045">
        <v>0</v>
      </c>
      <c r="D1045">
        <v>0</v>
      </c>
      <c r="E1045">
        <v>0</v>
      </c>
      <c r="I1045" s="2">
        <v>29</v>
      </c>
      <c r="J1045" s="2" t="s">
        <v>319</v>
      </c>
      <c r="K1045">
        <v>2020</v>
      </c>
      <c r="L1045" s="2" t="s">
        <v>32</v>
      </c>
      <c r="M1045" t="s">
        <v>759</v>
      </c>
      <c r="N1045" s="31">
        <v>30.5</v>
      </c>
      <c r="O1045">
        <f>5.5-3</f>
        <v>2.5</v>
      </c>
      <c r="P1045" s="31" t="s">
        <v>30</v>
      </c>
      <c r="Q1045" t="s">
        <v>42</v>
      </c>
      <c r="R1045" s="31" t="s">
        <v>39</v>
      </c>
      <c r="S1045" s="4">
        <v>39.734560000000002</v>
      </c>
      <c r="T1045" s="4">
        <v>123.63033</v>
      </c>
      <c r="U1045">
        <v>1398</v>
      </c>
      <c r="V1045" s="6">
        <f t="shared" si="81"/>
        <v>426.11040000000003</v>
      </c>
      <c r="W1045" t="s">
        <v>2015</v>
      </c>
      <c r="X1045" t="s">
        <v>3026</v>
      </c>
      <c r="Y1045" s="1" t="s">
        <v>280</v>
      </c>
      <c r="AL1045">
        <f t="shared" si="82"/>
        <v>0</v>
      </c>
      <c r="AM1045">
        <f t="shared" si="83"/>
        <v>0</v>
      </c>
      <c r="AN1045">
        <f t="shared" si="84"/>
        <v>0</v>
      </c>
    </row>
    <row r="1046" spans="1:40" x14ac:dyDescent="0.2">
      <c r="A1046">
        <v>155</v>
      </c>
      <c r="B1046" t="s">
        <v>2873</v>
      </c>
      <c r="C1046">
        <v>0</v>
      </c>
      <c r="D1046">
        <v>0</v>
      </c>
      <c r="E1046">
        <v>0</v>
      </c>
      <c r="I1046" s="2">
        <v>31</v>
      </c>
      <c r="J1046" s="2" t="s">
        <v>319</v>
      </c>
      <c r="K1046">
        <v>2020</v>
      </c>
      <c r="L1046" s="2" t="s">
        <v>32</v>
      </c>
      <c r="M1046" t="s">
        <v>897</v>
      </c>
      <c r="N1046" s="31">
        <v>19.5</v>
      </c>
      <c r="O1046">
        <v>1</v>
      </c>
      <c r="P1046" s="31" t="s">
        <v>30</v>
      </c>
      <c r="R1046" s="53" t="s">
        <v>39</v>
      </c>
      <c r="S1046" s="4">
        <v>37.396090000000001</v>
      </c>
      <c r="T1046" s="4">
        <v>-121.73437</v>
      </c>
      <c r="U1046">
        <v>2447</v>
      </c>
      <c r="V1046" s="6">
        <f t="shared" ref="V1046" si="85">U1046*0.3048</f>
        <v>745.84559999999999</v>
      </c>
      <c r="W1046" t="s">
        <v>898</v>
      </c>
      <c r="X1046" t="s">
        <v>2385</v>
      </c>
      <c r="Y1046" s="1" t="s">
        <v>1621</v>
      </c>
      <c r="AA1046" t="s">
        <v>3046</v>
      </c>
      <c r="AL1046">
        <f t="shared" si="82"/>
        <v>0</v>
      </c>
      <c r="AM1046">
        <f t="shared" si="83"/>
        <v>0</v>
      </c>
      <c r="AN1046">
        <f t="shared" si="84"/>
        <v>0</v>
      </c>
    </row>
    <row r="1047" spans="1:40" x14ac:dyDescent="0.2">
      <c r="A1047">
        <v>155</v>
      </c>
      <c r="B1047" t="s">
        <v>2874</v>
      </c>
      <c r="C1047">
        <v>0</v>
      </c>
      <c r="D1047">
        <v>0</v>
      </c>
      <c r="E1047">
        <v>0</v>
      </c>
      <c r="I1047" s="2">
        <v>31</v>
      </c>
      <c r="J1047" s="2" t="s">
        <v>319</v>
      </c>
      <c r="K1047">
        <v>2020</v>
      </c>
      <c r="L1047" s="2" t="s">
        <v>32</v>
      </c>
      <c r="M1047" t="s">
        <v>897</v>
      </c>
      <c r="N1047" s="31">
        <v>20</v>
      </c>
      <c r="O1047">
        <v>1</v>
      </c>
      <c r="P1047" s="31" t="s">
        <v>30</v>
      </c>
      <c r="R1047" s="53" t="s">
        <v>39</v>
      </c>
      <c r="S1047" s="4">
        <v>37.396090000000001</v>
      </c>
      <c r="T1047" s="4">
        <v>-121.73437</v>
      </c>
      <c r="U1047">
        <v>2447</v>
      </c>
      <c r="V1047" s="6">
        <f t="shared" ref="V1047:V1061" si="86">U1047*0.3048</f>
        <v>745.84559999999999</v>
      </c>
      <c r="W1047" t="s">
        <v>898</v>
      </c>
      <c r="X1047" t="s">
        <v>2385</v>
      </c>
      <c r="Y1047" s="1" t="s">
        <v>3033</v>
      </c>
      <c r="AA1047" t="s">
        <v>3047</v>
      </c>
      <c r="AL1047">
        <f t="shared" si="82"/>
        <v>0</v>
      </c>
      <c r="AM1047">
        <f t="shared" si="83"/>
        <v>0</v>
      </c>
      <c r="AN1047">
        <f t="shared" si="84"/>
        <v>0</v>
      </c>
    </row>
    <row r="1048" spans="1:40" x14ac:dyDescent="0.2">
      <c r="A1048">
        <v>155</v>
      </c>
      <c r="B1048" t="s">
        <v>2875</v>
      </c>
      <c r="C1048">
        <v>0</v>
      </c>
      <c r="D1048">
        <v>0</v>
      </c>
      <c r="E1048">
        <v>0</v>
      </c>
      <c r="I1048" s="2">
        <v>31</v>
      </c>
      <c r="J1048" s="2" t="s">
        <v>319</v>
      </c>
      <c r="K1048">
        <v>2020</v>
      </c>
      <c r="L1048" s="2" t="s">
        <v>32</v>
      </c>
      <c r="M1048" t="s">
        <v>897</v>
      </c>
      <c r="N1048" s="31">
        <v>21</v>
      </c>
      <c r="O1048">
        <v>1</v>
      </c>
      <c r="P1048" s="31" t="s">
        <v>30</v>
      </c>
      <c r="R1048" s="53" t="s">
        <v>39</v>
      </c>
      <c r="S1048" s="4">
        <v>37.396090000000001</v>
      </c>
      <c r="T1048" s="4">
        <v>-121.73437</v>
      </c>
      <c r="U1048">
        <v>2447</v>
      </c>
      <c r="V1048" s="6">
        <f t="shared" si="86"/>
        <v>745.84559999999999</v>
      </c>
      <c r="W1048" t="s">
        <v>898</v>
      </c>
      <c r="X1048" t="s">
        <v>2385</v>
      </c>
      <c r="Y1048" s="1" t="s">
        <v>741</v>
      </c>
      <c r="AA1048" t="s">
        <v>3048</v>
      </c>
      <c r="AL1048">
        <f t="shared" si="82"/>
        <v>0</v>
      </c>
      <c r="AM1048">
        <f t="shared" si="83"/>
        <v>0</v>
      </c>
      <c r="AN1048">
        <f t="shared" si="84"/>
        <v>0</v>
      </c>
    </row>
    <row r="1049" spans="1:40" x14ac:dyDescent="0.2">
      <c r="A1049">
        <v>155</v>
      </c>
      <c r="B1049" t="s">
        <v>2876</v>
      </c>
      <c r="C1049">
        <v>0</v>
      </c>
      <c r="D1049">
        <v>0</v>
      </c>
      <c r="E1049">
        <v>0</v>
      </c>
      <c r="I1049" s="2">
        <v>31</v>
      </c>
      <c r="J1049" s="2" t="s">
        <v>319</v>
      </c>
      <c r="K1049">
        <v>2020</v>
      </c>
      <c r="L1049" s="2" t="s">
        <v>32</v>
      </c>
      <c r="M1049" t="s">
        <v>897</v>
      </c>
      <c r="N1049" s="31">
        <v>22</v>
      </c>
      <c r="O1049">
        <v>1</v>
      </c>
      <c r="P1049" s="31" t="s">
        <v>30</v>
      </c>
      <c r="R1049" s="53" t="s">
        <v>39</v>
      </c>
      <c r="S1049" s="4">
        <v>37.396090000000001</v>
      </c>
      <c r="T1049" s="4">
        <v>-121.73437</v>
      </c>
      <c r="U1049">
        <v>2447</v>
      </c>
      <c r="V1049" s="6">
        <f t="shared" si="86"/>
        <v>745.84559999999999</v>
      </c>
      <c r="W1049" t="s">
        <v>898</v>
      </c>
      <c r="X1049" t="s">
        <v>2385</v>
      </c>
      <c r="Y1049" s="1" t="s">
        <v>1333</v>
      </c>
      <c r="AA1049" t="s">
        <v>3049</v>
      </c>
      <c r="AL1049">
        <f t="shared" si="82"/>
        <v>0</v>
      </c>
      <c r="AM1049">
        <f t="shared" si="83"/>
        <v>0</v>
      </c>
      <c r="AN1049">
        <f t="shared" si="84"/>
        <v>0</v>
      </c>
    </row>
    <row r="1050" spans="1:40" x14ac:dyDescent="0.2">
      <c r="A1050">
        <v>155</v>
      </c>
      <c r="B1050" t="s">
        <v>2877</v>
      </c>
      <c r="C1050">
        <v>0</v>
      </c>
      <c r="D1050">
        <v>0</v>
      </c>
      <c r="E1050">
        <v>0</v>
      </c>
      <c r="I1050" s="2">
        <v>31</v>
      </c>
      <c r="J1050" s="2" t="s">
        <v>319</v>
      </c>
      <c r="K1050">
        <v>2020</v>
      </c>
      <c r="L1050" s="2" t="s">
        <v>32</v>
      </c>
      <c r="M1050" t="s">
        <v>897</v>
      </c>
      <c r="N1050" s="31">
        <v>17.5</v>
      </c>
      <c r="O1050">
        <v>0.5</v>
      </c>
      <c r="P1050" s="31" t="s">
        <v>30</v>
      </c>
      <c r="R1050" t="s">
        <v>89</v>
      </c>
      <c r="S1050" s="4">
        <v>37.396090000000001</v>
      </c>
      <c r="T1050" s="4">
        <v>-121.73437</v>
      </c>
      <c r="U1050">
        <v>2447</v>
      </c>
      <c r="V1050" s="6">
        <f t="shared" si="86"/>
        <v>745.84559999999999</v>
      </c>
      <c r="W1050" t="s">
        <v>898</v>
      </c>
      <c r="X1050" t="s">
        <v>2385</v>
      </c>
      <c r="Y1050" s="1" t="s">
        <v>47</v>
      </c>
      <c r="Z1050" t="s">
        <v>3042</v>
      </c>
      <c r="AA1050" t="s">
        <v>3050</v>
      </c>
      <c r="AL1050">
        <f t="shared" si="82"/>
        <v>0</v>
      </c>
      <c r="AM1050">
        <f t="shared" si="83"/>
        <v>0</v>
      </c>
      <c r="AN1050">
        <f t="shared" si="84"/>
        <v>0</v>
      </c>
    </row>
    <row r="1051" spans="1:40" x14ac:dyDescent="0.2">
      <c r="A1051">
        <v>155</v>
      </c>
      <c r="B1051" t="s">
        <v>2878</v>
      </c>
      <c r="C1051">
        <v>0</v>
      </c>
      <c r="D1051">
        <v>0</v>
      </c>
      <c r="E1051">
        <v>0</v>
      </c>
      <c r="I1051" s="2">
        <v>31</v>
      </c>
      <c r="J1051" s="2" t="s">
        <v>319</v>
      </c>
      <c r="K1051">
        <v>2020</v>
      </c>
      <c r="L1051" s="2" t="s">
        <v>32</v>
      </c>
      <c r="M1051" t="s">
        <v>897</v>
      </c>
      <c r="N1051" s="31">
        <v>22.5</v>
      </c>
      <c r="O1051">
        <v>1.5</v>
      </c>
      <c r="P1051" s="31" t="s">
        <v>30</v>
      </c>
      <c r="R1051" s="53" t="s">
        <v>39</v>
      </c>
      <c r="S1051" s="4">
        <v>37.396090000000001</v>
      </c>
      <c r="T1051" s="4">
        <v>-121.73437</v>
      </c>
      <c r="U1051">
        <v>2447</v>
      </c>
      <c r="V1051" s="6">
        <f t="shared" si="86"/>
        <v>745.84559999999999</v>
      </c>
      <c r="W1051" t="s">
        <v>898</v>
      </c>
      <c r="X1051" t="s">
        <v>2385</v>
      </c>
      <c r="Y1051" s="1" t="s">
        <v>93</v>
      </c>
      <c r="AA1051" t="s">
        <v>3051</v>
      </c>
      <c r="AL1051">
        <f t="shared" si="82"/>
        <v>0</v>
      </c>
      <c r="AM1051">
        <f t="shared" si="83"/>
        <v>0</v>
      </c>
      <c r="AN1051">
        <f t="shared" si="84"/>
        <v>0</v>
      </c>
    </row>
    <row r="1052" spans="1:40" x14ac:dyDescent="0.2">
      <c r="A1052">
        <v>155</v>
      </c>
      <c r="B1052" t="s">
        <v>2879</v>
      </c>
      <c r="C1052">
        <v>0</v>
      </c>
      <c r="D1052">
        <v>0</v>
      </c>
      <c r="E1052">
        <v>0</v>
      </c>
      <c r="I1052" s="2">
        <v>31</v>
      </c>
      <c r="J1052" s="2" t="s">
        <v>319</v>
      </c>
      <c r="K1052">
        <v>2020</v>
      </c>
      <c r="L1052" s="2" t="s">
        <v>32</v>
      </c>
      <c r="M1052" t="s">
        <v>897</v>
      </c>
      <c r="N1052" s="31">
        <v>21</v>
      </c>
      <c r="O1052">
        <v>1</v>
      </c>
      <c r="P1052" s="31" t="s">
        <v>30</v>
      </c>
      <c r="R1052" s="53" t="s">
        <v>39</v>
      </c>
      <c r="S1052" s="4">
        <v>37.396090000000001</v>
      </c>
      <c r="T1052" s="4">
        <v>-121.73437</v>
      </c>
      <c r="U1052">
        <v>2447</v>
      </c>
      <c r="V1052" s="6">
        <f t="shared" si="86"/>
        <v>745.84559999999999</v>
      </c>
      <c r="W1052" t="s">
        <v>898</v>
      </c>
      <c r="X1052" t="s">
        <v>2385</v>
      </c>
      <c r="Y1052" s="1" t="s">
        <v>878</v>
      </c>
      <c r="AA1052" t="s">
        <v>3052</v>
      </c>
      <c r="AL1052">
        <f t="shared" si="82"/>
        <v>0</v>
      </c>
      <c r="AM1052">
        <f t="shared" si="83"/>
        <v>0</v>
      </c>
      <c r="AN1052">
        <f t="shared" si="84"/>
        <v>0</v>
      </c>
    </row>
    <row r="1053" spans="1:40" x14ac:dyDescent="0.2">
      <c r="A1053">
        <v>155</v>
      </c>
      <c r="B1053" t="s">
        <v>2880</v>
      </c>
      <c r="C1053">
        <v>0</v>
      </c>
      <c r="D1053">
        <v>0</v>
      </c>
      <c r="E1053">
        <v>0</v>
      </c>
      <c r="I1053" s="2">
        <v>31</v>
      </c>
      <c r="J1053" s="2" t="s">
        <v>319</v>
      </c>
      <c r="K1053">
        <v>2020</v>
      </c>
      <c r="L1053" s="2" t="s">
        <v>32</v>
      </c>
      <c r="M1053" t="s">
        <v>897</v>
      </c>
      <c r="N1053" s="31">
        <v>23.5</v>
      </c>
      <c r="O1053">
        <f>14-12.5</f>
        <v>1.5</v>
      </c>
      <c r="P1053" s="31" t="s">
        <v>30</v>
      </c>
      <c r="R1053" s="53" t="s">
        <v>39</v>
      </c>
      <c r="S1053" s="4">
        <v>37.396090000000001</v>
      </c>
      <c r="T1053" s="4">
        <v>-121.73437</v>
      </c>
      <c r="U1053">
        <v>2447</v>
      </c>
      <c r="V1053" s="6">
        <f t="shared" si="86"/>
        <v>745.84559999999999</v>
      </c>
      <c r="W1053" t="s">
        <v>898</v>
      </c>
      <c r="X1053" t="s">
        <v>2385</v>
      </c>
      <c r="Y1053" s="1" t="s">
        <v>1108</v>
      </c>
      <c r="AA1053" t="s">
        <v>3053</v>
      </c>
      <c r="AL1053">
        <f t="shared" si="82"/>
        <v>0</v>
      </c>
      <c r="AM1053">
        <f t="shared" si="83"/>
        <v>0</v>
      </c>
      <c r="AN1053">
        <f t="shared" si="84"/>
        <v>0</v>
      </c>
    </row>
    <row r="1054" spans="1:40" x14ac:dyDescent="0.2">
      <c r="A1054">
        <v>155</v>
      </c>
      <c r="B1054" t="s">
        <v>2881</v>
      </c>
      <c r="C1054">
        <v>0</v>
      </c>
      <c r="D1054">
        <v>7.6540492475032806E-2</v>
      </c>
      <c r="E1054">
        <v>0</v>
      </c>
      <c r="I1054" s="2">
        <v>31</v>
      </c>
      <c r="J1054" s="2" t="s">
        <v>319</v>
      </c>
      <c r="K1054">
        <v>2020</v>
      </c>
      <c r="L1054" s="2" t="s">
        <v>32</v>
      </c>
      <c r="M1054" t="s">
        <v>897</v>
      </c>
      <c r="N1054" s="31">
        <v>20</v>
      </c>
      <c r="O1054">
        <v>1</v>
      </c>
      <c r="P1054" s="31" t="s">
        <v>30</v>
      </c>
      <c r="R1054" s="53" t="s">
        <v>39</v>
      </c>
      <c r="S1054" s="4">
        <v>37.396090000000001</v>
      </c>
      <c r="T1054" s="4">
        <v>-121.73437</v>
      </c>
      <c r="U1054">
        <v>2447</v>
      </c>
      <c r="V1054" s="6">
        <f t="shared" si="86"/>
        <v>745.84559999999999</v>
      </c>
      <c r="W1054" t="s">
        <v>898</v>
      </c>
      <c r="X1054" t="s">
        <v>2385</v>
      </c>
      <c r="Y1054" s="1" t="s">
        <v>1098</v>
      </c>
      <c r="AA1054" t="s">
        <v>3054</v>
      </c>
      <c r="AL1054">
        <f t="shared" si="82"/>
        <v>0</v>
      </c>
      <c r="AM1054">
        <f t="shared" si="83"/>
        <v>6.1232393980026245</v>
      </c>
      <c r="AN1054">
        <f t="shared" si="84"/>
        <v>0</v>
      </c>
    </row>
    <row r="1055" spans="1:40" x14ac:dyDescent="0.2">
      <c r="A1055">
        <v>155</v>
      </c>
      <c r="B1055" t="s">
        <v>2882</v>
      </c>
      <c r="C1055">
        <v>0</v>
      </c>
      <c r="D1055">
        <v>2.4487284943461418E-2</v>
      </c>
      <c r="E1055">
        <v>0</v>
      </c>
      <c r="I1055" s="2">
        <v>31</v>
      </c>
      <c r="J1055" s="2" t="s">
        <v>319</v>
      </c>
      <c r="K1055">
        <v>2020</v>
      </c>
      <c r="L1055" s="2" t="s">
        <v>32</v>
      </c>
      <c r="M1055" t="s">
        <v>897</v>
      </c>
      <c r="N1055" s="31">
        <v>21.5</v>
      </c>
      <c r="O1055">
        <v>1</v>
      </c>
      <c r="P1055" s="31" t="s">
        <v>30</v>
      </c>
      <c r="R1055" s="53" t="s">
        <v>39</v>
      </c>
      <c r="S1055" s="4">
        <v>37.396090000000001</v>
      </c>
      <c r="T1055" s="4">
        <v>-121.73437</v>
      </c>
      <c r="U1055">
        <v>2447</v>
      </c>
      <c r="V1055" s="6">
        <f t="shared" si="86"/>
        <v>745.84559999999999</v>
      </c>
      <c r="W1055" t="s">
        <v>898</v>
      </c>
      <c r="X1055" t="s">
        <v>2385</v>
      </c>
      <c r="Y1055" s="1" t="s">
        <v>561</v>
      </c>
      <c r="Z1055" t="s">
        <v>3043</v>
      </c>
      <c r="AA1055" t="s">
        <v>3055</v>
      </c>
      <c r="AL1055">
        <f t="shared" si="82"/>
        <v>0</v>
      </c>
      <c r="AM1055">
        <f t="shared" si="83"/>
        <v>1.9589827954769135</v>
      </c>
      <c r="AN1055">
        <f t="shared" si="84"/>
        <v>0</v>
      </c>
    </row>
    <row r="1056" spans="1:40" x14ac:dyDescent="0.2">
      <c r="A1056">
        <v>155</v>
      </c>
      <c r="B1056" t="s">
        <v>2883</v>
      </c>
      <c r="C1056">
        <v>0</v>
      </c>
      <c r="D1056">
        <v>0</v>
      </c>
      <c r="E1056">
        <v>0</v>
      </c>
      <c r="I1056" s="2">
        <v>31</v>
      </c>
      <c r="J1056" s="2" t="s">
        <v>319</v>
      </c>
      <c r="K1056">
        <v>2020</v>
      </c>
      <c r="L1056" s="2" t="s">
        <v>32</v>
      </c>
      <c r="M1056" t="s">
        <v>897</v>
      </c>
      <c r="N1056" s="31">
        <v>19.5</v>
      </c>
      <c r="O1056">
        <v>1</v>
      </c>
      <c r="P1056" s="31" t="s">
        <v>30</v>
      </c>
      <c r="R1056" s="53" t="s">
        <v>39</v>
      </c>
      <c r="S1056" s="4">
        <v>37.396090000000001</v>
      </c>
      <c r="T1056" s="4">
        <v>-121.73437</v>
      </c>
      <c r="U1056">
        <v>2447</v>
      </c>
      <c r="V1056" s="6">
        <f t="shared" si="86"/>
        <v>745.84559999999999</v>
      </c>
      <c r="W1056" t="s">
        <v>898</v>
      </c>
      <c r="X1056" t="s">
        <v>2385</v>
      </c>
      <c r="Y1056" s="1" t="s">
        <v>346</v>
      </c>
      <c r="AA1056" t="s">
        <v>3056</v>
      </c>
      <c r="AL1056">
        <f t="shared" si="82"/>
        <v>0</v>
      </c>
      <c r="AM1056">
        <f t="shared" si="83"/>
        <v>0</v>
      </c>
      <c r="AN1056">
        <f t="shared" si="84"/>
        <v>0</v>
      </c>
    </row>
    <row r="1057" spans="1:40" x14ac:dyDescent="0.2">
      <c r="A1057">
        <v>155</v>
      </c>
      <c r="B1057" t="s">
        <v>2884</v>
      </c>
      <c r="C1057">
        <v>0</v>
      </c>
      <c r="D1057">
        <v>0</v>
      </c>
      <c r="E1057">
        <v>0</v>
      </c>
      <c r="I1057" s="2">
        <v>31</v>
      </c>
      <c r="J1057" s="2" t="s">
        <v>319</v>
      </c>
      <c r="K1057">
        <v>2020</v>
      </c>
      <c r="L1057" s="2" t="s">
        <v>32</v>
      </c>
      <c r="M1057" t="s">
        <v>897</v>
      </c>
      <c r="N1057" s="31">
        <v>18</v>
      </c>
      <c r="O1057">
        <v>0.5</v>
      </c>
      <c r="P1057" s="31" t="s">
        <v>30</v>
      </c>
      <c r="R1057" t="s">
        <v>89</v>
      </c>
      <c r="S1057" s="4">
        <v>37.396090000000001</v>
      </c>
      <c r="T1057" s="4">
        <v>-121.73437</v>
      </c>
      <c r="U1057">
        <v>2447</v>
      </c>
      <c r="V1057" s="6">
        <f t="shared" si="86"/>
        <v>745.84559999999999</v>
      </c>
      <c r="W1057" t="s">
        <v>898</v>
      </c>
      <c r="X1057" t="s">
        <v>2385</v>
      </c>
      <c r="Y1057" s="1" t="s">
        <v>454</v>
      </c>
      <c r="AA1057" t="s">
        <v>3057</v>
      </c>
      <c r="AL1057">
        <f t="shared" si="82"/>
        <v>0</v>
      </c>
      <c r="AM1057">
        <f t="shared" si="83"/>
        <v>0</v>
      </c>
      <c r="AN1057">
        <f t="shared" si="84"/>
        <v>0</v>
      </c>
    </row>
    <row r="1058" spans="1:40" x14ac:dyDescent="0.2">
      <c r="A1058">
        <v>155</v>
      </c>
      <c r="B1058" t="s">
        <v>2885</v>
      </c>
      <c r="C1058">
        <v>0</v>
      </c>
      <c r="D1058">
        <v>0</v>
      </c>
      <c r="E1058">
        <v>0</v>
      </c>
      <c r="I1058" s="2">
        <v>31</v>
      </c>
      <c r="J1058" s="2" t="s">
        <v>319</v>
      </c>
      <c r="K1058">
        <v>2020</v>
      </c>
      <c r="L1058" s="2" t="s">
        <v>32</v>
      </c>
      <c r="M1058" t="s">
        <v>897</v>
      </c>
      <c r="N1058" s="31">
        <v>18.5</v>
      </c>
      <c r="O1058">
        <v>1</v>
      </c>
      <c r="P1058" s="31" t="s">
        <v>30</v>
      </c>
      <c r="R1058" t="s">
        <v>89</v>
      </c>
      <c r="S1058" s="4">
        <v>37.396090000000001</v>
      </c>
      <c r="T1058" s="4">
        <v>-121.73437</v>
      </c>
      <c r="U1058">
        <v>2447</v>
      </c>
      <c r="V1058" s="6">
        <f t="shared" si="86"/>
        <v>745.84559999999999</v>
      </c>
      <c r="W1058" t="s">
        <v>898</v>
      </c>
      <c r="X1058" t="s">
        <v>2385</v>
      </c>
      <c r="Y1058" s="1" t="s">
        <v>456</v>
      </c>
      <c r="AA1058" t="s">
        <v>3058</v>
      </c>
      <c r="AL1058">
        <f t="shared" si="82"/>
        <v>0</v>
      </c>
      <c r="AM1058">
        <f t="shared" si="83"/>
        <v>0</v>
      </c>
      <c r="AN1058">
        <f t="shared" si="84"/>
        <v>0</v>
      </c>
    </row>
    <row r="1059" spans="1:40" s="11" customFormat="1" x14ac:dyDescent="0.2">
      <c r="A1059" s="11">
        <v>155</v>
      </c>
      <c r="B1059" s="11" t="s">
        <v>2886</v>
      </c>
      <c r="C1059">
        <v>0</v>
      </c>
      <c r="D1059">
        <v>0</v>
      </c>
      <c r="E1059">
        <v>0</v>
      </c>
      <c r="I1059" s="11">
        <v>31</v>
      </c>
      <c r="J1059" s="11" t="s">
        <v>319</v>
      </c>
      <c r="K1059" s="11">
        <v>2020</v>
      </c>
      <c r="L1059" s="11" t="s">
        <v>32</v>
      </c>
      <c r="M1059" s="11" t="s">
        <v>897</v>
      </c>
      <c r="N1059" s="32">
        <v>21</v>
      </c>
      <c r="O1059" s="11">
        <v>1</v>
      </c>
      <c r="P1059" s="32" t="s">
        <v>41</v>
      </c>
      <c r="R1059" s="53" t="s">
        <v>39</v>
      </c>
      <c r="S1059" s="4">
        <v>37.396090000000001</v>
      </c>
      <c r="T1059" s="4">
        <v>-121.73437</v>
      </c>
      <c r="U1059">
        <v>2447</v>
      </c>
      <c r="V1059" s="6">
        <f t="shared" si="86"/>
        <v>745.84559999999999</v>
      </c>
      <c r="W1059" s="11" t="s">
        <v>898</v>
      </c>
      <c r="X1059" s="11" t="s">
        <v>2385</v>
      </c>
      <c r="Y1059" s="11" t="s">
        <v>456</v>
      </c>
      <c r="Z1059" s="11" t="s">
        <v>3044</v>
      </c>
      <c r="AA1059" s="11" t="s">
        <v>3059</v>
      </c>
      <c r="AJ1059" s="42"/>
      <c r="AL1059" s="11">
        <f t="shared" si="82"/>
        <v>0</v>
      </c>
      <c r="AM1059" s="11">
        <f t="shared" si="83"/>
        <v>0</v>
      </c>
      <c r="AN1059" s="11">
        <f t="shared" si="84"/>
        <v>0</v>
      </c>
    </row>
    <row r="1060" spans="1:40" x14ac:dyDescent="0.2">
      <c r="A1060">
        <v>155</v>
      </c>
      <c r="B1060" t="s">
        <v>2887</v>
      </c>
      <c r="C1060">
        <v>0</v>
      </c>
      <c r="D1060">
        <v>0</v>
      </c>
      <c r="E1060">
        <v>0</v>
      </c>
      <c r="I1060" s="2">
        <v>31</v>
      </c>
      <c r="J1060" s="2" t="s">
        <v>319</v>
      </c>
      <c r="K1060">
        <v>2020</v>
      </c>
      <c r="L1060" s="2" t="s">
        <v>32</v>
      </c>
      <c r="M1060" t="s">
        <v>897</v>
      </c>
      <c r="N1060" s="31">
        <v>19</v>
      </c>
      <c r="O1060">
        <v>0.5</v>
      </c>
      <c r="P1060" s="31" t="s">
        <v>30</v>
      </c>
      <c r="R1060" s="53" t="s">
        <v>39</v>
      </c>
      <c r="S1060" s="4">
        <v>37.396090000000001</v>
      </c>
      <c r="T1060" s="4">
        <v>-121.73437</v>
      </c>
      <c r="U1060">
        <v>2447</v>
      </c>
      <c r="V1060" s="6">
        <f t="shared" si="86"/>
        <v>745.84559999999999</v>
      </c>
      <c r="W1060" t="s">
        <v>898</v>
      </c>
      <c r="X1060" t="s">
        <v>2385</v>
      </c>
      <c r="Y1060" s="1" t="s">
        <v>456</v>
      </c>
      <c r="AA1060" t="s">
        <v>3060</v>
      </c>
      <c r="AL1060">
        <f t="shared" si="82"/>
        <v>0</v>
      </c>
      <c r="AM1060">
        <f t="shared" si="83"/>
        <v>0</v>
      </c>
      <c r="AN1060">
        <f t="shared" si="84"/>
        <v>0</v>
      </c>
    </row>
    <row r="1061" spans="1:40" x14ac:dyDescent="0.2">
      <c r="A1061">
        <v>155</v>
      </c>
      <c r="B1061" t="s">
        <v>2888</v>
      </c>
      <c r="C1061">
        <v>0</v>
      </c>
      <c r="D1061">
        <v>0</v>
      </c>
      <c r="E1061">
        <v>0</v>
      </c>
      <c r="I1061" s="2">
        <v>31</v>
      </c>
      <c r="J1061" s="2" t="s">
        <v>319</v>
      </c>
      <c r="K1061">
        <v>2020</v>
      </c>
      <c r="L1061" s="2" t="s">
        <v>32</v>
      </c>
      <c r="M1061" t="s">
        <v>897</v>
      </c>
      <c r="N1061" s="31">
        <v>19</v>
      </c>
      <c r="O1061">
        <v>1</v>
      </c>
      <c r="P1061" s="31" t="s">
        <v>30</v>
      </c>
      <c r="R1061" s="53" t="s">
        <v>39</v>
      </c>
      <c r="S1061" s="4">
        <v>37.396090000000001</v>
      </c>
      <c r="T1061" s="4">
        <v>-121.73437</v>
      </c>
      <c r="U1061">
        <v>2447</v>
      </c>
      <c r="V1061" s="6">
        <f t="shared" si="86"/>
        <v>745.84559999999999</v>
      </c>
      <c r="W1061" t="s">
        <v>898</v>
      </c>
      <c r="X1061" t="s">
        <v>2385</v>
      </c>
      <c r="Y1061" s="1" t="s">
        <v>257</v>
      </c>
      <c r="AA1061" t="s">
        <v>3061</v>
      </c>
      <c r="AL1061">
        <f t="shared" si="82"/>
        <v>0</v>
      </c>
      <c r="AM1061">
        <f t="shared" si="83"/>
        <v>0</v>
      </c>
      <c r="AN1061">
        <f t="shared" si="84"/>
        <v>0</v>
      </c>
    </row>
    <row r="1062" spans="1:40" x14ac:dyDescent="0.2">
      <c r="A1062">
        <v>156</v>
      </c>
      <c r="B1062" t="s">
        <v>2889</v>
      </c>
      <c r="C1062">
        <v>0</v>
      </c>
      <c r="D1062">
        <v>0</v>
      </c>
      <c r="E1062">
        <v>0</v>
      </c>
      <c r="I1062" s="2">
        <v>31</v>
      </c>
      <c r="J1062" s="2" t="s">
        <v>319</v>
      </c>
      <c r="K1062">
        <v>2020</v>
      </c>
      <c r="L1062" s="2" t="s">
        <v>32</v>
      </c>
      <c r="M1062" t="s">
        <v>897</v>
      </c>
      <c r="N1062" s="31">
        <v>19</v>
      </c>
      <c r="O1062">
        <v>0.5</v>
      </c>
      <c r="P1062" s="31" t="s">
        <v>30</v>
      </c>
      <c r="R1062" s="53" t="s">
        <v>39</v>
      </c>
      <c r="S1062" s="4">
        <v>37.38964</v>
      </c>
      <c r="T1062" s="4">
        <v>-121.73273</v>
      </c>
      <c r="U1062">
        <v>2353</v>
      </c>
      <c r="V1062" s="6">
        <f t="shared" ref="V1062" si="87">U1062*0.3048</f>
        <v>717.19440000000009</v>
      </c>
      <c r="W1062" t="s">
        <v>898</v>
      </c>
      <c r="X1062" t="s">
        <v>2209</v>
      </c>
      <c r="Y1062" s="1" t="s">
        <v>3034</v>
      </c>
      <c r="AA1062" t="s">
        <v>3062</v>
      </c>
      <c r="AL1062">
        <f t="shared" si="82"/>
        <v>0</v>
      </c>
      <c r="AM1062">
        <f t="shared" si="83"/>
        <v>0</v>
      </c>
      <c r="AN1062">
        <f t="shared" si="84"/>
        <v>0</v>
      </c>
    </row>
    <row r="1063" spans="1:40" x14ac:dyDescent="0.2">
      <c r="A1063">
        <v>156</v>
      </c>
      <c r="B1063" t="s">
        <v>2890</v>
      </c>
      <c r="C1063">
        <v>0</v>
      </c>
      <c r="D1063">
        <v>0</v>
      </c>
      <c r="E1063">
        <v>0</v>
      </c>
      <c r="I1063" s="2">
        <v>31</v>
      </c>
      <c r="J1063" s="2" t="s">
        <v>319</v>
      </c>
      <c r="K1063">
        <v>2020</v>
      </c>
      <c r="L1063" s="2" t="s">
        <v>32</v>
      </c>
      <c r="M1063" t="s">
        <v>897</v>
      </c>
      <c r="N1063" s="31">
        <v>21</v>
      </c>
      <c r="O1063">
        <v>1</v>
      </c>
      <c r="P1063" s="31" t="s">
        <v>30</v>
      </c>
      <c r="R1063" s="53" t="s">
        <v>39</v>
      </c>
      <c r="S1063" s="4">
        <v>37.38964</v>
      </c>
      <c r="T1063" s="4">
        <v>-121.73273</v>
      </c>
      <c r="U1063">
        <v>2353</v>
      </c>
      <c r="V1063" s="6">
        <f t="shared" ref="V1063:V1126" si="88">U1063*0.3048</f>
        <v>717.19440000000009</v>
      </c>
      <c r="W1063" t="s">
        <v>898</v>
      </c>
      <c r="X1063" t="s">
        <v>2209</v>
      </c>
      <c r="Y1063" s="1" t="s">
        <v>3035</v>
      </c>
      <c r="AA1063" t="s">
        <v>3063</v>
      </c>
      <c r="AL1063">
        <f t="shared" si="82"/>
        <v>0</v>
      </c>
      <c r="AM1063">
        <f t="shared" si="83"/>
        <v>0</v>
      </c>
      <c r="AN1063">
        <f t="shared" si="84"/>
        <v>0</v>
      </c>
    </row>
    <row r="1064" spans="1:40" x14ac:dyDescent="0.2">
      <c r="A1064">
        <v>156</v>
      </c>
      <c r="B1064" t="s">
        <v>2891</v>
      </c>
      <c r="C1064">
        <v>0</v>
      </c>
      <c r="D1064">
        <v>0</v>
      </c>
      <c r="E1064">
        <v>0</v>
      </c>
      <c r="I1064" s="2">
        <v>31</v>
      </c>
      <c r="J1064" s="2" t="s">
        <v>319</v>
      </c>
      <c r="K1064">
        <v>2020</v>
      </c>
      <c r="L1064" s="2" t="s">
        <v>32</v>
      </c>
      <c r="M1064" t="s">
        <v>897</v>
      </c>
      <c r="N1064" s="31">
        <v>18.5</v>
      </c>
      <c r="O1064">
        <v>0.5</v>
      </c>
      <c r="P1064" s="31" t="s">
        <v>30</v>
      </c>
      <c r="R1064" t="s">
        <v>89</v>
      </c>
      <c r="S1064" s="4">
        <v>37.38964</v>
      </c>
      <c r="T1064" s="4">
        <v>-121.73273</v>
      </c>
      <c r="U1064">
        <v>2353</v>
      </c>
      <c r="V1064" s="6">
        <f t="shared" si="88"/>
        <v>717.19440000000009</v>
      </c>
      <c r="W1064" t="s">
        <v>898</v>
      </c>
      <c r="X1064" t="s">
        <v>2209</v>
      </c>
      <c r="Y1064" s="1" t="s">
        <v>3035</v>
      </c>
      <c r="AA1064" t="s">
        <v>3064</v>
      </c>
      <c r="AL1064">
        <f t="shared" si="82"/>
        <v>0</v>
      </c>
      <c r="AM1064">
        <f t="shared" si="83"/>
        <v>0</v>
      </c>
      <c r="AN1064">
        <f t="shared" si="84"/>
        <v>0</v>
      </c>
    </row>
    <row r="1065" spans="1:40" x14ac:dyDescent="0.2">
      <c r="A1065">
        <v>156</v>
      </c>
      <c r="B1065" t="s">
        <v>2892</v>
      </c>
      <c r="C1065">
        <v>0</v>
      </c>
      <c r="D1065">
        <v>0</v>
      </c>
      <c r="E1065">
        <v>0</v>
      </c>
      <c r="I1065" s="2">
        <v>31</v>
      </c>
      <c r="J1065" s="2" t="s">
        <v>319</v>
      </c>
      <c r="K1065">
        <v>2020</v>
      </c>
      <c r="L1065" s="2" t="s">
        <v>32</v>
      </c>
      <c r="M1065" t="s">
        <v>897</v>
      </c>
      <c r="N1065" s="31">
        <v>21.5</v>
      </c>
      <c r="O1065">
        <v>1</v>
      </c>
      <c r="P1065" s="31" t="s">
        <v>30</v>
      </c>
      <c r="R1065" s="53" t="s">
        <v>39</v>
      </c>
      <c r="S1065" s="4">
        <v>37.38964</v>
      </c>
      <c r="T1065" s="4">
        <v>-121.73273</v>
      </c>
      <c r="U1065">
        <v>2353</v>
      </c>
      <c r="V1065" s="6">
        <f t="shared" si="88"/>
        <v>717.19440000000009</v>
      </c>
      <c r="W1065" t="s">
        <v>898</v>
      </c>
      <c r="X1065" t="s">
        <v>2209</v>
      </c>
      <c r="Y1065" s="1" t="s">
        <v>3035</v>
      </c>
      <c r="AA1065" t="s">
        <v>3065</v>
      </c>
      <c r="AL1065">
        <f t="shared" si="82"/>
        <v>0</v>
      </c>
      <c r="AM1065">
        <f t="shared" si="83"/>
        <v>0</v>
      </c>
      <c r="AN1065">
        <f t="shared" si="84"/>
        <v>0</v>
      </c>
    </row>
    <row r="1066" spans="1:40" x14ac:dyDescent="0.2">
      <c r="A1066">
        <v>156</v>
      </c>
      <c r="B1066" t="s">
        <v>2893</v>
      </c>
      <c r="C1066">
        <v>0</v>
      </c>
      <c r="D1066">
        <v>0</v>
      </c>
      <c r="E1066">
        <v>0</v>
      </c>
      <c r="I1066" s="2">
        <v>31</v>
      </c>
      <c r="J1066" s="2" t="s">
        <v>319</v>
      </c>
      <c r="K1066">
        <v>2020</v>
      </c>
      <c r="L1066" s="2" t="s">
        <v>32</v>
      </c>
      <c r="M1066" t="s">
        <v>897</v>
      </c>
      <c r="N1066" s="31">
        <v>23.5</v>
      </c>
      <c r="O1066">
        <v>1.5</v>
      </c>
      <c r="P1066" s="31" t="s">
        <v>30</v>
      </c>
      <c r="R1066" s="53" t="s">
        <v>39</v>
      </c>
      <c r="S1066" s="4">
        <v>37.38964</v>
      </c>
      <c r="T1066" s="4">
        <v>-121.73273</v>
      </c>
      <c r="U1066">
        <v>2353</v>
      </c>
      <c r="V1066" s="6">
        <f t="shared" si="88"/>
        <v>717.19440000000009</v>
      </c>
      <c r="W1066" t="s">
        <v>898</v>
      </c>
      <c r="X1066" t="s">
        <v>2209</v>
      </c>
      <c r="Y1066" s="1" t="s">
        <v>3035</v>
      </c>
      <c r="AA1066" t="s">
        <v>3066</v>
      </c>
      <c r="AL1066">
        <f t="shared" si="82"/>
        <v>0</v>
      </c>
      <c r="AM1066">
        <f t="shared" si="83"/>
        <v>0</v>
      </c>
      <c r="AN1066">
        <f t="shared" si="84"/>
        <v>0</v>
      </c>
    </row>
    <row r="1067" spans="1:40" x14ac:dyDescent="0.2">
      <c r="A1067">
        <v>156</v>
      </c>
      <c r="B1067" t="s">
        <v>2894</v>
      </c>
      <c r="C1067">
        <v>0</v>
      </c>
      <c r="D1067">
        <v>2.7216162998229265E-3</v>
      </c>
      <c r="E1067">
        <v>0</v>
      </c>
      <c r="I1067" s="2">
        <v>31</v>
      </c>
      <c r="J1067" s="2" t="s">
        <v>319</v>
      </c>
      <c r="K1067">
        <v>2020</v>
      </c>
      <c r="L1067" s="2" t="s">
        <v>32</v>
      </c>
      <c r="M1067" t="s">
        <v>897</v>
      </c>
      <c r="N1067" s="31">
        <v>17</v>
      </c>
      <c r="O1067">
        <v>1</v>
      </c>
      <c r="P1067" s="31" t="s">
        <v>30</v>
      </c>
      <c r="R1067" t="s">
        <v>89</v>
      </c>
      <c r="S1067" s="4">
        <v>37.38964</v>
      </c>
      <c r="T1067" s="4">
        <v>-121.73273</v>
      </c>
      <c r="U1067">
        <v>2353</v>
      </c>
      <c r="V1067" s="6">
        <f t="shared" si="88"/>
        <v>717.19440000000009</v>
      </c>
      <c r="W1067" t="s">
        <v>898</v>
      </c>
      <c r="X1067" t="s">
        <v>2209</v>
      </c>
      <c r="Y1067" s="1" t="s">
        <v>3036</v>
      </c>
      <c r="AA1067" t="s">
        <v>3067</v>
      </c>
      <c r="AL1067">
        <f t="shared" si="82"/>
        <v>0</v>
      </c>
      <c r="AM1067">
        <f t="shared" si="83"/>
        <v>0.21772930398583412</v>
      </c>
      <c r="AN1067">
        <f t="shared" si="84"/>
        <v>0</v>
      </c>
    </row>
    <row r="1068" spans="1:40" x14ac:dyDescent="0.2">
      <c r="A1068">
        <v>156</v>
      </c>
      <c r="B1068" t="s">
        <v>2895</v>
      </c>
      <c r="C1068">
        <v>0</v>
      </c>
      <c r="D1068">
        <v>0</v>
      </c>
      <c r="E1068">
        <v>0</v>
      </c>
      <c r="I1068" s="2">
        <v>31</v>
      </c>
      <c r="J1068" s="2" t="s">
        <v>319</v>
      </c>
      <c r="K1068">
        <v>2020</v>
      </c>
      <c r="L1068" s="2" t="s">
        <v>32</v>
      </c>
      <c r="M1068" t="s">
        <v>897</v>
      </c>
      <c r="N1068" s="31">
        <v>20</v>
      </c>
      <c r="O1068">
        <v>1</v>
      </c>
      <c r="P1068" s="31" t="s">
        <v>30</v>
      </c>
      <c r="R1068" s="53" t="s">
        <v>39</v>
      </c>
      <c r="S1068" s="4">
        <v>37.38964</v>
      </c>
      <c r="T1068" s="4">
        <v>-121.73273</v>
      </c>
      <c r="U1068">
        <v>2353</v>
      </c>
      <c r="V1068" s="6">
        <f t="shared" si="88"/>
        <v>717.19440000000009</v>
      </c>
      <c r="W1068" t="s">
        <v>898</v>
      </c>
      <c r="X1068" t="s">
        <v>2209</v>
      </c>
      <c r="Y1068" s="1" t="s">
        <v>3037</v>
      </c>
      <c r="AA1068" t="s">
        <v>3068</v>
      </c>
      <c r="AL1068">
        <f t="shared" si="82"/>
        <v>0</v>
      </c>
      <c r="AM1068">
        <f t="shared" si="83"/>
        <v>0</v>
      </c>
      <c r="AN1068">
        <f t="shared" si="84"/>
        <v>0</v>
      </c>
    </row>
    <row r="1069" spans="1:40" x14ac:dyDescent="0.2">
      <c r="A1069">
        <v>156</v>
      </c>
      <c r="B1069" t="s">
        <v>2896</v>
      </c>
      <c r="C1069">
        <v>0</v>
      </c>
      <c r="D1069">
        <v>0</v>
      </c>
      <c r="E1069">
        <v>0</v>
      </c>
      <c r="I1069" s="2">
        <v>31</v>
      </c>
      <c r="J1069" s="2" t="s">
        <v>319</v>
      </c>
      <c r="K1069">
        <v>2020</v>
      </c>
      <c r="L1069" s="2" t="s">
        <v>32</v>
      </c>
      <c r="M1069" t="s">
        <v>897</v>
      </c>
      <c r="N1069" s="31">
        <v>24</v>
      </c>
      <c r="O1069">
        <v>1.5</v>
      </c>
      <c r="P1069" s="31" t="s">
        <v>30</v>
      </c>
      <c r="R1069" s="53" t="s">
        <v>39</v>
      </c>
      <c r="S1069" s="4">
        <v>37.38964</v>
      </c>
      <c r="T1069" s="4">
        <v>-121.73273</v>
      </c>
      <c r="U1069">
        <v>2353</v>
      </c>
      <c r="V1069" s="6">
        <f t="shared" si="88"/>
        <v>717.19440000000009</v>
      </c>
      <c r="W1069" t="s">
        <v>898</v>
      </c>
      <c r="X1069" t="s">
        <v>2209</v>
      </c>
      <c r="Y1069" s="1" t="s">
        <v>3038</v>
      </c>
      <c r="AA1069" t="s">
        <v>3069</v>
      </c>
      <c r="AL1069">
        <f t="shared" si="82"/>
        <v>0</v>
      </c>
      <c r="AM1069">
        <f t="shared" si="83"/>
        <v>0</v>
      </c>
      <c r="AN1069">
        <f t="shared" si="84"/>
        <v>0</v>
      </c>
    </row>
    <row r="1070" spans="1:40" x14ac:dyDescent="0.2">
      <c r="A1070">
        <v>156</v>
      </c>
      <c r="B1070" t="s">
        <v>2897</v>
      </c>
      <c r="C1070">
        <v>0</v>
      </c>
      <c r="D1070">
        <v>0</v>
      </c>
      <c r="E1070">
        <v>0</v>
      </c>
      <c r="I1070" s="2">
        <v>31</v>
      </c>
      <c r="J1070" s="2" t="s">
        <v>319</v>
      </c>
      <c r="K1070">
        <v>2020</v>
      </c>
      <c r="L1070" s="2" t="s">
        <v>32</v>
      </c>
      <c r="M1070" t="s">
        <v>897</v>
      </c>
      <c r="N1070" s="31">
        <v>21</v>
      </c>
      <c r="O1070">
        <v>1</v>
      </c>
      <c r="P1070" s="31" t="s">
        <v>30</v>
      </c>
      <c r="R1070" s="53" t="s">
        <v>39</v>
      </c>
      <c r="S1070" s="4">
        <v>37.38964</v>
      </c>
      <c r="T1070" s="4">
        <v>-121.73273</v>
      </c>
      <c r="U1070">
        <v>2353</v>
      </c>
      <c r="V1070" s="6">
        <f t="shared" si="88"/>
        <v>717.19440000000009</v>
      </c>
      <c r="W1070" t="s">
        <v>898</v>
      </c>
      <c r="X1070" t="s">
        <v>2209</v>
      </c>
      <c r="Y1070" s="1" t="s">
        <v>828</v>
      </c>
      <c r="AA1070" t="s">
        <v>3070</v>
      </c>
      <c r="AL1070">
        <f t="shared" si="82"/>
        <v>0</v>
      </c>
      <c r="AM1070">
        <f t="shared" si="83"/>
        <v>0</v>
      </c>
      <c r="AN1070">
        <f t="shared" si="84"/>
        <v>0</v>
      </c>
    </row>
    <row r="1071" spans="1:40" x14ac:dyDescent="0.2">
      <c r="A1071">
        <v>156</v>
      </c>
      <c r="B1071" t="s">
        <v>2898</v>
      </c>
      <c r="C1071">
        <v>0</v>
      </c>
      <c r="D1071">
        <v>0</v>
      </c>
      <c r="E1071">
        <v>0</v>
      </c>
      <c r="I1071" s="2">
        <v>31</v>
      </c>
      <c r="J1071" s="2" t="s">
        <v>319</v>
      </c>
      <c r="K1071">
        <v>2020</v>
      </c>
      <c r="L1071" s="2" t="s">
        <v>32</v>
      </c>
      <c r="M1071" t="s">
        <v>897</v>
      </c>
      <c r="N1071" s="31">
        <v>21</v>
      </c>
      <c r="O1071">
        <v>1</v>
      </c>
      <c r="P1071" s="31" t="s">
        <v>30</v>
      </c>
      <c r="R1071" s="53" t="s">
        <v>39</v>
      </c>
      <c r="S1071" s="4">
        <v>37.38964</v>
      </c>
      <c r="T1071" s="4">
        <v>-121.73273</v>
      </c>
      <c r="U1071">
        <v>2353</v>
      </c>
      <c r="V1071" s="6">
        <f t="shared" si="88"/>
        <v>717.19440000000009</v>
      </c>
      <c r="W1071" t="s">
        <v>898</v>
      </c>
      <c r="X1071" t="s">
        <v>2209</v>
      </c>
      <c r="Y1071" s="1" t="s">
        <v>3039</v>
      </c>
      <c r="AA1071" t="s">
        <v>3071</v>
      </c>
      <c r="AL1071">
        <f t="shared" si="82"/>
        <v>0</v>
      </c>
      <c r="AM1071">
        <f t="shared" si="83"/>
        <v>0</v>
      </c>
      <c r="AN1071">
        <f t="shared" si="84"/>
        <v>0</v>
      </c>
    </row>
    <row r="1072" spans="1:40" x14ac:dyDescent="0.2">
      <c r="A1072">
        <v>156</v>
      </c>
      <c r="B1072" t="s">
        <v>2899</v>
      </c>
      <c r="C1072">
        <v>0</v>
      </c>
      <c r="D1072">
        <v>0</v>
      </c>
      <c r="E1072">
        <v>0</v>
      </c>
      <c r="I1072" s="2">
        <v>31</v>
      </c>
      <c r="J1072" s="2" t="s">
        <v>319</v>
      </c>
      <c r="K1072">
        <v>2020</v>
      </c>
      <c r="L1072" s="2" t="s">
        <v>32</v>
      </c>
      <c r="M1072" t="s">
        <v>897</v>
      </c>
      <c r="N1072" s="31">
        <v>20</v>
      </c>
      <c r="O1072">
        <v>1</v>
      </c>
      <c r="P1072" s="31" t="s">
        <v>30</v>
      </c>
      <c r="R1072" s="53" t="s">
        <v>39</v>
      </c>
      <c r="S1072" s="4">
        <v>37.38964</v>
      </c>
      <c r="T1072" s="4">
        <v>-121.73273</v>
      </c>
      <c r="U1072">
        <v>2353</v>
      </c>
      <c r="V1072" s="6">
        <f t="shared" si="88"/>
        <v>717.19440000000009</v>
      </c>
      <c r="W1072" t="s">
        <v>898</v>
      </c>
      <c r="X1072" t="s">
        <v>2209</v>
      </c>
      <c r="Y1072" s="1" t="s">
        <v>3040</v>
      </c>
      <c r="AA1072" t="s">
        <v>3072</v>
      </c>
      <c r="AL1072">
        <f t="shared" si="82"/>
        <v>0</v>
      </c>
      <c r="AM1072">
        <f t="shared" si="83"/>
        <v>0</v>
      </c>
      <c r="AN1072">
        <f t="shared" si="84"/>
        <v>0</v>
      </c>
    </row>
    <row r="1073" spans="1:40" x14ac:dyDescent="0.2">
      <c r="A1073">
        <v>156</v>
      </c>
      <c r="B1073" t="s">
        <v>2900</v>
      </c>
      <c r="C1073">
        <v>0</v>
      </c>
      <c r="D1073">
        <v>0</v>
      </c>
      <c r="E1073">
        <v>0</v>
      </c>
      <c r="I1073" s="2">
        <v>31</v>
      </c>
      <c r="J1073" s="2" t="s">
        <v>319</v>
      </c>
      <c r="K1073">
        <v>2020</v>
      </c>
      <c r="L1073" s="2" t="s">
        <v>32</v>
      </c>
      <c r="M1073" t="s">
        <v>897</v>
      </c>
      <c r="N1073" s="31">
        <v>20.5</v>
      </c>
      <c r="O1073">
        <v>1</v>
      </c>
      <c r="P1073" s="31" t="s">
        <v>30</v>
      </c>
      <c r="R1073" s="53" t="s">
        <v>39</v>
      </c>
      <c r="S1073" s="4">
        <v>37.38964</v>
      </c>
      <c r="T1073" s="4">
        <v>-121.73273</v>
      </c>
      <c r="U1073">
        <v>2353</v>
      </c>
      <c r="V1073" s="6">
        <f t="shared" si="88"/>
        <v>717.19440000000009</v>
      </c>
      <c r="W1073" t="s">
        <v>898</v>
      </c>
      <c r="X1073" t="s">
        <v>2209</v>
      </c>
      <c r="Y1073" s="1" t="s">
        <v>3041</v>
      </c>
      <c r="Z1073" t="s">
        <v>3045</v>
      </c>
      <c r="AA1073" t="s">
        <v>3073</v>
      </c>
      <c r="AL1073">
        <f t="shared" si="82"/>
        <v>0</v>
      </c>
      <c r="AM1073">
        <f t="shared" si="83"/>
        <v>0</v>
      </c>
      <c r="AN1073">
        <f t="shared" si="84"/>
        <v>0</v>
      </c>
    </row>
    <row r="1074" spans="1:40" x14ac:dyDescent="0.2">
      <c r="A1074">
        <v>156</v>
      </c>
      <c r="B1074" t="s">
        <v>2901</v>
      </c>
      <c r="C1074">
        <v>0</v>
      </c>
      <c r="D1074">
        <v>0</v>
      </c>
      <c r="E1074">
        <v>0</v>
      </c>
      <c r="I1074" s="2">
        <v>31</v>
      </c>
      <c r="J1074" s="2" t="s">
        <v>319</v>
      </c>
      <c r="K1074">
        <v>2020</v>
      </c>
      <c r="L1074" s="2" t="s">
        <v>32</v>
      </c>
      <c r="M1074" t="s">
        <v>897</v>
      </c>
      <c r="N1074" s="31">
        <v>19</v>
      </c>
      <c r="O1074">
        <v>1</v>
      </c>
      <c r="P1074" s="31" t="s">
        <v>30</v>
      </c>
      <c r="R1074" s="53" t="s">
        <v>39</v>
      </c>
      <c r="S1074" s="4">
        <v>37.38964</v>
      </c>
      <c r="T1074" s="4">
        <v>-121.73273</v>
      </c>
      <c r="U1074">
        <v>2353</v>
      </c>
      <c r="V1074" s="6">
        <f t="shared" si="88"/>
        <v>717.19440000000009</v>
      </c>
      <c r="W1074" t="s">
        <v>898</v>
      </c>
      <c r="X1074" t="s">
        <v>2209</v>
      </c>
      <c r="Y1074" s="1" t="s">
        <v>3041</v>
      </c>
      <c r="AA1074" t="s">
        <v>3074</v>
      </c>
      <c r="AL1074">
        <f t="shared" si="82"/>
        <v>0</v>
      </c>
      <c r="AM1074">
        <f t="shared" si="83"/>
        <v>0</v>
      </c>
      <c r="AN1074">
        <f t="shared" si="84"/>
        <v>0</v>
      </c>
    </row>
    <row r="1075" spans="1:40" x14ac:dyDescent="0.2">
      <c r="A1075">
        <v>157</v>
      </c>
      <c r="B1075" t="s">
        <v>2902</v>
      </c>
      <c r="C1075">
        <v>0</v>
      </c>
      <c r="D1075">
        <v>0</v>
      </c>
      <c r="E1075">
        <v>0</v>
      </c>
      <c r="I1075" s="2">
        <v>1</v>
      </c>
      <c r="J1075" s="2" t="s">
        <v>1155</v>
      </c>
      <c r="K1075">
        <v>2020</v>
      </c>
      <c r="L1075" s="2" t="s">
        <v>32</v>
      </c>
      <c r="M1075" t="s">
        <v>897</v>
      </c>
      <c r="N1075" s="31">
        <v>19</v>
      </c>
      <c r="O1075">
        <v>0.5</v>
      </c>
      <c r="P1075" s="31" t="s">
        <v>30</v>
      </c>
      <c r="R1075" s="53" t="s">
        <v>39</v>
      </c>
      <c r="S1075" s="4">
        <v>37.379849999999998</v>
      </c>
      <c r="T1075" s="4">
        <v>121.74673</v>
      </c>
      <c r="U1075">
        <v>1921</v>
      </c>
      <c r="V1075" s="6">
        <f t="shared" si="88"/>
        <v>585.52080000000001</v>
      </c>
      <c r="W1075" t="s">
        <v>898</v>
      </c>
      <c r="X1075" t="s">
        <v>2161</v>
      </c>
      <c r="Y1075" s="1" t="s">
        <v>1108</v>
      </c>
      <c r="AA1075" t="s">
        <v>3083</v>
      </c>
      <c r="AL1075">
        <f t="shared" si="82"/>
        <v>0</v>
      </c>
      <c r="AM1075">
        <f t="shared" si="83"/>
        <v>0</v>
      </c>
      <c r="AN1075">
        <f t="shared" si="84"/>
        <v>0</v>
      </c>
    </row>
    <row r="1076" spans="1:40" x14ac:dyDescent="0.2">
      <c r="A1076">
        <v>157</v>
      </c>
      <c r="B1076" t="s">
        <v>2903</v>
      </c>
      <c r="C1076">
        <v>0</v>
      </c>
      <c r="D1076">
        <v>0</v>
      </c>
      <c r="E1076">
        <v>0</v>
      </c>
      <c r="I1076" s="2">
        <v>1</v>
      </c>
      <c r="J1076" s="2" t="s">
        <v>1155</v>
      </c>
      <c r="K1076">
        <v>2020</v>
      </c>
      <c r="L1076" s="2" t="s">
        <v>32</v>
      </c>
      <c r="M1076" t="s">
        <v>897</v>
      </c>
      <c r="N1076" s="31">
        <v>19</v>
      </c>
      <c r="O1076">
        <v>0.5</v>
      </c>
      <c r="P1076" s="31" t="s">
        <v>30</v>
      </c>
      <c r="R1076" s="53" t="s">
        <v>39</v>
      </c>
      <c r="S1076" s="4">
        <v>37.379849999999998</v>
      </c>
      <c r="T1076" s="4">
        <v>121.74673</v>
      </c>
      <c r="U1076">
        <v>1921</v>
      </c>
      <c r="V1076" s="6">
        <f t="shared" si="88"/>
        <v>585.52080000000001</v>
      </c>
      <c r="W1076" t="s">
        <v>898</v>
      </c>
      <c r="X1076" t="s">
        <v>2161</v>
      </c>
      <c r="Y1076" s="1" t="s">
        <v>1098</v>
      </c>
      <c r="Z1076" t="s">
        <v>3077</v>
      </c>
      <c r="AA1076" t="s">
        <v>3084</v>
      </c>
      <c r="AL1076">
        <f t="shared" si="82"/>
        <v>0</v>
      </c>
      <c r="AM1076">
        <f t="shared" si="83"/>
        <v>0</v>
      </c>
      <c r="AN1076">
        <f t="shared" si="84"/>
        <v>0</v>
      </c>
    </row>
    <row r="1077" spans="1:40" x14ac:dyDescent="0.2">
      <c r="A1077">
        <v>157</v>
      </c>
      <c r="B1077" t="s">
        <v>2904</v>
      </c>
      <c r="C1077">
        <v>0</v>
      </c>
      <c r="D1077">
        <v>0</v>
      </c>
      <c r="E1077">
        <v>0</v>
      </c>
      <c r="I1077" s="2">
        <v>1</v>
      </c>
      <c r="J1077" s="2" t="s">
        <v>1155</v>
      </c>
      <c r="K1077">
        <v>2020</v>
      </c>
      <c r="L1077" s="2" t="s">
        <v>33</v>
      </c>
      <c r="M1077" t="s">
        <v>897</v>
      </c>
      <c r="N1077" s="31">
        <v>26.5</v>
      </c>
      <c r="O1077">
        <v>3</v>
      </c>
      <c r="P1077" s="31" t="s">
        <v>30</v>
      </c>
      <c r="R1077" t="s">
        <v>89</v>
      </c>
      <c r="S1077" s="4">
        <v>37.379849999999998</v>
      </c>
      <c r="T1077" s="4">
        <v>121.74673</v>
      </c>
      <c r="U1077">
        <v>1921</v>
      </c>
      <c r="V1077" s="6">
        <f t="shared" si="88"/>
        <v>585.52080000000001</v>
      </c>
      <c r="W1077" t="s">
        <v>898</v>
      </c>
      <c r="X1077" t="s">
        <v>2161</v>
      </c>
      <c r="Y1077" s="1" t="s">
        <v>561</v>
      </c>
      <c r="AA1077" t="s">
        <v>3085</v>
      </c>
      <c r="AL1077">
        <f t="shared" si="82"/>
        <v>0</v>
      </c>
      <c r="AM1077">
        <f t="shared" si="83"/>
        <v>0</v>
      </c>
      <c r="AN1077">
        <f t="shared" si="84"/>
        <v>0</v>
      </c>
    </row>
    <row r="1078" spans="1:40" x14ac:dyDescent="0.2">
      <c r="A1078">
        <v>157</v>
      </c>
      <c r="B1078" t="s">
        <v>2905</v>
      </c>
      <c r="C1078">
        <v>0</v>
      </c>
      <c r="D1078">
        <v>0</v>
      </c>
      <c r="E1078">
        <v>0</v>
      </c>
      <c r="I1078" s="2">
        <v>1</v>
      </c>
      <c r="J1078" s="2" t="s">
        <v>1155</v>
      </c>
      <c r="K1078">
        <v>2020</v>
      </c>
      <c r="L1078" s="2" t="s">
        <v>32</v>
      </c>
      <c r="M1078" t="s">
        <v>897</v>
      </c>
      <c r="N1078" s="31">
        <v>19</v>
      </c>
      <c r="O1078">
        <v>1</v>
      </c>
      <c r="P1078" s="31" t="s">
        <v>30</v>
      </c>
      <c r="R1078" s="53" t="s">
        <v>39</v>
      </c>
      <c r="S1078" s="4">
        <v>37.379849999999998</v>
      </c>
      <c r="T1078" s="4">
        <v>121.74673</v>
      </c>
      <c r="U1078">
        <v>1921</v>
      </c>
      <c r="V1078" s="6">
        <f t="shared" si="88"/>
        <v>585.52080000000001</v>
      </c>
      <c r="W1078" t="s">
        <v>898</v>
      </c>
      <c r="X1078" t="s">
        <v>2161</v>
      </c>
      <c r="Y1078" s="1" t="s">
        <v>454</v>
      </c>
      <c r="AA1078" t="s">
        <v>3086</v>
      </c>
      <c r="AL1078">
        <f t="shared" si="82"/>
        <v>0</v>
      </c>
      <c r="AM1078">
        <f t="shared" si="83"/>
        <v>0</v>
      </c>
      <c r="AN1078">
        <f t="shared" si="84"/>
        <v>0</v>
      </c>
    </row>
    <row r="1079" spans="1:40" x14ac:dyDescent="0.2">
      <c r="A1079">
        <v>157</v>
      </c>
      <c r="B1079" t="s">
        <v>2906</v>
      </c>
      <c r="C1079" s="3"/>
      <c r="D1079" s="3" t="s">
        <v>1895</v>
      </c>
      <c r="E1079" s="3" t="s">
        <v>1895</v>
      </c>
      <c r="I1079" s="2">
        <v>1</v>
      </c>
      <c r="J1079" s="2" t="s">
        <v>1155</v>
      </c>
      <c r="K1079">
        <v>2020</v>
      </c>
      <c r="L1079" s="2" t="s">
        <v>32</v>
      </c>
      <c r="M1079" t="s">
        <v>897</v>
      </c>
      <c r="N1079" s="31">
        <v>20</v>
      </c>
      <c r="O1079">
        <v>1</v>
      </c>
      <c r="P1079" s="31" t="s">
        <v>30</v>
      </c>
      <c r="R1079" s="53" t="s">
        <v>39</v>
      </c>
      <c r="S1079" s="4">
        <v>37.379849999999998</v>
      </c>
      <c r="T1079" s="4">
        <v>121.74673</v>
      </c>
      <c r="U1079">
        <v>1921</v>
      </c>
      <c r="V1079" s="6">
        <f t="shared" si="88"/>
        <v>585.52080000000001</v>
      </c>
      <c r="W1079" t="s">
        <v>898</v>
      </c>
      <c r="X1079" t="s">
        <v>2161</v>
      </c>
      <c r="Y1079" s="1" t="s">
        <v>454</v>
      </c>
      <c r="AA1079" t="s">
        <v>3087</v>
      </c>
      <c r="AL1079">
        <f t="shared" si="82"/>
        <v>0</v>
      </c>
      <c r="AM1079" t="e">
        <f t="shared" si="83"/>
        <v>#VALUE!</v>
      </c>
      <c r="AN1079" t="e">
        <f t="shared" si="84"/>
        <v>#VALUE!</v>
      </c>
    </row>
    <row r="1080" spans="1:40" x14ac:dyDescent="0.2">
      <c r="A1080">
        <v>157</v>
      </c>
      <c r="B1080" t="s">
        <v>2907</v>
      </c>
      <c r="C1080">
        <v>0</v>
      </c>
      <c r="D1080">
        <v>0</v>
      </c>
      <c r="E1080">
        <v>0</v>
      </c>
      <c r="I1080" s="2">
        <v>1</v>
      </c>
      <c r="J1080" s="2" t="s">
        <v>1155</v>
      </c>
      <c r="K1080">
        <v>2020</v>
      </c>
      <c r="L1080" s="2" t="s">
        <v>691</v>
      </c>
      <c r="M1080" t="s">
        <v>897</v>
      </c>
      <c r="N1080" s="31">
        <v>54</v>
      </c>
      <c r="O1080">
        <f>32.5-13.5</f>
        <v>19</v>
      </c>
      <c r="P1080" s="31" t="s">
        <v>30</v>
      </c>
      <c r="R1080" s="2" t="s">
        <v>89</v>
      </c>
      <c r="S1080" s="4">
        <v>37.379849999999998</v>
      </c>
      <c r="T1080" s="4">
        <v>121.74673</v>
      </c>
      <c r="U1080">
        <v>1921</v>
      </c>
      <c r="V1080" s="6">
        <f t="shared" si="88"/>
        <v>585.52080000000001</v>
      </c>
      <c r="W1080" t="s">
        <v>898</v>
      </c>
      <c r="X1080" t="s">
        <v>2161</v>
      </c>
      <c r="Y1080" s="1" t="s">
        <v>254</v>
      </c>
      <c r="AA1080" t="s">
        <v>3088</v>
      </c>
      <c r="AL1080">
        <f t="shared" si="82"/>
        <v>0</v>
      </c>
      <c r="AM1080">
        <f t="shared" si="83"/>
        <v>0</v>
      </c>
      <c r="AN1080">
        <f t="shared" si="84"/>
        <v>0</v>
      </c>
    </row>
    <row r="1081" spans="1:40" x14ac:dyDescent="0.2">
      <c r="A1081">
        <v>157</v>
      </c>
      <c r="B1081" t="s">
        <v>2908</v>
      </c>
      <c r="C1081">
        <v>0</v>
      </c>
      <c r="D1081">
        <v>0</v>
      </c>
      <c r="E1081">
        <v>0</v>
      </c>
      <c r="I1081" s="2">
        <v>1</v>
      </c>
      <c r="J1081" s="2" t="s">
        <v>1155</v>
      </c>
      <c r="K1081">
        <v>2020</v>
      </c>
      <c r="L1081" s="2" t="s">
        <v>691</v>
      </c>
      <c r="M1081" t="s">
        <v>897</v>
      </c>
      <c r="N1081" s="31">
        <v>52.5</v>
      </c>
      <c r="O1081">
        <f>69-46.5</f>
        <v>22.5</v>
      </c>
      <c r="P1081" s="31" t="s">
        <v>30</v>
      </c>
      <c r="Q1081" t="s">
        <v>42</v>
      </c>
      <c r="R1081" s="51" t="s">
        <v>89</v>
      </c>
      <c r="S1081" s="4">
        <v>37.379849999999998</v>
      </c>
      <c r="T1081" s="4">
        <v>121.74673</v>
      </c>
      <c r="U1081">
        <v>1921</v>
      </c>
      <c r="V1081" s="6">
        <f t="shared" si="88"/>
        <v>585.52080000000001</v>
      </c>
      <c r="W1081" t="s">
        <v>898</v>
      </c>
      <c r="X1081" t="s">
        <v>2161</v>
      </c>
      <c r="Y1081" s="1" t="s">
        <v>3076</v>
      </c>
      <c r="AA1081" t="s">
        <v>3089</v>
      </c>
      <c r="AL1081">
        <f t="shared" si="82"/>
        <v>0</v>
      </c>
      <c r="AM1081">
        <f t="shared" si="83"/>
        <v>0</v>
      </c>
      <c r="AN1081">
        <f t="shared" si="84"/>
        <v>0</v>
      </c>
    </row>
    <row r="1082" spans="1:40" x14ac:dyDescent="0.2">
      <c r="A1082">
        <v>157</v>
      </c>
      <c r="B1082" t="s">
        <v>2909</v>
      </c>
      <c r="C1082">
        <v>0</v>
      </c>
      <c r="D1082">
        <v>0</v>
      </c>
      <c r="E1082">
        <v>0</v>
      </c>
      <c r="I1082" s="2">
        <v>1</v>
      </c>
      <c r="J1082" s="2" t="s">
        <v>1155</v>
      </c>
      <c r="K1082">
        <v>2020</v>
      </c>
      <c r="L1082" s="2" t="s">
        <v>691</v>
      </c>
      <c r="M1082" t="s">
        <v>897</v>
      </c>
      <c r="N1082" s="31">
        <v>51</v>
      </c>
      <c r="O1082">
        <f>36-11.5</f>
        <v>24.5</v>
      </c>
      <c r="P1082" s="31" t="s">
        <v>30</v>
      </c>
      <c r="R1082" s="2" t="s">
        <v>89</v>
      </c>
      <c r="S1082" s="4">
        <v>37.379849999999998</v>
      </c>
      <c r="T1082" s="4">
        <v>121.74673</v>
      </c>
      <c r="U1082">
        <v>1921</v>
      </c>
      <c r="V1082" s="6">
        <f t="shared" si="88"/>
        <v>585.52080000000001</v>
      </c>
      <c r="W1082" t="s">
        <v>898</v>
      </c>
      <c r="X1082" t="s">
        <v>2161</v>
      </c>
      <c r="Y1082" s="1" t="s">
        <v>267</v>
      </c>
      <c r="Z1082" t="s">
        <v>3078</v>
      </c>
      <c r="AA1082" t="s">
        <v>3090</v>
      </c>
      <c r="AL1082">
        <f t="shared" si="82"/>
        <v>0</v>
      </c>
      <c r="AM1082">
        <f t="shared" si="83"/>
        <v>0</v>
      </c>
      <c r="AN1082">
        <f t="shared" si="84"/>
        <v>0</v>
      </c>
    </row>
    <row r="1083" spans="1:40" x14ac:dyDescent="0.2">
      <c r="A1083">
        <v>157</v>
      </c>
      <c r="B1083" t="s">
        <v>2910</v>
      </c>
      <c r="C1083">
        <v>0</v>
      </c>
      <c r="D1083">
        <v>0</v>
      </c>
      <c r="E1083">
        <v>0</v>
      </c>
      <c r="I1083" s="2">
        <v>1</v>
      </c>
      <c r="J1083" s="2" t="s">
        <v>1155</v>
      </c>
      <c r="K1083">
        <v>2020</v>
      </c>
      <c r="L1083" s="2" t="s">
        <v>691</v>
      </c>
      <c r="M1083" t="s">
        <v>897</v>
      </c>
      <c r="N1083" s="31">
        <v>54.5</v>
      </c>
      <c r="O1083">
        <f>56-33.5</f>
        <v>22.5</v>
      </c>
      <c r="P1083" s="31" t="s">
        <v>30</v>
      </c>
      <c r="Q1083" t="s">
        <v>42</v>
      </c>
      <c r="R1083" s="51" t="s">
        <v>89</v>
      </c>
      <c r="S1083" s="4">
        <v>37.379849999999998</v>
      </c>
      <c r="T1083" s="4">
        <v>121.74673</v>
      </c>
      <c r="U1083">
        <v>1921</v>
      </c>
      <c r="V1083" s="6">
        <f t="shared" si="88"/>
        <v>585.52080000000001</v>
      </c>
      <c r="W1083" t="s">
        <v>898</v>
      </c>
      <c r="X1083" t="s">
        <v>2161</v>
      </c>
      <c r="Y1083" s="1" t="s">
        <v>357</v>
      </c>
      <c r="AA1083" t="s">
        <v>3091</v>
      </c>
      <c r="AL1083">
        <f t="shared" si="82"/>
        <v>0</v>
      </c>
      <c r="AM1083">
        <f t="shared" si="83"/>
        <v>0</v>
      </c>
      <c r="AN1083">
        <f t="shared" si="84"/>
        <v>0</v>
      </c>
    </row>
    <row r="1084" spans="1:40" x14ac:dyDescent="0.2">
      <c r="A1084">
        <v>157</v>
      </c>
      <c r="B1084" t="s">
        <v>2911</v>
      </c>
      <c r="C1084">
        <v>0</v>
      </c>
      <c r="D1084">
        <v>0</v>
      </c>
      <c r="E1084">
        <v>0</v>
      </c>
      <c r="I1084" s="2">
        <v>1</v>
      </c>
      <c r="J1084" s="2" t="s">
        <v>1155</v>
      </c>
      <c r="K1084">
        <v>2020</v>
      </c>
      <c r="L1084" s="2" t="s">
        <v>691</v>
      </c>
      <c r="M1084" t="s">
        <v>897</v>
      </c>
      <c r="N1084" s="31">
        <v>89.5</v>
      </c>
      <c r="O1084">
        <f>141-38.5</f>
        <v>102.5</v>
      </c>
      <c r="P1084" s="31" t="s">
        <v>30</v>
      </c>
      <c r="Q1084" t="s">
        <v>38</v>
      </c>
      <c r="R1084" t="s">
        <v>39</v>
      </c>
      <c r="S1084" s="4">
        <v>37.379849999999998</v>
      </c>
      <c r="T1084" s="4">
        <v>121.74673</v>
      </c>
      <c r="U1084">
        <v>1921</v>
      </c>
      <c r="V1084" s="6">
        <f t="shared" si="88"/>
        <v>585.52080000000001</v>
      </c>
      <c r="W1084" t="s">
        <v>898</v>
      </c>
      <c r="X1084" t="s">
        <v>2161</v>
      </c>
      <c r="Y1084" s="1" t="s">
        <v>1105</v>
      </c>
      <c r="AA1084" t="s">
        <v>1717</v>
      </c>
      <c r="AL1084">
        <f t="shared" si="82"/>
        <v>0</v>
      </c>
      <c r="AM1084">
        <f t="shared" si="83"/>
        <v>0</v>
      </c>
      <c r="AN1084">
        <f t="shared" si="84"/>
        <v>0</v>
      </c>
    </row>
    <row r="1085" spans="1:40" x14ac:dyDescent="0.2">
      <c r="A1085">
        <v>157</v>
      </c>
      <c r="B1085" t="s">
        <v>2912</v>
      </c>
      <c r="C1085">
        <v>1.0105233192443848</v>
      </c>
      <c r="D1085">
        <v>1.030400276184082</v>
      </c>
      <c r="E1085">
        <v>0.70953983068466187</v>
      </c>
      <c r="I1085" s="2">
        <v>1</v>
      </c>
      <c r="J1085" s="2" t="s">
        <v>1155</v>
      </c>
      <c r="K1085">
        <v>2020</v>
      </c>
      <c r="L1085" s="2" t="s">
        <v>691</v>
      </c>
      <c r="M1085" t="s">
        <v>897</v>
      </c>
      <c r="N1085" s="31">
        <v>63</v>
      </c>
      <c r="O1085">
        <f>58-27</f>
        <v>31</v>
      </c>
      <c r="P1085" s="31" t="s">
        <v>30</v>
      </c>
      <c r="Q1085" t="s">
        <v>42</v>
      </c>
      <c r="R1085" s="51" t="s">
        <v>89</v>
      </c>
      <c r="S1085" s="4">
        <v>37.379849999999998</v>
      </c>
      <c r="T1085" s="4">
        <v>121.74673</v>
      </c>
      <c r="U1085">
        <v>1921</v>
      </c>
      <c r="V1085" s="6">
        <f t="shared" si="88"/>
        <v>585.52080000000001</v>
      </c>
      <c r="W1085" t="s">
        <v>898</v>
      </c>
      <c r="X1085" t="s">
        <v>2161</v>
      </c>
      <c r="Y1085" s="1" t="s">
        <v>783</v>
      </c>
      <c r="AA1085" t="s">
        <v>3092</v>
      </c>
      <c r="AL1085">
        <f t="shared" si="82"/>
        <v>80.841865539550781</v>
      </c>
      <c r="AM1085">
        <f t="shared" si="83"/>
        <v>82.432022094726562</v>
      </c>
      <c r="AN1085">
        <f t="shared" si="84"/>
        <v>56.763186454772949</v>
      </c>
    </row>
    <row r="1086" spans="1:40" x14ac:dyDescent="0.2">
      <c r="A1086">
        <v>157</v>
      </c>
      <c r="B1086" t="s">
        <v>2913</v>
      </c>
      <c r="C1086">
        <v>0.64715635776519775</v>
      </c>
      <c r="D1086">
        <v>0.65194398164749146</v>
      </c>
      <c r="E1086">
        <v>0.4454379677772522</v>
      </c>
      <c r="I1086" s="2">
        <v>1</v>
      </c>
      <c r="J1086" s="2" t="s">
        <v>1155</v>
      </c>
      <c r="K1086">
        <v>2020</v>
      </c>
      <c r="L1086" s="2" t="s">
        <v>691</v>
      </c>
      <c r="M1086" t="s">
        <v>897</v>
      </c>
      <c r="N1086" s="31">
        <v>61.5</v>
      </c>
      <c r="O1086">
        <f>43-13</f>
        <v>30</v>
      </c>
      <c r="P1086" s="31" t="s">
        <v>30</v>
      </c>
      <c r="R1086" t="s">
        <v>89</v>
      </c>
      <c r="S1086" s="4">
        <v>37.379849999999998</v>
      </c>
      <c r="T1086" s="4">
        <v>121.74673</v>
      </c>
      <c r="U1086">
        <v>1921</v>
      </c>
      <c r="V1086" s="6">
        <f t="shared" si="88"/>
        <v>585.52080000000001</v>
      </c>
      <c r="W1086" t="s">
        <v>898</v>
      </c>
      <c r="X1086" t="s">
        <v>2161</v>
      </c>
      <c r="Y1086" s="1" t="s">
        <v>360</v>
      </c>
      <c r="AA1086" t="s">
        <v>3093</v>
      </c>
      <c r="AL1086">
        <f t="shared" si="82"/>
        <v>51.77250862121582</v>
      </c>
      <c r="AM1086">
        <f t="shared" si="83"/>
        <v>52.155518531799316</v>
      </c>
      <c r="AN1086">
        <f t="shared" si="84"/>
        <v>35.635037422180176</v>
      </c>
    </row>
    <row r="1087" spans="1:40" x14ac:dyDescent="0.2">
      <c r="A1087">
        <v>157</v>
      </c>
      <c r="B1087" t="s">
        <v>2914</v>
      </c>
      <c r="C1087">
        <v>0</v>
      </c>
      <c r="D1087">
        <v>0</v>
      </c>
      <c r="E1087">
        <v>0</v>
      </c>
      <c r="I1087" s="2">
        <v>1</v>
      </c>
      <c r="J1087" s="2" t="s">
        <v>1155</v>
      </c>
      <c r="K1087">
        <v>2020</v>
      </c>
      <c r="L1087" s="2" t="s">
        <v>691</v>
      </c>
      <c r="M1087" t="s">
        <v>897</v>
      </c>
      <c r="N1087" s="31">
        <v>61</v>
      </c>
      <c r="O1087">
        <f>70-35</f>
        <v>35</v>
      </c>
      <c r="P1087" s="31" t="s">
        <v>30</v>
      </c>
      <c r="R1087" t="s">
        <v>89</v>
      </c>
      <c r="S1087" s="4">
        <v>37.379849999999998</v>
      </c>
      <c r="T1087" s="4">
        <v>121.74673</v>
      </c>
      <c r="U1087">
        <v>1921</v>
      </c>
      <c r="V1087" s="6">
        <f t="shared" si="88"/>
        <v>585.52080000000001</v>
      </c>
      <c r="W1087" t="s">
        <v>898</v>
      </c>
      <c r="X1087" t="s">
        <v>2161</v>
      </c>
      <c r="Y1087" s="1" t="s">
        <v>1115</v>
      </c>
      <c r="AA1087" t="s">
        <v>3094</v>
      </c>
      <c r="AL1087">
        <f t="shared" si="82"/>
        <v>0</v>
      </c>
      <c r="AM1087">
        <f t="shared" si="83"/>
        <v>0</v>
      </c>
      <c r="AN1087">
        <f t="shared" si="84"/>
        <v>0</v>
      </c>
    </row>
    <row r="1088" spans="1:40" s="11" customFormat="1" x14ac:dyDescent="0.2">
      <c r="A1088" s="11">
        <v>157</v>
      </c>
      <c r="B1088" s="11" t="s">
        <v>2915</v>
      </c>
      <c r="I1088" s="11">
        <v>1</v>
      </c>
      <c r="J1088" s="11" t="s">
        <v>1155</v>
      </c>
      <c r="K1088" s="11">
        <v>2020</v>
      </c>
      <c r="L1088" s="11" t="s">
        <v>691</v>
      </c>
      <c r="M1088" s="11" t="s">
        <v>897</v>
      </c>
      <c r="N1088" s="32">
        <v>54.5</v>
      </c>
      <c r="O1088" s="11">
        <f>68-44</f>
        <v>24</v>
      </c>
      <c r="P1088" s="32"/>
      <c r="R1088" s="11" t="s">
        <v>89</v>
      </c>
      <c r="S1088" s="4">
        <v>37.379849999999998</v>
      </c>
      <c r="T1088" s="4">
        <v>121.74673</v>
      </c>
      <c r="U1088">
        <v>1921</v>
      </c>
      <c r="V1088" s="6">
        <f t="shared" si="88"/>
        <v>585.52080000000001</v>
      </c>
      <c r="W1088" s="11" t="s">
        <v>898</v>
      </c>
      <c r="X1088" s="11" t="s">
        <v>2161</v>
      </c>
      <c r="Y1088" s="35" t="s">
        <v>304</v>
      </c>
      <c r="Z1088" s="11" t="s">
        <v>3079</v>
      </c>
      <c r="AA1088" s="11" t="s">
        <v>3095</v>
      </c>
      <c r="AJ1088" s="42"/>
      <c r="AL1088" s="11">
        <f t="shared" si="82"/>
        <v>0</v>
      </c>
      <c r="AM1088" s="11">
        <f t="shared" si="83"/>
        <v>0</v>
      </c>
      <c r="AN1088" s="11">
        <f t="shared" si="84"/>
        <v>0</v>
      </c>
    </row>
    <row r="1089" spans="1:40" x14ac:dyDescent="0.2">
      <c r="A1089">
        <v>157</v>
      </c>
      <c r="B1089" t="s">
        <v>2916</v>
      </c>
      <c r="C1089">
        <v>0</v>
      </c>
      <c r="D1089">
        <v>0</v>
      </c>
      <c r="E1089">
        <v>0</v>
      </c>
      <c r="I1089" s="2">
        <v>1</v>
      </c>
      <c r="J1089" s="2" t="s">
        <v>1155</v>
      </c>
      <c r="K1089">
        <v>2020</v>
      </c>
      <c r="L1089" s="2" t="s">
        <v>33</v>
      </c>
      <c r="M1089" t="s">
        <v>897</v>
      </c>
      <c r="N1089" s="31">
        <v>46.5</v>
      </c>
      <c r="O1089">
        <f>22.5-16.5</f>
        <v>6</v>
      </c>
      <c r="P1089" s="31" t="s">
        <v>30</v>
      </c>
      <c r="R1089" t="s">
        <v>89</v>
      </c>
      <c r="S1089" s="4">
        <v>37.379849999999998</v>
      </c>
      <c r="T1089" s="4">
        <v>121.74673</v>
      </c>
      <c r="U1089">
        <v>1921</v>
      </c>
      <c r="V1089" s="6">
        <f t="shared" si="88"/>
        <v>585.52080000000001</v>
      </c>
      <c r="W1089" t="s">
        <v>898</v>
      </c>
      <c r="X1089" t="s">
        <v>2161</v>
      </c>
      <c r="Y1089" s="1" t="s">
        <v>753</v>
      </c>
      <c r="Z1089" t="s">
        <v>3080</v>
      </c>
      <c r="AA1089" t="s">
        <v>3096</v>
      </c>
      <c r="AL1089">
        <f t="shared" si="82"/>
        <v>0</v>
      </c>
      <c r="AM1089">
        <f t="shared" si="83"/>
        <v>0</v>
      </c>
      <c r="AN1089">
        <f t="shared" si="84"/>
        <v>0</v>
      </c>
    </row>
    <row r="1090" spans="1:40" x14ac:dyDescent="0.2">
      <c r="A1090">
        <v>157</v>
      </c>
      <c r="B1090" t="s">
        <v>2917</v>
      </c>
      <c r="C1090">
        <v>0</v>
      </c>
      <c r="D1090">
        <v>0</v>
      </c>
      <c r="E1090">
        <v>0</v>
      </c>
      <c r="I1090" s="2">
        <v>1</v>
      </c>
      <c r="J1090" s="2" t="s">
        <v>1155</v>
      </c>
      <c r="K1090">
        <v>2020</v>
      </c>
      <c r="L1090" s="2" t="s">
        <v>691</v>
      </c>
      <c r="M1090" t="s">
        <v>897</v>
      </c>
      <c r="N1090" s="31">
        <v>56.5</v>
      </c>
      <c r="O1090">
        <f>52.5-30</f>
        <v>22.5</v>
      </c>
      <c r="P1090" s="31" t="s">
        <v>30</v>
      </c>
      <c r="R1090" t="s">
        <v>89</v>
      </c>
      <c r="S1090" s="4">
        <v>37.379849999999998</v>
      </c>
      <c r="T1090" s="4">
        <v>121.74673</v>
      </c>
      <c r="U1090">
        <v>1921</v>
      </c>
      <c r="V1090" s="6">
        <f t="shared" si="88"/>
        <v>585.52080000000001</v>
      </c>
      <c r="W1090" t="s">
        <v>898</v>
      </c>
      <c r="X1090" t="s">
        <v>2161</v>
      </c>
      <c r="Y1090" s="1" t="s">
        <v>61</v>
      </c>
      <c r="AA1090" t="s">
        <v>3097</v>
      </c>
      <c r="AL1090">
        <f t="shared" si="82"/>
        <v>0</v>
      </c>
      <c r="AM1090">
        <f t="shared" si="83"/>
        <v>0</v>
      </c>
      <c r="AN1090">
        <f t="shared" si="84"/>
        <v>0</v>
      </c>
    </row>
    <row r="1091" spans="1:40" x14ac:dyDescent="0.2">
      <c r="A1091">
        <v>157</v>
      </c>
      <c r="B1091" t="s">
        <v>2918</v>
      </c>
      <c r="C1091">
        <v>0</v>
      </c>
      <c r="D1091">
        <v>0</v>
      </c>
      <c r="E1091">
        <v>0</v>
      </c>
      <c r="I1091" s="2">
        <v>1</v>
      </c>
      <c r="J1091" s="2" t="s">
        <v>1155</v>
      </c>
      <c r="K1091">
        <v>2020</v>
      </c>
      <c r="L1091" s="2" t="s">
        <v>33</v>
      </c>
      <c r="M1091" t="s">
        <v>897</v>
      </c>
      <c r="N1091" s="31">
        <v>30</v>
      </c>
      <c r="O1091">
        <v>3</v>
      </c>
      <c r="P1091" s="31" t="s">
        <v>30</v>
      </c>
      <c r="R1091" t="s">
        <v>89</v>
      </c>
      <c r="S1091" s="4">
        <v>37.379849999999998</v>
      </c>
      <c r="T1091" s="4">
        <v>121.74673</v>
      </c>
      <c r="U1091">
        <v>1921</v>
      </c>
      <c r="V1091" s="6">
        <f t="shared" si="88"/>
        <v>585.52080000000001</v>
      </c>
      <c r="W1091" t="s">
        <v>898</v>
      </c>
      <c r="X1091" t="s">
        <v>2161</v>
      </c>
      <c r="Y1091" s="1" t="s">
        <v>754</v>
      </c>
      <c r="AA1091" t="s">
        <v>3098</v>
      </c>
      <c r="AL1091">
        <f t="shared" si="82"/>
        <v>0</v>
      </c>
      <c r="AM1091">
        <f t="shared" si="83"/>
        <v>0</v>
      </c>
      <c r="AN1091">
        <f t="shared" si="84"/>
        <v>0</v>
      </c>
    </row>
    <row r="1092" spans="1:40" x14ac:dyDescent="0.2">
      <c r="A1092">
        <v>157</v>
      </c>
      <c r="B1092" t="s">
        <v>2919</v>
      </c>
      <c r="C1092">
        <v>0</v>
      </c>
      <c r="D1092">
        <v>0</v>
      </c>
      <c r="E1092">
        <v>0</v>
      </c>
      <c r="I1092" s="2">
        <v>1</v>
      </c>
      <c r="J1092" s="2" t="s">
        <v>1155</v>
      </c>
      <c r="K1092">
        <v>2020</v>
      </c>
      <c r="L1092" s="2" t="s">
        <v>33</v>
      </c>
      <c r="M1092" t="s">
        <v>897</v>
      </c>
      <c r="N1092" s="31">
        <v>28.5</v>
      </c>
      <c r="O1092">
        <v>3</v>
      </c>
      <c r="P1092" s="31" t="s">
        <v>30</v>
      </c>
      <c r="R1092" t="s">
        <v>89</v>
      </c>
      <c r="S1092" s="4">
        <v>37.379849999999998</v>
      </c>
      <c r="T1092" s="4">
        <v>121.74673</v>
      </c>
      <c r="U1092">
        <v>1921</v>
      </c>
      <c r="V1092" s="6">
        <f t="shared" si="88"/>
        <v>585.52080000000001</v>
      </c>
      <c r="W1092" t="s">
        <v>898</v>
      </c>
      <c r="X1092" t="s">
        <v>2161</v>
      </c>
      <c r="Y1092" s="1" t="s">
        <v>65</v>
      </c>
      <c r="AA1092" t="s">
        <v>3099</v>
      </c>
      <c r="AL1092">
        <f t="shared" si="82"/>
        <v>0</v>
      </c>
      <c r="AM1092">
        <f t="shared" si="83"/>
        <v>0</v>
      </c>
      <c r="AN1092">
        <f t="shared" si="84"/>
        <v>0</v>
      </c>
    </row>
    <row r="1093" spans="1:40" x14ac:dyDescent="0.2">
      <c r="A1093">
        <v>157</v>
      </c>
      <c r="B1093" t="s">
        <v>2920</v>
      </c>
      <c r="C1093">
        <v>0</v>
      </c>
      <c r="D1093">
        <v>0</v>
      </c>
      <c r="E1093">
        <v>0</v>
      </c>
      <c r="I1093" s="2">
        <v>1</v>
      </c>
      <c r="J1093" s="2" t="s">
        <v>1155</v>
      </c>
      <c r="K1093">
        <v>2020</v>
      </c>
      <c r="L1093" s="2" t="s">
        <v>33</v>
      </c>
      <c r="M1093" t="s">
        <v>897</v>
      </c>
      <c r="N1093" s="31">
        <v>33</v>
      </c>
      <c r="O1093">
        <f>10-5.5</f>
        <v>4.5</v>
      </c>
      <c r="P1093" s="31" t="s">
        <v>30</v>
      </c>
      <c r="R1093" t="s">
        <v>89</v>
      </c>
      <c r="S1093" s="4">
        <v>37.379849999999998</v>
      </c>
      <c r="T1093" s="4">
        <v>121.74673</v>
      </c>
      <c r="U1093">
        <v>1921</v>
      </c>
      <c r="V1093" s="6">
        <f t="shared" si="88"/>
        <v>585.52080000000001</v>
      </c>
      <c r="W1093" t="s">
        <v>898</v>
      </c>
      <c r="X1093" t="s">
        <v>2161</v>
      </c>
      <c r="Y1093" s="1" t="s">
        <v>65</v>
      </c>
      <c r="Z1093" t="s">
        <v>3081</v>
      </c>
      <c r="AA1093" t="s">
        <v>3100</v>
      </c>
      <c r="AL1093">
        <f t="shared" si="82"/>
        <v>0</v>
      </c>
      <c r="AM1093">
        <f t="shared" si="83"/>
        <v>0</v>
      </c>
      <c r="AN1093">
        <f t="shared" si="84"/>
        <v>0</v>
      </c>
    </row>
    <row r="1094" spans="1:40" x14ac:dyDescent="0.2">
      <c r="A1094">
        <v>157</v>
      </c>
      <c r="B1094" t="s">
        <v>2921</v>
      </c>
      <c r="C1094">
        <v>0</v>
      </c>
      <c r="D1094">
        <v>0</v>
      </c>
      <c r="E1094">
        <v>0</v>
      </c>
      <c r="I1094" s="2">
        <v>1</v>
      </c>
      <c r="J1094" s="2" t="s">
        <v>1155</v>
      </c>
      <c r="K1094">
        <v>2020</v>
      </c>
      <c r="L1094" s="2" t="s">
        <v>32</v>
      </c>
      <c r="M1094" t="s">
        <v>897</v>
      </c>
      <c r="N1094" s="31">
        <v>23.5</v>
      </c>
      <c r="O1094">
        <v>1</v>
      </c>
      <c r="P1094" s="31" t="s">
        <v>30</v>
      </c>
      <c r="R1094" s="53" t="s">
        <v>39</v>
      </c>
      <c r="S1094" s="4">
        <v>37.379849999999998</v>
      </c>
      <c r="T1094" s="4">
        <v>121.74673</v>
      </c>
      <c r="U1094">
        <v>1921</v>
      </c>
      <c r="V1094" s="6">
        <f t="shared" si="88"/>
        <v>585.52080000000001</v>
      </c>
      <c r="W1094" t="s">
        <v>898</v>
      </c>
      <c r="X1094" t="s">
        <v>2161</v>
      </c>
      <c r="Y1094" s="1" t="s">
        <v>881</v>
      </c>
      <c r="AA1094" t="s">
        <v>3101</v>
      </c>
      <c r="AL1094">
        <f t="shared" si="82"/>
        <v>0</v>
      </c>
      <c r="AM1094">
        <f t="shared" si="83"/>
        <v>0</v>
      </c>
      <c r="AN1094">
        <f t="shared" si="84"/>
        <v>0</v>
      </c>
    </row>
    <row r="1095" spans="1:40" x14ac:dyDescent="0.2">
      <c r="A1095">
        <v>158</v>
      </c>
      <c r="B1095" t="s">
        <v>2922</v>
      </c>
      <c r="C1095">
        <v>0</v>
      </c>
      <c r="D1095">
        <v>0</v>
      </c>
      <c r="E1095">
        <v>0</v>
      </c>
      <c r="I1095" s="2">
        <v>2</v>
      </c>
      <c r="J1095" s="2" t="s">
        <v>1155</v>
      </c>
      <c r="K1095">
        <v>2020</v>
      </c>
      <c r="L1095" s="2" t="s">
        <v>32</v>
      </c>
      <c r="M1095" t="s">
        <v>897</v>
      </c>
      <c r="N1095" s="31">
        <v>20</v>
      </c>
      <c r="O1095">
        <v>1</v>
      </c>
      <c r="P1095" s="31" t="s">
        <v>30</v>
      </c>
      <c r="R1095" s="53" t="s">
        <v>39</v>
      </c>
      <c r="S1095" s="4">
        <v>37.379309999999997</v>
      </c>
      <c r="T1095" s="4">
        <v>121.73188</v>
      </c>
      <c r="U1095">
        <v>1868</v>
      </c>
      <c r="V1095" s="6">
        <f t="shared" si="88"/>
        <v>569.3664</v>
      </c>
      <c r="W1095" t="s">
        <v>898</v>
      </c>
      <c r="X1095" t="s">
        <v>2160</v>
      </c>
      <c r="Y1095" s="1" t="s">
        <v>226</v>
      </c>
      <c r="AA1095" t="s">
        <v>3102</v>
      </c>
      <c r="AL1095">
        <f t="shared" si="82"/>
        <v>0</v>
      </c>
      <c r="AM1095">
        <f t="shared" si="83"/>
        <v>0</v>
      </c>
      <c r="AN1095">
        <f t="shared" si="84"/>
        <v>0</v>
      </c>
    </row>
    <row r="1096" spans="1:40" x14ac:dyDescent="0.2">
      <c r="A1096">
        <v>158</v>
      </c>
      <c r="B1096" t="s">
        <v>2923</v>
      </c>
      <c r="C1096">
        <v>0</v>
      </c>
      <c r="D1096">
        <v>0</v>
      </c>
      <c r="E1096">
        <v>0</v>
      </c>
      <c r="I1096" s="2">
        <v>2</v>
      </c>
      <c r="J1096" s="2" t="s">
        <v>1155</v>
      </c>
      <c r="K1096">
        <v>2020</v>
      </c>
      <c r="L1096" s="2" t="s">
        <v>32</v>
      </c>
      <c r="M1096" t="s">
        <v>897</v>
      </c>
      <c r="N1096" s="31">
        <v>20.5</v>
      </c>
      <c r="O1096">
        <v>0.5</v>
      </c>
      <c r="P1096" s="31" t="s">
        <v>30</v>
      </c>
      <c r="R1096" s="53" t="s">
        <v>39</v>
      </c>
      <c r="S1096" s="4">
        <v>37.379309999999997</v>
      </c>
      <c r="T1096" s="4">
        <v>121.73188</v>
      </c>
      <c r="U1096">
        <v>1868</v>
      </c>
      <c r="V1096" s="6">
        <f t="shared" si="88"/>
        <v>569.3664</v>
      </c>
      <c r="W1096" t="s">
        <v>898</v>
      </c>
      <c r="X1096" t="s">
        <v>2160</v>
      </c>
      <c r="Y1096" s="1" t="s">
        <v>90</v>
      </c>
      <c r="AA1096" t="s">
        <v>3103</v>
      </c>
      <c r="AL1096">
        <f t="shared" si="82"/>
        <v>0</v>
      </c>
      <c r="AM1096">
        <f t="shared" si="83"/>
        <v>0</v>
      </c>
      <c r="AN1096">
        <f t="shared" si="84"/>
        <v>0</v>
      </c>
    </row>
    <row r="1097" spans="1:40" x14ac:dyDescent="0.2">
      <c r="A1097">
        <v>158</v>
      </c>
      <c r="B1097" t="s">
        <v>2924</v>
      </c>
      <c r="C1097">
        <v>16.802970886230469</v>
      </c>
      <c r="D1097">
        <v>17.829784393310547</v>
      </c>
      <c r="E1097">
        <v>12.923976898193359</v>
      </c>
      <c r="I1097" s="2">
        <v>2</v>
      </c>
      <c r="J1097" s="2" t="s">
        <v>1155</v>
      </c>
      <c r="K1097">
        <v>2020</v>
      </c>
      <c r="L1097" s="2" t="s">
        <v>32</v>
      </c>
      <c r="M1097" t="s">
        <v>897</v>
      </c>
      <c r="N1097" s="31">
        <v>19.5</v>
      </c>
      <c r="O1097">
        <v>0.5</v>
      </c>
      <c r="P1097" s="31" t="s">
        <v>30</v>
      </c>
      <c r="R1097" s="53" t="s">
        <v>39</v>
      </c>
      <c r="S1097" s="4">
        <v>37.379309999999997</v>
      </c>
      <c r="T1097" s="4">
        <v>121.73188</v>
      </c>
      <c r="U1097">
        <v>1868</v>
      </c>
      <c r="V1097" s="6">
        <f t="shared" si="88"/>
        <v>569.3664</v>
      </c>
      <c r="W1097" t="s">
        <v>898</v>
      </c>
      <c r="X1097" t="s">
        <v>2160</v>
      </c>
      <c r="Y1097" s="1" t="s">
        <v>447</v>
      </c>
      <c r="AA1097" t="s">
        <v>3104</v>
      </c>
      <c r="AL1097">
        <f t="shared" si="82"/>
        <v>1344.2376708984375</v>
      </c>
      <c r="AM1097">
        <f t="shared" si="83"/>
        <v>1426.3827514648438</v>
      </c>
      <c r="AN1097">
        <f t="shared" si="84"/>
        <v>1033.9181518554688</v>
      </c>
    </row>
    <row r="1098" spans="1:40" x14ac:dyDescent="0.2">
      <c r="A1098">
        <v>158</v>
      </c>
      <c r="B1098" t="s">
        <v>2925</v>
      </c>
      <c r="C1098">
        <v>0</v>
      </c>
      <c r="D1098">
        <v>0</v>
      </c>
      <c r="E1098">
        <v>0</v>
      </c>
      <c r="I1098" s="2">
        <v>2</v>
      </c>
      <c r="J1098" s="2" t="s">
        <v>1155</v>
      </c>
      <c r="K1098">
        <v>2020</v>
      </c>
      <c r="L1098" s="2" t="s">
        <v>32</v>
      </c>
      <c r="M1098" t="s">
        <v>897</v>
      </c>
      <c r="N1098" s="31">
        <v>20</v>
      </c>
      <c r="O1098">
        <v>1</v>
      </c>
      <c r="P1098" s="31" t="s">
        <v>30</v>
      </c>
      <c r="R1098" s="53" t="s">
        <v>39</v>
      </c>
      <c r="S1098" s="4">
        <v>37.379309999999997</v>
      </c>
      <c r="T1098" s="4">
        <v>121.73188</v>
      </c>
      <c r="U1098">
        <v>1868</v>
      </c>
      <c r="V1098" s="6">
        <f t="shared" si="88"/>
        <v>569.3664</v>
      </c>
      <c r="W1098" t="s">
        <v>898</v>
      </c>
      <c r="X1098" t="s">
        <v>2160</v>
      </c>
      <c r="Y1098" s="1" t="s">
        <v>93</v>
      </c>
      <c r="AA1098" t="s">
        <v>1965</v>
      </c>
      <c r="AL1098">
        <f t="shared" si="82"/>
        <v>0</v>
      </c>
      <c r="AM1098">
        <f t="shared" si="83"/>
        <v>0</v>
      </c>
      <c r="AN1098">
        <f t="shared" si="84"/>
        <v>0</v>
      </c>
    </row>
    <row r="1099" spans="1:40" x14ac:dyDescent="0.2">
      <c r="A1099">
        <v>158</v>
      </c>
      <c r="B1099" t="s">
        <v>2926</v>
      </c>
      <c r="C1099">
        <v>0</v>
      </c>
      <c r="D1099">
        <v>0</v>
      </c>
      <c r="E1099">
        <v>0</v>
      </c>
      <c r="I1099" s="2">
        <v>2</v>
      </c>
      <c r="J1099" s="2" t="s">
        <v>1155</v>
      </c>
      <c r="K1099">
        <v>2020</v>
      </c>
      <c r="L1099" s="2" t="s">
        <v>691</v>
      </c>
      <c r="M1099" t="s">
        <v>897</v>
      </c>
      <c r="N1099" s="31">
        <v>50.5</v>
      </c>
      <c r="O1099">
        <f>24-8</f>
        <v>16</v>
      </c>
      <c r="P1099" s="31" t="s">
        <v>30</v>
      </c>
      <c r="Q1099" t="s">
        <v>42</v>
      </c>
      <c r="R1099" t="s">
        <v>39</v>
      </c>
      <c r="S1099" s="4">
        <v>37.379309999999997</v>
      </c>
      <c r="T1099" s="4">
        <v>121.73188</v>
      </c>
      <c r="U1099">
        <v>1868</v>
      </c>
      <c r="V1099" s="6">
        <f t="shared" si="88"/>
        <v>569.3664</v>
      </c>
      <c r="W1099" t="s">
        <v>898</v>
      </c>
      <c r="X1099" t="s">
        <v>2160</v>
      </c>
      <c r="Y1099" s="1" t="s">
        <v>96</v>
      </c>
      <c r="AA1099" t="s">
        <v>3105</v>
      </c>
      <c r="AL1099">
        <f t="shared" si="82"/>
        <v>0</v>
      </c>
      <c r="AM1099">
        <f t="shared" si="83"/>
        <v>0</v>
      </c>
      <c r="AN1099">
        <f t="shared" si="84"/>
        <v>0</v>
      </c>
    </row>
    <row r="1100" spans="1:40" x14ac:dyDescent="0.2">
      <c r="A1100">
        <v>158</v>
      </c>
      <c r="B1100" t="s">
        <v>2927</v>
      </c>
      <c r="C1100">
        <v>0</v>
      </c>
      <c r="D1100">
        <v>0</v>
      </c>
      <c r="E1100">
        <v>0</v>
      </c>
      <c r="I1100" s="2">
        <v>2</v>
      </c>
      <c r="J1100" s="2" t="s">
        <v>1155</v>
      </c>
      <c r="K1100">
        <v>2020</v>
      </c>
      <c r="L1100" s="2" t="s">
        <v>32</v>
      </c>
      <c r="M1100" t="s">
        <v>897</v>
      </c>
      <c r="N1100" s="31">
        <v>20</v>
      </c>
      <c r="O1100">
        <v>1</v>
      </c>
      <c r="P1100" s="31" t="s">
        <v>30</v>
      </c>
      <c r="R1100" s="53" t="s">
        <v>39</v>
      </c>
      <c r="S1100" s="4">
        <v>37.379309999999997</v>
      </c>
      <c r="T1100" s="4">
        <v>121.73188</v>
      </c>
      <c r="U1100">
        <v>1868</v>
      </c>
      <c r="V1100" s="6">
        <f t="shared" si="88"/>
        <v>569.3664</v>
      </c>
      <c r="W1100" t="s">
        <v>898</v>
      </c>
      <c r="X1100" t="s">
        <v>2160</v>
      </c>
      <c r="Y1100" s="1" t="s">
        <v>561</v>
      </c>
      <c r="AA1100" t="s">
        <v>3106</v>
      </c>
      <c r="AL1100">
        <f t="shared" si="82"/>
        <v>0</v>
      </c>
      <c r="AM1100">
        <f t="shared" si="83"/>
        <v>0</v>
      </c>
      <c r="AN1100">
        <f t="shared" si="84"/>
        <v>0</v>
      </c>
    </row>
    <row r="1101" spans="1:40" x14ac:dyDescent="0.2">
      <c r="A1101">
        <v>158</v>
      </c>
      <c r="B1101" t="s">
        <v>2928</v>
      </c>
      <c r="C1101">
        <v>0</v>
      </c>
      <c r="D1101">
        <v>0</v>
      </c>
      <c r="E1101">
        <v>0</v>
      </c>
      <c r="I1101" s="2">
        <v>2</v>
      </c>
      <c r="J1101" s="2" t="s">
        <v>1155</v>
      </c>
      <c r="K1101">
        <v>2020</v>
      </c>
      <c r="L1101" s="2" t="s">
        <v>691</v>
      </c>
      <c r="M1101" t="s">
        <v>897</v>
      </c>
      <c r="N1101" s="31">
        <v>53</v>
      </c>
      <c r="O1101">
        <f>53-34</f>
        <v>19</v>
      </c>
      <c r="P1101" s="31" t="s">
        <v>30</v>
      </c>
      <c r="Q1101" t="s">
        <v>42</v>
      </c>
      <c r="R1101" s="51" t="s">
        <v>89</v>
      </c>
      <c r="S1101" s="4">
        <v>37.379309999999997</v>
      </c>
      <c r="T1101" s="4">
        <v>121.73188</v>
      </c>
      <c r="U1101">
        <v>1868</v>
      </c>
      <c r="V1101" s="6">
        <f t="shared" si="88"/>
        <v>569.3664</v>
      </c>
      <c r="W1101" t="s">
        <v>898</v>
      </c>
      <c r="X1101" t="s">
        <v>2160</v>
      </c>
      <c r="Y1101" s="1" t="s">
        <v>561</v>
      </c>
      <c r="AA1101" t="s">
        <v>3107</v>
      </c>
      <c r="AL1101">
        <f t="shared" si="82"/>
        <v>0</v>
      </c>
      <c r="AM1101">
        <f t="shared" si="83"/>
        <v>0</v>
      </c>
      <c r="AN1101">
        <f t="shared" si="84"/>
        <v>0</v>
      </c>
    </row>
    <row r="1102" spans="1:40" s="11" customFormat="1" x14ac:dyDescent="0.2">
      <c r="A1102" s="11">
        <v>158</v>
      </c>
      <c r="B1102" s="11" t="s">
        <v>2929</v>
      </c>
      <c r="I1102" s="11">
        <v>2</v>
      </c>
      <c r="J1102" s="11" t="s">
        <v>1155</v>
      </c>
      <c r="K1102" s="11">
        <v>2020</v>
      </c>
      <c r="L1102" s="11" t="s">
        <v>3075</v>
      </c>
      <c r="M1102" s="11" t="s">
        <v>897</v>
      </c>
      <c r="N1102" s="32">
        <v>29.5</v>
      </c>
      <c r="O1102" s="11">
        <v>3</v>
      </c>
      <c r="P1102" s="32"/>
      <c r="R1102" t="s">
        <v>89</v>
      </c>
      <c r="S1102" s="4">
        <v>37.379309999999997</v>
      </c>
      <c r="T1102" s="4">
        <v>121.73188</v>
      </c>
      <c r="U1102">
        <v>1868</v>
      </c>
      <c r="V1102" s="6">
        <f t="shared" si="88"/>
        <v>569.3664</v>
      </c>
      <c r="W1102" s="11" t="s">
        <v>898</v>
      </c>
      <c r="X1102" s="11" t="s">
        <v>2160</v>
      </c>
      <c r="Y1102" s="35" t="s">
        <v>346</v>
      </c>
      <c r="Z1102" s="11" t="s">
        <v>3082</v>
      </c>
      <c r="AJ1102" s="42"/>
      <c r="AL1102" s="11">
        <f t="shared" si="82"/>
        <v>0</v>
      </c>
      <c r="AM1102" s="11">
        <f t="shared" si="83"/>
        <v>0</v>
      </c>
      <c r="AN1102" s="11">
        <f t="shared" si="84"/>
        <v>0</v>
      </c>
    </row>
    <row r="1103" spans="1:40" s="11" customFormat="1" x14ac:dyDescent="0.2">
      <c r="A1103" s="11">
        <v>158</v>
      </c>
      <c r="B1103" s="11" t="s">
        <v>2930</v>
      </c>
      <c r="I1103" s="11">
        <v>2</v>
      </c>
      <c r="J1103" s="11" t="s">
        <v>1155</v>
      </c>
      <c r="K1103" s="11">
        <v>2020</v>
      </c>
      <c r="L1103" s="11" t="s">
        <v>3075</v>
      </c>
      <c r="M1103" s="11" t="s">
        <v>897</v>
      </c>
      <c r="O1103" s="11">
        <v>3</v>
      </c>
      <c r="P1103" s="32"/>
      <c r="R1103" t="s">
        <v>89</v>
      </c>
      <c r="S1103" s="4">
        <v>37.379309999999997</v>
      </c>
      <c r="T1103" s="4">
        <v>121.73188</v>
      </c>
      <c r="U1103">
        <v>1868</v>
      </c>
      <c r="V1103" s="6">
        <f t="shared" si="88"/>
        <v>569.3664</v>
      </c>
      <c r="W1103" s="11" t="s">
        <v>898</v>
      </c>
      <c r="X1103" s="11" t="s">
        <v>2160</v>
      </c>
      <c r="Y1103" s="35" t="s">
        <v>346</v>
      </c>
      <c r="Z1103" s="11" t="s">
        <v>3082</v>
      </c>
      <c r="AJ1103" s="42"/>
      <c r="AL1103" s="11">
        <f t="shared" ref="AL1103:AL1136" si="89">C1103*80</f>
        <v>0</v>
      </c>
      <c r="AM1103" s="11">
        <f t="shared" ref="AM1103:AM1136" si="90">D1103*80</f>
        <v>0</v>
      </c>
      <c r="AN1103" s="11">
        <f t="shared" ref="AN1103:AN1157" si="91">E1103*80</f>
        <v>0</v>
      </c>
    </row>
    <row r="1104" spans="1:40" x14ac:dyDescent="0.2">
      <c r="A1104">
        <v>158</v>
      </c>
      <c r="B1104" t="s">
        <v>2931</v>
      </c>
      <c r="C1104">
        <v>0.12244535237550735</v>
      </c>
      <c r="D1104">
        <v>0</v>
      </c>
      <c r="E1104">
        <v>0</v>
      </c>
      <c r="I1104" s="2">
        <v>2</v>
      </c>
      <c r="J1104" s="2" t="s">
        <v>1155</v>
      </c>
      <c r="K1104">
        <v>2020</v>
      </c>
      <c r="L1104" s="2" t="s">
        <v>691</v>
      </c>
      <c r="M1104" t="s">
        <v>897</v>
      </c>
      <c r="N1104" s="31">
        <v>50</v>
      </c>
      <c r="O1104">
        <v>20</v>
      </c>
      <c r="P1104" s="31" t="s">
        <v>30</v>
      </c>
      <c r="Q1104" t="s">
        <v>42</v>
      </c>
      <c r="R1104" s="51" t="s">
        <v>89</v>
      </c>
      <c r="S1104" s="4">
        <v>37.379309999999997</v>
      </c>
      <c r="T1104" s="4">
        <v>121.73188</v>
      </c>
      <c r="U1104">
        <v>1868</v>
      </c>
      <c r="V1104" s="6">
        <f t="shared" si="88"/>
        <v>569.3664</v>
      </c>
      <c r="W1104" t="s">
        <v>898</v>
      </c>
      <c r="X1104" t="s">
        <v>2160</v>
      </c>
      <c r="Y1104" s="1" t="s">
        <v>456</v>
      </c>
      <c r="AA1104" t="s">
        <v>1970</v>
      </c>
      <c r="AL1104">
        <f t="shared" si="89"/>
        <v>9.7956281900405884</v>
      </c>
      <c r="AM1104">
        <f t="shared" si="90"/>
        <v>0</v>
      </c>
      <c r="AN1104">
        <f t="shared" si="91"/>
        <v>0</v>
      </c>
    </row>
    <row r="1105" spans="1:40" x14ac:dyDescent="0.2">
      <c r="A1105">
        <v>158</v>
      </c>
      <c r="B1105" t="s">
        <v>2932</v>
      </c>
      <c r="C1105">
        <v>0</v>
      </c>
      <c r="D1105">
        <v>0</v>
      </c>
      <c r="E1105">
        <v>0</v>
      </c>
      <c r="I1105" s="2">
        <v>2</v>
      </c>
      <c r="J1105" s="2" t="s">
        <v>1155</v>
      </c>
      <c r="K1105">
        <v>2020</v>
      </c>
      <c r="L1105" s="2" t="s">
        <v>691</v>
      </c>
      <c r="M1105" t="s">
        <v>897</v>
      </c>
      <c r="N1105" s="31">
        <v>49.5</v>
      </c>
      <c r="O1105">
        <f>63-44.5</f>
        <v>18.5</v>
      </c>
      <c r="P1105" s="31" t="s">
        <v>30</v>
      </c>
      <c r="Q1105" t="s">
        <v>42</v>
      </c>
      <c r="R1105" s="51" t="s">
        <v>89</v>
      </c>
      <c r="S1105" s="4">
        <v>37.379309999999997</v>
      </c>
      <c r="T1105" s="4">
        <v>121.73188</v>
      </c>
      <c r="U1105">
        <v>1868</v>
      </c>
      <c r="V1105" s="6">
        <f t="shared" si="88"/>
        <v>569.3664</v>
      </c>
      <c r="W1105" t="s">
        <v>898</v>
      </c>
      <c r="X1105" t="s">
        <v>2160</v>
      </c>
      <c r="Y1105" s="1" t="s">
        <v>456</v>
      </c>
      <c r="AA1105" t="s">
        <v>1973</v>
      </c>
      <c r="AL1105">
        <f t="shared" si="89"/>
        <v>0</v>
      </c>
      <c r="AM1105">
        <f t="shared" si="90"/>
        <v>0</v>
      </c>
      <c r="AN1105">
        <f t="shared" si="91"/>
        <v>0</v>
      </c>
    </row>
    <row r="1106" spans="1:40" x14ac:dyDescent="0.2">
      <c r="A1106">
        <v>158</v>
      </c>
      <c r="B1106" t="s">
        <v>2933</v>
      </c>
      <c r="C1106">
        <v>0</v>
      </c>
      <c r="D1106">
        <v>0</v>
      </c>
      <c r="E1106">
        <v>3.2754037529230118E-2</v>
      </c>
      <c r="H1106" t="s">
        <v>1186</v>
      </c>
      <c r="I1106" s="2">
        <v>2</v>
      </c>
      <c r="J1106" s="2" t="s">
        <v>1155</v>
      </c>
      <c r="K1106">
        <v>2020</v>
      </c>
      <c r="L1106" s="2" t="s">
        <v>32</v>
      </c>
      <c r="M1106" t="s">
        <v>897</v>
      </c>
      <c r="N1106" s="31">
        <v>18</v>
      </c>
      <c r="O1106">
        <v>1</v>
      </c>
      <c r="P1106" s="31" t="s">
        <v>37</v>
      </c>
      <c r="R1106" t="s">
        <v>89</v>
      </c>
      <c r="S1106" s="4">
        <v>37.379309999999997</v>
      </c>
      <c r="T1106" s="4">
        <v>121.73188</v>
      </c>
      <c r="U1106">
        <v>1868</v>
      </c>
      <c r="V1106" s="6">
        <f t="shared" si="88"/>
        <v>569.3664</v>
      </c>
      <c r="W1106" t="s">
        <v>898</v>
      </c>
      <c r="X1106" t="s">
        <v>2160</v>
      </c>
      <c r="Y1106" s="1" t="s">
        <v>254</v>
      </c>
      <c r="AA1106" t="s">
        <v>3109</v>
      </c>
      <c r="AL1106">
        <f t="shared" si="89"/>
        <v>0</v>
      </c>
      <c r="AM1106">
        <f t="shared" si="90"/>
        <v>0</v>
      </c>
      <c r="AN1106">
        <f t="shared" si="91"/>
        <v>2.6203230023384094</v>
      </c>
    </row>
    <row r="1107" spans="1:40" x14ac:dyDescent="0.2">
      <c r="A1107">
        <v>158</v>
      </c>
      <c r="B1107" t="s">
        <v>2934</v>
      </c>
      <c r="C1107">
        <v>0.23208066821098328</v>
      </c>
      <c r="D1107">
        <v>0</v>
      </c>
      <c r="E1107">
        <v>0.10955481231212616</v>
      </c>
      <c r="I1107" s="2">
        <v>2</v>
      </c>
      <c r="J1107" s="2" t="s">
        <v>1155</v>
      </c>
      <c r="K1107">
        <v>2020</v>
      </c>
      <c r="L1107" s="2" t="s">
        <v>691</v>
      </c>
      <c r="M1107" t="s">
        <v>897</v>
      </c>
      <c r="N1107" s="31">
        <v>48</v>
      </c>
      <c r="O1107">
        <f>58-44.5</f>
        <v>13.5</v>
      </c>
      <c r="P1107" s="31" t="s">
        <v>30</v>
      </c>
      <c r="Q1107" t="s">
        <v>42</v>
      </c>
      <c r="R1107" s="51" t="s">
        <v>89</v>
      </c>
      <c r="S1107" s="4">
        <v>37.379309999999997</v>
      </c>
      <c r="T1107" s="4">
        <v>121.73188</v>
      </c>
      <c r="U1107">
        <v>1868</v>
      </c>
      <c r="V1107" s="6">
        <f t="shared" si="88"/>
        <v>569.3664</v>
      </c>
      <c r="W1107" t="s">
        <v>898</v>
      </c>
      <c r="X1107" t="s">
        <v>2160</v>
      </c>
      <c r="Y1107" s="1" t="s">
        <v>1113</v>
      </c>
      <c r="Z1107" t="s">
        <v>3108</v>
      </c>
      <c r="AA1107" t="s">
        <v>1984</v>
      </c>
      <c r="AL1107">
        <f t="shared" si="89"/>
        <v>18.566453456878662</v>
      </c>
      <c r="AM1107">
        <f t="shared" si="90"/>
        <v>0</v>
      </c>
      <c r="AN1107">
        <f t="shared" si="91"/>
        <v>8.7643849849700928</v>
      </c>
    </row>
    <row r="1108" spans="1:40" x14ac:dyDescent="0.2">
      <c r="A1108">
        <v>158</v>
      </c>
      <c r="B1108" t="s">
        <v>2935</v>
      </c>
      <c r="C1108">
        <v>1.1721011400222778</v>
      </c>
      <c r="D1108">
        <v>0</v>
      </c>
      <c r="E1108">
        <v>0.78145396709442139</v>
      </c>
      <c r="I1108" s="2">
        <v>2</v>
      </c>
      <c r="J1108" s="2" t="s">
        <v>1155</v>
      </c>
      <c r="K1108">
        <v>2020</v>
      </c>
      <c r="L1108" s="2" t="s">
        <v>691</v>
      </c>
      <c r="M1108" t="s">
        <v>897</v>
      </c>
      <c r="N1108" s="31">
        <v>53</v>
      </c>
      <c r="O1108">
        <f>77-59</f>
        <v>18</v>
      </c>
      <c r="P1108" s="31" t="s">
        <v>30</v>
      </c>
      <c r="Q1108" t="s">
        <v>42</v>
      </c>
      <c r="R1108" s="51" t="s">
        <v>89</v>
      </c>
      <c r="S1108" s="4">
        <v>37.379309999999997</v>
      </c>
      <c r="T1108" s="4">
        <v>121.73188</v>
      </c>
      <c r="U1108">
        <v>1868</v>
      </c>
      <c r="V1108" s="6">
        <f t="shared" si="88"/>
        <v>569.3664</v>
      </c>
      <c r="W1108" t="s">
        <v>898</v>
      </c>
      <c r="X1108" t="s">
        <v>2160</v>
      </c>
      <c r="Y1108" s="1" t="s">
        <v>461</v>
      </c>
      <c r="AA1108" t="s">
        <v>3110</v>
      </c>
      <c r="AL1108">
        <f t="shared" si="89"/>
        <v>93.768091201782227</v>
      </c>
      <c r="AM1108">
        <f t="shared" si="90"/>
        <v>0</v>
      </c>
      <c r="AN1108">
        <f t="shared" si="91"/>
        <v>62.516317367553711</v>
      </c>
    </row>
    <row r="1109" spans="1:40" x14ac:dyDescent="0.2">
      <c r="A1109">
        <v>158</v>
      </c>
      <c r="B1109" t="s">
        <v>2936</v>
      </c>
      <c r="C1109">
        <v>0</v>
      </c>
      <c r="D1109">
        <v>0</v>
      </c>
      <c r="E1109">
        <v>0</v>
      </c>
      <c r="I1109" s="2">
        <v>2</v>
      </c>
      <c r="J1109" s="2" t="s">
        <v>1155</v>
      </c>
      <c r="K1109">
        <v>2020</v>
      </c>
      <c r="L1109" s="2" t="s">
        <v>691</v>
      </c>
      <c r="M1109" t="s">
        <v>897</v>
      </c>
      <c r="N1109" s="31">
        <v>58</v>
      </c>
      <c r="O1109">
        <f>42.5-22.5</f>
        <v>20</v>
      </c>
      <c r="P1109" s="31" t="s">
        <v>30</v>
      </c>
      <c r="Q1109" t="s">
        <v>42</v>
      </c>
      <c r="R1109" s="51" t="s">
        <v>89</v>
      </c>
      <c r="S1109" s="4">
        <v>37.379309999999997</v>
      </c>
      <c r="T1109" s="4">
        <v>121.73188</v>
      </c>
      <c r="U1109">
        <v>1868</v>
      </c>
      <c r="V1109" s="6">
        <f t="shared" si="88"/>
        <v>569.3664</v>
      </c>
      <c r="W1109" t="s">
        <v>898</v>
      </c>
      <c r="X1109" t="s">
        <v>2160</v>
      </c>
      <c r="Y1109" s="1" t="s">
        <v>461</v>
      </c>
      <c r="AA1109" t="s">
        <v>1229</v>
      </c>
      <c r="AL1109">
        <f t="shared" si="89"/>
        <v>0</v>
      </c>
      <c r="AM1109">
        <f t="shared" si="90"/>
        <v>0</v>
      </c>
      <c r="AN1109">
        <f t="shared" si="91"/>
        <v>0</v>
      </c>
    </row>
    <row r="1110" spans="1:40" x14ac:dyDescent="0.2">
      <c r="A1110">
        <v>158</v>
      </c>
      <c r="B1110" t="s">
        <v>2937</v>
      </c>
      <c r="C1110">
        <v>0</v>
      </c>
      <c r="D1110">
        <v>0</v>
      </c>
      <c r="E1110">
        <v>3.4536473453044891E-2</v>
      </c>
      <c r="I1110" s="2">
        <v>2</v>
      </c>
      <c r="J1110" s="2" t="s">
        <v>1155</v>
      </c>
      <c r="K1110">
        <v>2020</v>
      </c>
      <c r="L1110" s="2" t="s">
        <v>691</v>
      </c>
      <c r="M1110" t="s">
        <v>897</v>
      </c>
      <c r="N1110" s="31">
        <v>170</v>
      </c>
      <c r="O1110">
        <f>606-25</f>
        <v>581</v>
      </c>
      <c r="P1110" s="31" t="s">
        <v>30</v>
      </c>
      <c r="Q1110" t="s">
        <v>38</v>
      </c>
      <c r="R1110" s="31" t="s">
        <v>39</v>
      </c>
      <c r="S1110" s="4">
        <v>37.379309999999997</v>
      </c>
      <c r="T1110" s="4">
        <v>121.73188</v>
      </c>
      <c r="U1110">
        <v>1868</v>
      </c>
      <c r="V1110" s="6">
        <f t="shared" si="88"/>
        <v>569.3664</v>
      </c>
      <c r="W1110" t="s">
        <v>898</v>
      </c>
      <c r="X1110" t="s">
        <v>2160</v>
      </c>
      <c r="Y1110" s="1" t="s">
        <v>121</v>
      </c>
      <c r="Z1110" t="s">
        <v>3112</v>
      </c>
      <c r="AA1110" t="s">
        <v>3111</v>
      </c>
      <c r="AL1110">
        <f t="shared" si="89"/>
        <v>0</v>
      </c>
      <c r="AM1110">
        <f t="shared" si="90"/>
        <v>0</v>
      </c>
      <c r="AN1110">
        <f t="shared" si="91"/>
        <v>2.7629178762435913</v>
      </c>
    </row>
    <row r="1111" spans="1:40" x14ac:dyDescent="0.2">
      <c r="A1111">
        <v>158</v>
      </c>
      <c r="B1111" t="s">
        <v>2938</v>
      </c>
      <c r="C1111">
        <v>0.21310557425022125</v>
      </c>
      <c r="D1111">
        <v>0</v>
      </c>
      <c r="E1111">
        <v>0.12808425724506378</v>
      </c>
      <c r="I1111" s="2">
        <v>2</v>
      </c>
      <c r="J1111" s="2" t="s">
        <v>1155</v>
      </c>
      <c r="K1111">
        <v>2020</v>
      </c>
      <c r="L1111" s="2" t="s">
        <v>691</v>
      </c>
      <c r="M1111" t="s">
        <v>897</v>
      </c>
      <c r="N1111" s="31">
        <v>97.5</v>
      </c>
      <c r="O1111">
        <f>157-19.5</f>
        <v>137.5</v>
      </c>
      <c r="P1111" s="31" t="s">
        <v>30</v>
      </c>
      <c r="Q1111" t="s">
        <v>38</v>
      </c>
      <c r="R1111" s="31" t="s">
        <v>39</v>
      </c>
      <c r="S1111" s="4">
        <v>37.379309999999997</v>
      </c>
      <c r="T1111" s="4">
        <v>121.73188</v>
      </c>
      <c r="U1111">
        <v>1868</v>
      </c>
      <c r="V1111" s="6">
        <f t="shared" si="88"/>
        <v>569.3664</v>
      </c>
      <c r="W1111" t="s">
        <v>898</v>
      </c>
      <c r="X1111" t="s">
        <v>2160</v>
      </c>
      <c r="Y1111" s="1" t="s">
        <v>84</v>
      </c>
      <c r="Z1111" t="s">
        <v>3114</v>
      </c>
      <c r="AA1111" t="s">
        <v>3113</v>
      </c>
      <c r="AL1111">
        <f t="shared" si="89"/>
        <v>17.0484459400177</v>
      </c>
      <c r="AM1111">
        <f t="shared" si="90"/>
        <v>0</v>
      </c>
      <c r="AN1111">
        <f t="shared" si="91"/>
        <v>10.246740579605103</v>
      </c>
    </row>
    <row r="1112" spans="1:40" x14ac:dyDescent="0.2">
      <c r="A1112">
        <v>159</v>
      </c>
      <c r="B1112" t="s">
        <v>2939</v>
      </c>
      <c r="C1112">
        <v>0</v>
      </c>
      <c r="D1112">
        <v>0</v>
      </c>
      <c r="E1112">
        <v>0</v>
      </c>
      <c r="I1112" s="2">
        <v>4</v>
      </c>
      <c r="J1112" s="2" t="s">
        <v>1155</v>
      </c>
      <c r="K1112">
        <v>2020</v>
      </c>
      <c r="L1112" s="2" t="s">
        <v>33</v>
      </c>
      <c r="M1112" t="s">
        <v>46</v>
      </c>
      <c r="N1112" s="31">
        <v>40</v>
      </c>
      <c r="O1112">
        <f>19-11.5</f>
        <v>7.5</v>
      </c>
      <c r="P1112" s="31" t="s">
        <v>30</v>
      </c>
      <c r="R1112" s="31" t="s">
        <v>89</v>
      </c>
      <c r="S1112" s="4">
        <v>34.694450000000003</v>
      </c>
      <c r="T1112" s="4">
        <v>120.04163</v>
      </c>
      <c r="U1112">
        <v>1050</v>
      </c>
      <c r="V1112" s="6">
        <f t="shared" si="88"/>
        <v>320.04000000000002</v>
      </c>
      <c r="W1112" t="s">
        <v>2331</v>
      </c>
      <c r="X1112" t="s">
        <v>2332</v>
      </c>
      <c r="Y1112" s="1" t="s">
        <v>218</v>
      </c>
      <c r="AL1112">
        <f t="shared" si="89"/>
        <v>0</v>
      </c>
      <c r="AM1112">
        <f t="shared" si="90"/>
        <v>0</v>
      </c>
      <c r="AN1112">
        <f t="shared" si="91"/>
        <v>0</v>
      </c>
    </row>
    <row r="1113" spans="1:40" x14ac:dyDescent="0.2">
      <c r="A1113">
        <v>159</v>
      </c>
      <c r="B1113" t="s">
        <v>2940</v>
      </c>
      <c r="C1113">
        <v>6.0098350048065186E-2</v>
      </c>
      <c r="D1113">
        <v>0</v>
      </c>
      <c r="E1113">
        <v>0</v>
      </c>
      <c r="I1113" s="2">
        <v>4</v>
      </c>
      <c r="J1113" s="2" t="s">
        <v>1155</v>
      </c>
      <c r="K1113">
        <v>2020</v>
      </c>
      <c r="L1113" s="2" t="s">
        <v>32</v>
      </c>
      <c r="M1113" t="s">
        <v>46</v>
      </c>
      <c r="N1113" s="31">
        <v>23.5</v>
      </c>
      <c r="O1113">
        <v>1</v>
      </c>
      <c r="P1113" s="31" t="s">
        <v>30</v>
      </c>
      <c r="R1113" s="53" t="s">
        <v>39</v>
      </c>
      <c r="S1113" s="4">
        <v>34.69453</v>
      </c>
      <c r="T1113" s="4">
        <v>120.04165999999999</v>
      </c>
      <c r="U1113">
        <v>1054</v>
      </c>
      <c r="V1113" s="6">
        <f t="shared" si="88"/>
        <v>321.25920000000002</v>
      </c>
      <c r="W1113" t="s">
        <v>2331</v>
      </c>
      <c r="X1113" t="s">
        <v>2332</v>
      </c>
      <c r="Y1113" s="1" t="s">
        <v>218</v>
      </c>
      <c r="AL1113">
        <f t="shared" si="89"/>
        <v>4.8078680038452148</v>
      </c>
      <c r="AM1113">
        <f t="shared" si="90"/>
        <v>0</v>
      </c>
      <c r="AN1113">
        <f t="shared" si="91"/>
        <v>0</v>
      </c>
    </row>
    <row r="1114" spans="1:40" x14ac:dyDescent="0.2">
      <c r="A1114">
        <v>159</v>
      </c>
      <c r="B1114" t="s">
        <v>2941</v>
      </c>
      <c r="C1114">
        <v>0</v>
      </c>
      <c r="D1114">
        <v>0</v>
      </c>
      <c r="E1114">
        <v>0</v>
      </c>
      <c r="I1114" s="2">
        <v>4</v>
      </c>
      <c r="J1114" s="2" t="s">
        <v>1155</v>
      </c>
      <c r="K1114">
        <v>2020</v>
      </c>
      <c r="L1114" s="2" t="s">
        <v>32</v>
      </c>
      <c r="M1114" t="s">
        <v>46</v>
      </c>
      <c r="N1114" s="31">
        <v>23.5</v>
      </c>
      <c r="O1114">
        <f>9-7.5</f>
        <v>1.5</v>
      </c>
      <c r="P1114" s="31" t="s">
        <v>30</v>
      </c>
      <c r="R1114" s="53" t="s">
        <v>39</v>
      </c>
      <c r="S1114" s="4">
        <v>34.69453</v>
      </c>
      <c r="T1114" s="4">
        <v>120.04165999999999</v>
      </c>
      <c r="U1114">
        <v>1054</v>
      </c>
      <c r="V1114" s="6">
        <f t="shared" si="88"/>
        <v>321.25920000000002</v>
      </c>
      <c r="W1114" t="s">
        <v>2331</v>
      </c>
      <c r="X1114" t="s">
        <v>2332</v>
      </c>
      <c r="Y1114" s="1" t="s">
        <v>221</v>
      </c>
      <c r="AL1114">
        <f t="shared" si="89"/>
        <v>0</v>
      </c>
      <c r="AM1114">
        <f t="shared" si="90"/>
        <v>0</v>
      </c>
      <c r="AN1114">
        <f t="shared" si="91"/>
        <v>0</v>
      </c>
    </row>
    <row r="1115" spans="1:40" x14ac:dyDescent="0.2">
      <c r="A1115">
        <v>159</v>
      </c>
      <c r="B1115" t="s">
        <v>2942</v>
      </c>
      <c r="C1115">
        <v>0</v>
      </c>
      <c r="D1115">
        <v>0</v>
      </c>
      <c r="E1115">
        <v>0</v>
      </c>
      <c r="I1115" s="2">
        <v>4</v>
      </c>
      <c r="J1115" s="2" t="s">
        <v>1155</v>
      </c>
      <c r="K1115">
        <v>2020</v>
      </c>
      <c r="L1115" s="2" t="s">
        <v>32</v>
      </c>
      <c r="M1115" t="s">
        <v>46</v>
      </c>
      <c r="N1115" s="31">
        <v>24</v>
      </c>
      <c r="O1115">
        <v>1</v>
      </c>
      <c r="P1115" s="31" t="s">
        <v>30</v>
      </c>
      <c r="R1115" s="53" t="s">
        <v>39</v>
      </c>
      <c r="S1115" s="4">
        <v>34.69453</v>
      </c>
      <c r="T1115" s="4">
        <v>120.04165999999999</v>
      </c>
      <c r="U1115">
        <v>1054</v>
      </c>
      <c r="V1115" s="6">
        <f t="shared" si="88"/>
        <v>321.25920000000002</v>
      </c>
      <c r="W1115" t="s">
        <v>2331</v>
      </c>
      <c r="X1115" t="s">
        <v>2332</v>
      </c>
      <c r="Y1115" s="1" t="s">
        <v>221</v>
      </c>
      <c r="AL1115">
        <f t="shared" si="89"/>
        <v>0</v>
      </c>
      <c r="AM1115">
        <f t="shared" si="90"/>
        <v>0</v>
      </c>
      <c r="AN1115">
        <f t="shared" si="91"/>
        <v>0</v>
      </c>
    </row>
    <row r="1116" spans="1:40" x14ac:dyDescent="0.2">
      <c r="A1116">
        <v>159</v>
      </c>
      <c r="B1116" t="s">
        <v>2943</v>
      </c>
      <c r="C1116">
        <v>0</v>
      </c>
      <c r="D1116">
        <v>0</v>
      </c>
      <c r="E1116">
        <v>0</v>
      </c>
      <c r="I1116" s="2">
        <v>4</v>
      </c>
      <c r="J1116" s="2" t="s">
        <v>1155</v>
      </c>
      <c r="K1116">
        <v>2020</v>
      </c>
      <c r="L1116" s="2" t="s">
        <v>32</v>
      </c>
      <c r="M1116" t="s">
        <v>46</v>
      </c>
      <c r="N1116" s="31">
        <v>22.5</v>
      </c>
      <c r="O1116">
        <f>10-8.5</f>
        <v>1.5</v>
      </c>
      <c r="P1116" s="31" t="s">
        <v>30</v>
      </c>
      <c r="R1116" s="53" t="s">
        <v>39</v>
      </c>
      <c r="S1116" s="4">
        <v>34.69453</v>
      </c>
      <c r="T1116" s="4">
        <v>120.04165999999999</v>
      </c>
      <c r="U1116">
        <v>1054</v>
      </c>
      <c r="V1116" s="6">
        <f t="shared" si="88"/>
        <v>321.25920000000002</v>
      </c>
      <c r="W1116" t="s">
        <v>2331</v>
      </c>
      <c r="X1116" t="s">
        <v>2332</v>
      </c>
      <c r="Y1116" s="1" t="s">
        <v>236</v>
      </c>
      <c r="AL1116">
        <f t="shared" si="89"/>
        <v>0</v>
      </c>
      <c r="AM1116">
        <f t="shared" si="90"/>
        <v>0</v>
      </c>
      <c r="AN1116">
        <f t="shared" si="91"/>
        <v>0</v>
      </c>
    </row>
    <row r="1117" spans="1:40" x14ac:dyDescent="0.2">
      <c r="A1117">
        <v>159</v>
      </c>
      <c r="B1117" t="s">
        <v>2944</v>
      </c>
      <c r="C1117">
        <v>0</v>
      </c>
      <c r="D1117">
        <v>0</v>
      </c>
      <c r="E1117">
        <v>0</v>
      </c>
      <c r="I1117" s="2">
        <v>4</v>
      </c>
      <c r="J1117" s="2" t="s">
        <v>1155</v>
      </c>
      <c r="K1117">
        <v>2020</v>
      </c>
      <c r="L1117" s="2" t="s">
        <v>32</v>
      </c>
      <c r="M1117" t="s">
        <v>46</v>
      </c>
      <c r="N1117" s="31">
        <v>24</v>
      </c>
      <c r="O1117">
        <v>1</v>
      </c>
      <c r="P1117" s="31" t="s">
        <v>30</v>
      </c>
      <c r="R1117" s="53" t="s">
        <v>39</v>
      </c>
      <c r="S1117" s="4">
        <v>34.69453</v>
      </c>
      <c r="T1117" s="4">
        <v>120.04164</v>
      </c>
      <c r="U1117">
        <v>1071</v>
      </c>
      <c r="V1117" s="6">
        <f t="shared" si="88"/>
        <v>326.44080000000002</v>
      </c>
      <c r="W1117" t="s">
        <v>2331</v>
      </c>
      <c r="X1117" t="s">
        <v>2332</v>
      </c>
      <c r="Y1117" s="1" t="s">
        <v>236</v>
      </c>
      <c r="AL1117">
        <f t="shared" si="89"/>
        <v>0</v>
      </c>
      <c r="AM1117">
        <f t="shared" si="90"/>
        <v>0</v>
      </c>
      <c r="AN1117">
        <f t="shared" si="91"/>
        <v>0</v>
      </c>
    </row>
    <row r="1118" spans="1:40" x14ac:dyDescent="0.2">
      <c r="A1118">
        <v>159</v>
      </c>
      <c r="B1118" t="s">
        <v>2945</v>
      </c>
      <c r="C1118">
        <v>0</v>
      </c>
      <c r="D1118">
        <v>0</v>
      </c>
      <c r="E1118">
        <v>0</v>
      </c>
      <c r="I1118" s="2">
        <v>4</v>
      </c>
      <c r="J1118" s="2" t="s">
        <v>1155</v>
      </c>
      <c r="K1118">
        <v>2020</v>
      </c>
      <c r="L1118" s="2" t="s">
        <v>32</v>
      </c>
      <c r="M1118" t="s">
        <v>46</v>
      </c>
      <c r="N1118" s="31">
        <v>21</v>
      </c>
      <c r="O1118">
        <v>1</v>
      </c>
      <c r="P1118" s="31" t="s">
        <v>30</v>
      </c>
      <c r="R1118" s="53" t="s">
        <v>39</v>
      </c>
      <c r="S1118" s="4">
        <v>34.69453</v>
      </c>
      <c r="T1118" s="4">
        <v>120.04164</v>
      </c>
      <c r="U1118">
        <v>1071</v>
      </c>
      <c r="V1118" s="6">
        <f t="shared" si="88"/>
        <v>326.44080000000002</v>
      </c>
      <c r="W1118" t="s">
        <v>2331</v>
      </c>
      <c r="X1118" t="s">
        <v>2332</v>
      </c>
      <c r="Y1118" s="1" t="s">
        <v>236</v>
      </c>
      <c r="AL1118">
        <f t="shared" si="89"/>
        <v>0</v>
      </c>
      <c r="AM1118">
        <f t="shared" si="90"/>
        <v>0</v>
      </c>
      <c r="AN1118">
        <f t="shared" si="91"/>
        <v>0</v>
      </c>
    </row>
    <row r="1119" spans="1:40" x14ac:dyDescent="0.2">
      <c r="A1119">
        <v>159</v>
      </c>
      <c r="B1119" t="s">
        <v>2946</v>
      </c>
      <c r="C1119">
        <v>2.4376112967729568E-2</v>
      </c>
      <c r="D1119">
        <v>0</v>
      </c>
      <c r="E1119">
        <v>0</v>
      </c>
      <c r="I1119" s="2">
        <v>4</v>
      </c>
      <c r="J1119" s="2" t="s">
        <v>1155</v>
      </c>
      <c r="K1119">
        <v>2020</v>
      </c>
      <c r="L1119" s="2" t="s">
        <v>32</v>
      </c>
      <c r="M1119" t="s">
        <v>46</v>
      </c>
      <c r="N1119" s="31">
        <v>23.5</v>
      </c>
      <c r="O1119">
        <v>1.5</v>
      </c>
      <c r="P1119" s="31" t="s">
        <v>30</v>
      </c>
      <c r="R1119" s="53" t="s">
        <v>39</v>
      </c>
      <c r="S1119" s="4">
        <v>34.69453</v>
      </c>
      <c r="T1119" s="4">
        <v>120.04164</v>
      </c>
      <c r="U1119">
        <v>1071</v>
      </c>
      <c r="V1119" s="6">
        <f t="shared" si="88"/>
        <v>326.44080000000002</v>
      </c>
      <c r="W1119" t="s">
        <v>2331</v>
      </c>
      <c r="X1119" t="s">
        <v>2332</v>
      </c>
      <c r="Y1119" s="1" t="s">
        <v>236</v>
      </c>
      <c r="AL1119">
        <f t="shared" si="89"/>
        <v>1.9500890374183655</v>
      </c>
      <c r="AM1119">
        <f t="shared" si="90"/>
        <v>0</v>
      </c>
      <c r="AN1119">
        <f t="shared" si="91"/>
        <v>0</v>
      </c>
    </row>
    <row r="1120" spans="1:40" x14ac:dyDescent="0.2">
      <c r="A1120">
        <v>159</v>
      </c>
      <c r="B1120" t="s">
        <v>2947</v>
      </c>
      <c r="C1120">
        <v>0</v>
      </c>
      <c r="D1120">
        <v>0</v>
      </c>
      <c r="E1120">
        <v>0</v>
      </c>
      <c r="I1120" s="2">
        <v>4</v>
      </c>
      <c r="J1120" s="2" t="s">
        <v>1155</v>
      </c>
      <c r="K1120">
        <v>2020</v>
      </c>
      <c r="L1120" s="2" t="s">
        <v>32</v>
      </c>
      <c r="M1120" t="s">
        <v>46</v>
      </c>
      <c r="N1120" s="31">
        <v>24</v>
      </c>
      <c r="O1120">
        <v>1.5</v>
      </c>
      <c r="P1120" s="31" t="s">
        <v>30</v>
      </c>
      <c r="R1120" s="53" t="s">
        <v>39</v>
      </c>
      <c r="S1120" s="4">
        <v>34.69453</v>
      </c>
      <c r="T1120" s="4">
        <v>120.04164</v>
      </c>
      <c r="U1120">
        <v>1071</v>
      </c>
      <c r="V1120" s="6">
        <f t="shared" si="88"/>
        <v>326.44080000000002</v>
      </c>
      <c r="W1120" t="s">
        <v>2331</v>
      </c>
      <c r="X1120" t="s">
        <v>2332</v>
      </c>
      <c r="Y1120" s="1" t="s">
        <v>236</v>
      </c>
      <c r="AL1120">
        <f t="shared" si="89"/>
        <v>0</v>
      </c>
      <c r="AM1120">
        <f t="shared" si="90"/>
        <v>0</v>
      </c>
      <c r="AN1120">
        <f t="shared" si="91"/>
        <v>0</v>
      </c>
    </row>
    <row r="1121" spans="1:40" x14ac:dyDescent="0.2">
      <c r="A1121">
        <v>159</v>
      </c>
      <c r="B1121" t="s">
        <v>2948</v>
      </c>
      <c r="C1121">
        <v>0</v>
      </c>
      <c r="D1121">
        <v>0</v>
      </c>
      <c r="E1121">
        <v>0</v>
      </c>
      <c r="I1121" s="2">
        <v>4</v>
      </c>
      <c r="J1121" s="2" t="s">
        <v>1155</v>
      </c>
      <c r="K1121">
        <v>2020</v>
      </c>
      <c r="L1121" s="2" t="s">
        <v>33</v>
      </c>
      <c r="M1121" t="s">
        <v>46</v>
      </c>
      <c r="N1121" s="31">
        <v>28.5</v>
      </c>
      <c r="O1121">
        <v>3</v>
      </c>
      <c r="P1121" s="31" t="s">
        <v>30</v>
      </c>
      <c r="R1121" s="31" t="s">
        <v>89</v>
      </c>
      <c r="S1121" s="4">
        <v>34.69453</v>
      </c>
      <c r="T1121" s="4">
        <v>120.04164</v>
      </c>
      <c r="U1121">
        <v>1071</v>
      </c>
      <c r="V1121" s="6">
        <f t="shared" si="88"/>
        <v>326.44080000000002</v>
      </c>
      <c r="W1121" t="s">
        <v>2331</v>
      </c>
      <c r="X1121" t="s">
        <v>2332</v>
      </c>
      <c r="Y1121" s="1" t="s">
        <v>226</v>
      </c>
      <c r="AL1121">
        <f t="shared" si="89"/>
        <v>0</v>
      </c>
      <c r="AM1121">
        <f t="shared" si="90"/>
        <v>0</v>
      </c>
      <c r="AN1121">
        <f t="shared" si="91"/>
        <v>0</v>
      </c>
    </row>
    <row r="1122" spans="1:40" x14ac:dyDescent="0.2">
      <c r="A1122">
        <v>159</v>
      </c>
      <c r="B1122" t="s">
        <v>2949</v>
      </c>
      <c r="C1122">
        <v>0.14457376301288605</v>
      </c>
      <c r="D1122">
        <v>0</v>
      </c>
      <c r="E1122">
        <v>3.1776934862136841E-2</v>
      </c>
      <c r="I1122" s="2">
        <v>4</v>
      </c>
      <c r="J1122" s="2" t="s">
        <v>1155</v>
      </c>
      <c r="K1122">
        <v>2020</v>
      </c>
      <c r="L1122" s="2" t="s">
        <v>33</v>
      </c>
      <c r="M1122" t="s">
        <v>46</v>
      </c>
      <c r="N1122" s="31">
        <v>67.5</v>
      </c>
      <c r="O1122">
        <f>64.5-12</f>
        <v>52.5</v>
      </c>
      <c r="P1122" s="31" t="s">
        <v>30</v>
      </c>
      <c r="Q1122" t="s">
        <v>42</v>
      </c>
      <c r="R1122" s="31" t="s">
        <v>39</v>
      </c>
      <c r="S1122" s="44"/>
      <c r="T1122" s="44"/>
      <c r="U1122" s="3"/>
      <c r="V1122" s="54"/>
      <c r="W1122" t="s">
        <v>2331</v>
      </c>
      <c r="X1122" t="s">
        <v>2332</v>
      </c>
      <c r="Y1122" s="1" t="s">
        <v>447</v>
      </c>
      <c r="AL1122">
        <f t="shared" si="89"/>
        <v>11.565901041030884</v>
      </c>
      <c r="AM1122">
        <f t="shared" si="90"/>
        <v>0</v>
      </c>
      <c r="AN1122">
        <f t="shared" si="91"/>
        <v>2.5421547889709473</v>
      </c>
    </row>
    <row r="1123" spans="1:40" x14ac:dyDescent="0.2">
      <c r="A1123">
        <v>159</v>
      </c>
      <c r="B1123" t="s">
        <v>2950</v>
      </c>
      <c r="C1123">
        <v>6.5068230032920837E-2</v>
      </c>
      <c r="D1123">
        <v>0</v>
      </c>
      <c r="E1123">
        <v>3.076857328414917E-2</v>
      </c>
      <c r="I1123" s="2">
        <v>4</v>
      </c>
      <c r="J1123" s="2" t="s">
        <v>1155</v>
      </c>
      <c r="K1123">
        <v>2020</v>
      </c>
      <c r="L1123" s="2" t="s">
        <v>33</v>
      </c>
      <c r="M1123" t="s">
        <v>46</v>
      </c>
      <c r="N1123" s="31">
        <v>37.5</v>
      </c>
      <c r="O1123">
        <f>21-15</f>
        <v>6</v>
      </c>
      <c r="P1123" s="31" t="s">
        <v>30</v>
      </c>
      <c r="R1123" s="31" t="s">
        <v>89</v>
      </c>
      <c r="S1123" s="44"/>
      <c r="T1123" s="44"/>
      <c r="U1123" s="3"/>
      <c r="V1123" s="54"/>
      <c r="W1123" t="s">
        <v>2331</v>
      </c>
      <c r="X1123" t="s">
        <v>2332</v>
      </c>
      <c r="Y1123" s="1" t="s">
        <v>447</v>
      </c>
      <c r="Z1123" t="s">
        <v>3119</v>
      </c>
      <c r="AL1123">
        <f t="shared" si="89"/>
        <v>5.205458402633667</v>
      </c>
      <c r="AM1123">
        <f t="shared" si="90"/>
        <v>0</v>
      </c>
      <c r="AN1123">
        <f t="shared" si="91"/>
        <v>2.4614858627319336</v>
      </c>
    </row>
    <row r="1124" spans="1:40" x14ac:dyDescent="0.2">
      <c r="A1124">
        <v>159</v>
      </c>
      <c r="B1124" t="s">
        <v>2951</v>
      </c>
      <c r="C1124">
        <v>0</v>
      </c>
      <c r="D1124">
        <v>0</v>
      </c>
      <c r="E1124">
        <v>0</v>
      </c>
      <c r="I1124" s="2">
        <v>4</v>
      </c>
      <c r="J1124" s="2" t="s">
        <v>1155</v>
      </c>
      <c r="K1124">
        <v>2020</v>
      </c>
      <c r="L1124" s="2" t="s">
        <v>33</v>
      </c>
      <c r="M1124" t="s">
        <v>46</v>
      </c>
      <c r="N1124" s="31">
        <v>34</v>
      </c>
      <c r="O1124">
        <f>16.5-11.5</f>
        <v>5</v>
      </c>
      <c r="P1124" s="31" t="s">
        <v>30</v>
      </c>
      <c r="R1124" s="31" t="s">
        <v>89</v>
      </c>
      <c r="S1124" s="44"/>
      <c r="T1124" s="44"/>
      <c r="U1124" s="3"/>
      <c r="V1124" s="54"/>
      <c r="W1124" t="s">
        <v>2331</v>
      </c>
      <c r="X1124" t="s">
        <v>2332</v>
      </c>
      <c r="Y1124" s="1" t="s">
        <v>93</v>
      </c>
      <c r="AL1124">
        <f t="shared" si="89"/>
        <v>0</v>
      </c>
      <c r="AM1124">
        <f t="shared" si="90"/>
        <v>0</v>
      </c>
      <c r="AN1124">
        <f t="shared" si="91"/>
        <v>0</v>
      </c>
    </row>
    <row r="1125" spans="1:40" x14ac:dyDescent="0.2">
      <c r="A1125">
        <v>159</v>
      </c>
      <c r="B1125" t="s">
        <v>2952</v>
      </c>
      <c r="C1125">
        <v>0</v>
      </c>
      <c r="D1125">
        <v>0</v>
      </c>
      <c r="E1125">
        <v>0</v>
      </c>
      <c r="I1125" s="2">
        <v>4</v>
      </c>
      <c r="J1125" s="2" t="s">
        <v>1155</v>
      </c>
      <c r="K1125">
        <v>2020</v>
      </c>
      <c r="L1125" s="2" t="s">
        <v>33</v>
      </c>
      <c r="M1125" t="s">
        <v>46</v>
      </c>
      <c r="N1125" s="31">
        <v>38</v>
      </c>
      <c r="O1125">
        <f>16.5-9.5</f>
        <v>7</v>
      </c>
      <c r="P1125" s="31" t="s">
        <v>30</v>
      </c>
      <c r="R1125" s="31" t="s">
        <v>89</v>
      </c>
      <c r="S1125" s="44"/>
      <c r="T1125" s="44"/>
      <c r="U1125" s="3"/>
      <c r="V1125" s="54"/>
      <c r="W1125" t="s">
        <v>2331</v>
      </c>
      <c r="X1125" t="s">
        <v>2332</v>
      </c>
      <c r="Y1125" s="1" t="s">
        <v>93</v>
      </c>
      <c r="AL1125">
        <f t="shared" si="89"/>
        <v>0</v>
      </c>
      <c r="AM1125">
        <f t="shared" si="90"/>
        <v>0</v>
      </c>
      <c r="AN1125">
        <f t="shared" si="91"/>
        <v>0</v>
      </c>
    </row>
    <row r="1126" spans="1:40" x14ac:dyDescent="0.2">
      <c r="A1126">
        <v>159</v>
      </c>
      <c r="B1126" t="s">
        <v>2953</v>
      </c>
      <c r="C1126">
        <v>0</v>
      </c>
      <c r="D1126">
        <v>0</v>
      </c>
      <c r="E1126">
        <v>0</v>
      </c>
      <c r="I1126" s="2">
        <v>4</v>
      </c>
      <c r="J1126" s="2" t="s">
        <v>1155</v>
      </c>
      <c r="K1126">
        <v>2020</v>
      </c>
      <c r="L1126" s="2" t="s">
        <v>33</v>
      </c>
      <c r="M1126" t="s">
        <v>46</v>
      </c>
      <c r="N1126" s="31">
        <v>75</v>
      </c>
      <c r="O1126">
        <f>90.5-16.5</f>
        <v>74</v>
      </c>
      <c r="P1126" s="31" t="s">
        <v>30</v>
      </c>
      <c r="Q1126" t="s">
        <v>42</v>
      </c>
      <c r="R1126" s="31" t="s">
        <v>39</v>
      </c>
      <c r="S1126" s="44"/>
      <c r="T1126" s="44"/>
      <c r="U1126" s="3"/>
      <c r="V1126" s="54"/>
      <c r="W1126" t="s">
        <v>2331</v>
      </c>
      <c r="X1126" t="s">
        <v>2332</v>
      </c>
      <c r="Y1126" s="1" t="s">
        <v>93</v>
      </c>
      <c r="Z1126" t="s">
        <v>3120</v>
      </c>
      <c r="AL1126">
        <f t="shared" si="89"/>
        <v>0</v>
      </c>
      <c r="AM1126">
        <f t="shared" si="90"/>
        <v>0</v>
      </c>
      <c r="AN1126">
        <f t="shared" si="91"/>
        <v>0</v>
      </c>
    </row>
    <row r="1127" spans="1:40" x14ac:dyDescent="0.2">
      <c r="A1127">
        <v>159</v>
      </c>
      <c r="B1127" t="s">
        <v>2954</v>
      </c>
      <c r="C1127">
        <v>0</v>
      </c>
      <c r="D1127">
        <v>0</v>
      </c>
      <c r="E1127">
        <v>0</v>
      </c>
      <c r="I1127" s="2">
        <v>4</v>
      </c>
      <c r="J1127" s="2" t="s">
        <v>1155</v>
      </c>
      <c r="K1127">
        <v>2020</v>
      </c>
      <c r="L1127" s="2" t="s">
        <v>33</v>
      </c>
      <c r="M1127" t="s">
        <v>46</v>
      </c>
      <c r="N1127" s="31">
        <v>85</v>
      </c>
      <c r="O1127">
        <f>109-12</f>
        <v>97</v>
      </c>
      <c r="P1127" s="31" t="s">
        <v>30</v>
      </c>
      <c r="Q1127" t="s">
        <v>42</v>
      </c>
      <c r="R1127" s="31" t="s">
        <v>39</v>
      </c>
      <c r="S1127" s="44"/>
      <c r="T1127" s="44"/>
      <c r="U1127" s="3"/>
      <c r="V1127" s="54"/>
      <c r="W1127" t="s">
        <v>2331</v>
      </c>
      <c r="X1127" t="s">
        <v>2332</v>
      </c>
      <c r="Y1127" s="1" t="s">
        <v>249</v>
      </c>
      <c r="AL1127">
        <f t="shared" si="89"/>
        <v>0</v>
      </c>
      <c r="AM1127">
        <f t="shared" si="90"/>
        <v>0</v>
      </c>
      <c r="AN1127">
        <f t="shared" si="91"/>
        <v>0</v>
      </c>
    </row>
    <row r="1128" spans="1:40" x14ac:dyDescent="0.2">
      <c r="A1128">
        <v>159</v>
      </c>
      <c r="B1128" t="s">
        <v>2955</v>
      </c>
      <c r="C1128">
        <v>0</v>
      </c>
      <c r="D1128">
        <v>0</v>
      </c>
      <c r="E1128">
        <v>0</v>
      </c>
      <c r="I1128" s="2">
        <v>4</v>
      </c>
      <c r="J1128" s="2" t="s">
        <v>1155</v>
      </c>
      <c r="K1128">
        <v>2020</v>
      </c>
      <c r="L1128" s="2" t="s">
        <v>32</v>
      </c>
      <c r="M1128" t="s">
        <v>46</v>
      </c>
      <c r="N1128" s="31">
        <v>23.5</v>
      </c>
      <c r="O1128">
        <v>1.5</v>
      </c>
      <c r="P1128" s="31" t="s">
        <v>30</v>
      </c>
      <c r="R1128" s="53" t="s">
        <v>39</v>
      </c>
      <c r="S1128" s="44"/>
      <c r="T1128" s="44"/>
      <c r="U1128" s="3"/>
      <c r="V1128" s="54"/>
      <c r="W1128" t="s">
        <v>2331</v>
      </c>
      <c r="X1128" t="s">
        <v>2332</v>
      </c>
      <c r="Y1128" s="1" t="s">
        <v>1097</v>
      </c>
      <c r="AL1128">
        <f t="shared" si="89"/>
        <v>0</v>
      </c>
      <c r="AM1128">
        <f t="shared" si="90"/>
        <v>0</v>
      </c>
      <c r="AN1128">
        <f t="shared" si="91"/>
        <v>0</v>
      </c>
    </row>
    <row r="1129" spans="1:40" x14ac:dyDescent="0.2">
      <c r="A1129">
        <v>159</v>
      </c>
      <c r="B1129" t="s">
        <v>2956</v>
      </c>
      <c r="C1129">
        <v>0</v>
      </c>
      <c r="D1129">
        <v>0</v>
      </c>
      <c r="E1129">
        <v>1.9569912925362587E-2</v>
      </c>
      <c r="I1129" s="2">
        <v>4</v>
      </c>
      <c r="J1129" s="2" t="s">
        <v>1155</v>
      </c>
      <c r="K1129">
        <v>2020</v>
      </c>
      <c r="L1129" s="2" t="s">
        <v>33</v>
      </c>
      <c r="M1129" t="s">
        <v>46</v>
      </c>
      <c r="N1129" s="31">
        <v>39</v>
      </c>
      <c r="O1129">
        <f>12.5-7</f>
        <v>5.5</v>
      </c>
      <c r="P1129" s="31" t="s">
        <v>30</v>
      </c>
      <c r="R1129" s="31" t="s">
        <v>89</v>
      </c>
      <c r="S1129" s="4">
        <v>34.69455</v>
      </c>
      <c r="T1129" s="4">
        <v>-120.04164</v>
      </c>
      <c r="U1129">
        <v>1091</v>
      </c>
      <c r="V1129" s="6">
        <f t="shared" ref="V1127:V1138" si="92">U1129*0.3048</f>
        <v>332.53680000000003</v>
      </c>
      <c r="W1129" t="s">
        <v>2331</v>
      </c>
      <c r="X1129" t="s">
        <v>2332</v>
      </c>
      <c r="Y1129" s="1" t="s">
        <v>249</v>
      </c>
      <c r="AL1129">
        <f t="shared" si="89"/>
        <v>0</v>
      </c>
      <c r="AM1129">
        <f t="shared" si="90"/>
        <v>0</v>
      </c>
      <c r="AN1129">
        <f t="shared" si="91"/>
        <v>1.565593034029007</v>
      </c>
    </row>
    <row r="1130" spans="1:40" x14ac:dyDescent="0.2">
      <c r="A1130">
        <v>159</v>
      </c>
      <c r="B1130" t="s">
        <v>2957</v>
      </c>
      <c r="C1130">
        <v>0</v>
      </c>
      <c r="D1130">
        <v>0</v>
      </c>
      <c r="E1130">
        <v>0</v>
      </c>
      <c r="I1130" s="2">
        <v>4</v>
      </c>
      <c r="J1130" s="2" t="s">
        <v>1155</v>
      </c>
      <c r="K1130">
        <v>2020</v>
      </c>
      <c r="L1130" s="2" t="s">
        <v>32</v>
      </c>
      <c r="M1130" t="s">
        <v>46</v>
      </c>
      <c r="N1130" s="31">
        <v>23.5</v>
      </c>
      <c r="O1130">
        <v>1</v>
      </c>
      <c r="P1130" s="31" t="s">
        <v>30</v>
      </c>
      <c r="R1130" s="53" t="s">
        <v>39</v>
      </c>
      <c r="S1130" s="4">
        <v>34.69455</v>
      </c>
      <c r="T1130" s="4">
        <v>-120.04164</v>
      </c>
      <c r="U1130">
        <v>1091</v>
      </c>
      <c r="V1130" s="6">
        <f t="shared" si="92"/>
        <v>332.53680000000003</v>
      </c>
      <c r="W1130" t="s">
        <v>2331</v>
      </c>
      <c r="X1130" t="s">
        <v>2332</v>
      </c>
      <c r="Y1130" s="1" t="s">
        <v>878</v>
      </c>
      <c r="AL1130">
        <f t="shared" si="89"/>
        <v>0</v>
      </c>
      <c r="AM1130">
        <f t="shared" si="90"/>
        <v>0</v>
      </c>
      <c r="AN1130">
        <f t="shared" si="91"/>
        <v>0</v>
      </c>
    </row>
    <row r="1131" spans="1:40" x14ac:dyDescent="0.2">
      <c r="A1131">
        <v>159</v>
      </c>
      <c r="B1131" t="s">
        <v>2958</v>
      </c>
      <c r="C1131">
        <v>0</v>
      </c>
      <c r="D1131">
        <v>0</v>
      </c>
      <c r="E1131">
        <v>0</v>
      </c>
      <c r="I1131" s="2">
        <v>4</v>
      </c>
      <c r="J1131" s="2" t="s">
        <v>1155</v>
      </c>
      <c r="K1131">
        <v>2020</v>
      </c>
      <c r="L1131" s="2" t="s">
        <v>33</v>
      </c>
      <c r="M1131" t="s">
        <v>46</v>
      </c>
      <c r="N1131" s="31">
        <v>37.5</v>
      </c>
      <c r="O1131">
        <f>13.5-8.5</f>
        <v>5</v>
      </c>
      <c r="P1131" s="31" t="s">
        <v>30</v>
      </c>
      <c r="R1131" s="31" t="s">
        <v>89</v>
      </c>
      <c r="S1131" s="4">
        <v>34.69464</v>
      </c>
      <c r="T1131" s="4">
        <v>-120.04170000000001</v>
      </c>
      <c r="U1131">
        <v>1092</v>
      </c>
      <c r="V1131" s="6">
        <f t="shared" si="92"/>
        <v>332.84160000000003</v>
      </c>
      <c r="W1131" t="s">
        <v>2331</v>
      </c>
      <c r="X1131" t="s">
        <v>2332</v>
      </c>
      <c r="Y1131" s="1" t="s">
        <v>1108</v>
      </c>
      <c r="AL1131">
        <f t="shared" si="89"/>
        <v>0</v>
      </c>
      <c r="AM1131">
        <f t="shared" si="90"/>
        <v>0</v>
      </c>
      <c r="AN1131">
        <f t="shared" si="91"/>
        <v>0</v>
      </c>
    </row>
    <row r="1132" spans="1:40" x14ac:dyDescent="0.2">
      <c r="A1132">
        <v>159</v>
      </c>
      <c r="B1132" t="s">
        <v>2959</v>
      </c>
      <c r="C1132" s="3"/>
      <c r="D1132">
        <v>0</v>
      </c>
      <c r="E1132">
        <v>0</v>
      </c>
      <c r="I1132" s="2">
        <v>4</v>
      </c>
      <c r="J1132" s="2" t="s">
        <v>1155</v>
      </c>
      <c r="K1132">
        <v>2020</v>
      </c>
      <c r="L1132" s="2" t="s">
        <v>33</v>
      </c>
      <c r="M1132" t="s">
        <v>46</v>
      </c>
      <c r="N1132" s="31">
        <v>92</v>
      </c>
      <c r="O1132">
        <f>174-12</f>
        <v>162</v>
      </c>
      <c r="P1132" s="31" t="s">
        <v>30</v>
      </c>
      <c r="Q1132" t="s">
        <v>42</v>
      </c>
      <c r="R1132" s="31" t="s">
        <v>39</v>
      </c>
      <c r="S1132" s="4">
        <v>34.69464</v>
      </c>
      <c r="T1132" s="4">
        <v>-120.04170000000001</v>
      </c>
      <c r="U1132">
        <v>1092</v>
      </c>
      <c r="V1132" s="6">
        <f t="shared" si="92"/>
        <v>332.84160000000003</v>
      </c>
      <c r="W1132" t="s">
        <v>2331</v>
      </c>
      <c r="X1132" t="s">
        <v>2332</v>
      </c>
      <c r="Y1132" s="1" t="s">
        <v>1108</v>
      </c>
      <c r="AL1132">
        <f t="shared" si="89"/>
        <v>0</v>
      </c>
      <c r="AM1132">
        <f t="shared" si="90"/>
        <v>0</v>
      </c>
      <c r="AN1132">
        <f t="shared" si="91"/>
        <v>0</v>
      </c>
    </row>
    <row r="1133" spans="1:40" x14ac:dyDescent="0.2">
      <c r="A1133">
        <v>159</v>
      </c>
      <c r="B1133" t="s">
        <v>2960</v>
      </c>
      <c r="C1133">
        <v>0</v>
      </c>
      <c r="D1133">
        <v>0</v>
      </c>
      <c r="E1133">
        <v>0</v>
      </c>
      <c r="I1133" s="2">
        <v>4</v>
      </c>
      <c r="J1133" s="2" t="s">
        <v>1155</v>
      </c>
      <c r="K1133">
        <v>2020</v>
      </c>
      <c r="L1133" s="2" t="s">
        <v>33</v>
      </c>
      <c r="M1133" t="s">
        <v>46</v>
      </c>
      <c r="N1133" s="31">
        <v>48.5</v>
      </c>
      <c r="O1133">
        <f>31.5-16.5</f>
        <v>15</v>
      </c>
      <c r="P1133" s="31" t="s">
        <v>30</v>
      </c>
      <c r="R1133" s="31" t="s">
        <v>89</v>
      </c>
      <c r="S1133" s="4">
        <v>34.694780000000002</v>
      </c>
      <c r="T1133" s="4">
        <v>-120.04173</v>
      </c>
      <c r="U1133">
        <v>1087</v>
      </c>
      <c r="V1133" s="6">
        <f t="shared" si="92"/>
        <v>331.31760000000003</v>
      </c>
      <c r="W1133" t="s">
        <v>2331</v>
      </c>
      <c r="X1133" t="s">
        <v>2332</v>
      </c>
      <c r="Y1133" s="1" t="s">
        <v>243</v>
      </c>
      <c r="Z1133" t="s">
        <v>3121</v>
      </c>
      <c r="AL1133">
        <f t="shared" si="89"/>
        <v>0</v>
      </c>
      <c r="AM1133">
        <f t="shared" si="90"/>
        <v>0</v>
      </c>
      <c r="AN1133">
        <f t="shared" si="91"/>
        <v>0</v>
      </c>
    </row>
    <row r="1134" spans="1:40" x14ac:dyDescent="0.2">
      <c r="A1134">
        <v>159</v>
      </c>
      <c r="B1134" t="s">
        <v>2961</v>
      </c>
      <c r="C1134">
        <v>0</v>
      </c>
      <c r="D1134">
        <v>0</v>
      </c>
      <c r="E1134">
        <v>0</v>
      </c>
      <c r="I1134" s="2">
        <v>4</v>
      </c>
      <c r="J1134" s="2" t="s">
        <v>1155</v>
      </c>
      <c r="K1134">
        <v>2020</v>
      </c>
      <c r="L1134" s="2" t="s">
        <v>33</v>
      </c>
      <c r="M1134" t="s">
        <v>46</v>
      </c>
      <c r="N1134" s="31">
        <v>66</v>
      </c>
      <c r="O1134">
        <f>70-14.5</f>
        <v>55.5</v>
      </c>
      <c r="P1134" s="31" t="s">
        <v>30</v>
      </c>
      <c r="Q1134" t="s">
        <v>42</v>
      </c>
      <c r="R1134" s="31" t="s">
        <v>39</v>
      </c>
      <c r="S1134" s="4">
        <v>34.694780000000002</v>
      </c>
      <c r="T1134" s="4">
        <v>-120.04173</v>
      </c>
      <c r="U1134">
        <v>1087</v>
      </c>
      <c r="V1134" s="6">
        <f t="shared" si="92"/>
        <v>331.31760000000003</v>
      </c>
      <c r="W1134" t="s">
        <v>2331</v>
      </c>
      <c r="X1134" t="s">
        <v>2332</v>
      </c>
      <c r="Y1134" s="1" t="s">
        <v>346</v>
      </c>
      <c r="AL1134">
        <f t="shared" si="89"/>
        <v>0</v>
      </c>
      <c r="AM1134">
        <f t="shared" si="90"/>
        <v>0</v>
      </c>
      <c r="AN1134">
        <f t="shared" si="91"/>
        <v>0</v>
      </c>
    </row>
    <row r="1135" spans="1:40" x14ac:dyDescent="0.2">
      <c r="A1135">
        <v>159</v>
      </c>
      <c r="B1135" t="s">
        <v>2962</v>
      </c>
      <c r="C1135">
        <v>0</v>
      </c>
      <c r="D1135">
        <v>0</v>
      </c>
      <c r="E1135">
        <v>0</v>
      </c>
      <c r="I1135" s="2">
        <v>4</v>
      </c>
      <c r="J1135" s="2" t="s">
        <v>1155</v>
      </c>
      <c r="K1135">
        <v>2020</v>
      </c>
      <c r="L1135" s="2" t="s">
        <v>33</v>
      </c>
      <c r="M1135" t="s">
        <v>46</v>
      </c>
      <c r="N1135" s="31">
        <v>68.5</v>
      </c>
      <c r="O1135">
        <f>76-34</f>
        <v>42</v>
      </c>
      <c r="P1135" s="31" t="s">
        <v>30</v>
      </c>
      <c r="Q1135" t="s">
        <v>42</v>
      </c>
      <c r="R1135" s="31" t="s">
        <v>39</v>
      </c>
      <c r="S1135" s="4">
        <v>34.694670000000002</v>
      </c>
      <c r="T1135" s="4">
        <v>-120.04178</v>
      </c>
      <c r="U1135">
        <v>1098</v>
      </c>
      <c r="V1135" s="6">
        <f t="shared" si="92"/>
        <v>334.67040000000003</v>
      </c>
      <c r="W1135" t="s">
        <v>2331</v>
      </c>
      <c r="X1135" t="s">
        <v>2332</v>
      </c>
      <c r="Y1135" s="1" t="s">
        <v>254</v>
      </c>
      <c r="Z1135" t="s">
        <v>3122</v>
      </c>
      <c r="AL1135">
        <f t="shared" si="89"/>
        <v>0</v>
      </c>
      <c r="AM1135">
        <f t="shared" si="90"/>
        <v>0</v>
      </c>
      <c r="AN1135">
        <f t="shared" si="91"/>
        <v>0</v>
      </c>
    </row>
    <row r="1136" spans="1:40" x14ac:dyDescent="0.2">
      <c r="A1136">
        <v>159</v>
      </c>
      <c r="B1136" t="s">
        <v>2963</v>
      </c>
      <c r="C1136">
        <v>0</v>
      </c>
      <c r="D1136">
        <v>0</v>
      </c>
      <c r="E1136">
        <v>0</v>
      </c>
      <c r="I1136" s="2">
        <v>4</v>
      </c>
      <c r="J1136" s="2" t="s">
        <v>1155</v>
      </c>
      <c r="K1136">
        <v>2020</v>
      </c>
      <c r="L1136" s="2" t="s">
        <v>33</v>
      </c>
      <c r="M1136" t="s">
        <v>46</v>
      </c>
      <c r="N1136" s="31">
        <v>67.5</v>
      </c>
      <c r="O1136">
        <f>59-12.5</f>
        <v>46.5</v>
      </c>
      <c r="P1136" s="31" t="s">
        <v>30</v>
      </c>
      <c r="Q1136" t="s">
        <v>42</v>
      </c>
      <c r="R1136" s="31" t="s">
        <v>39</v>
      </c>
      <c r="S1136" s="4">
        <v>34.694670000000002</v>
      </c>
      <c r="T1136" s="4">
        <v>-120.04178</v>
      </c>
      <c r="U1136">
        <v>1098</v>
      </c>
      <c r="V1136" s="6">
        <f t="shared" si="92"/>
        <v>334.67040000000003</v>
      </c>
      <c r="W1136" t="s">
        <v>2331</v>
      </c>
      <c r="X1136" t="s">
        <v>2332</v>
      </c>
      <c r="Y1136" s="1" t="s">
        <v>254</v>
      </c>
      <c r="Z1136" t="s">
        <v>3123</v>
      </c>
      <c r="AL1136">
        <f t="shared" si="89"/>
        <v>0</v>
      </c>
      <c r="AM1136">
        <f t="shared" si="90"/>
        <v>0</v>
      </c>
      <c r="AN1136">
        <f t="shared" si="91"/>
        <v>0</v>
      </c>
    </row>
    <row r="1137" spans="1:40" x14ac:dyDescent="0.2">
      <c r="A1137">
        <v>160</v>
      </c>
      <c r="B1137" t="s">
        <v>2964</v>
      </c>
      <c r="C1137">
        <v>0</v>
      </c>
      <c r="D1137">
        <v>0</v>
      </c>
      <c r="E1137">
        <v>0</v>
      </c>
      <c r="I1137" s="2">
        <v>5</v>
      </c>
      <c r="J1137" s="2" t="s">
        <v>1155</v>
      </c>
      <c r="K1137">
        <v>2020</v>
      </c>
      <c r="L1137" s="2" t="s">
        <v>33</v>
      </c>
      <c r="M1137" t="s">
        <v>46</v>
      </c>
      <c r="N1137" s="31">
        <v>61.5</v>
      </c>
      <c r="O1137">
        <f>49.5-21</f>
        <v>28.5</v>
      </c>
      <c r="P1137" s="31" t="s">
        <v>30</v>
      </c>
      <c r="Q1137" t="s">
        <v>42</v>
      </c>
      <c r="R1137" s="31" t="s">
        <v>39</v>
      </c>
      <c r="S1137" s="4">
        <v>34.693080000000002</v>
      </c>
      <c r="T1137" s="4">
        <v>-120.04277</v>
      </c>
      <c r="U1137">
        <v>1117</v>
      </c>
      <c r="V1137" s="6">
        <f t="shared" si="92"/>
        <v>340.46160000000003</v>
      </c>
      <c r="W1137" s="2" t="s">
        <v>3115</v>
      </c>
      <c r="X1137" s="2" t="s">
        <v>3117</v>
      </c>
      <c r="Y1137" s="2" t="s">
        <v>328</v>
      </c>
      <c r="AL1137" t="e">
        <f t="shared" ref="AL1137:AL1162" si="93">Y1137*80</f>
        <v>#VALUE!</v>
      </c>
      <c r="AM1137" t="e">
        <f t="shared" ref="AM1137:AM1157" si="94">X1137*80</f>
        <v>#VALUE!</v>
      </c>
      <c r="AN1137">
        <f t="shared" si="91"/>
        <v>0</v>
      </c>
    </row>
    <row r="1138" spans="1:40" x14ac:dyDescent="0.2">
      <c r="A1138">
        <v>160</v>
      </c>
      <c r="B1138" t="s">
        <v>2965</v>
      </c>
      <c r="C1138">
        <v>0</v>
      </c>
      <c r="D1138">
        <v>0</v>
      </c>
      <c r="E1138">
        <v>0</v>
      </c>
      <c r="I1138" s="2">
        <v>5</v>
      </c>
      <c r="J1138" s="2" t="s">
        <v>1155</v>
      </c>
      <c r="K1138">
        <v>2020</v>
      </c>
      <c r="L1138" s="2" t="s">
        <v>33</v>
      </c>
      <c r="M1138" t="s">
        <v>46</v>
      </c>
      <c r="N1138" s="31">
        <v>53.5</v>
      </c>
      <c r="O1138">
        <f>36-16.5</f>
        <v>19.5</v>
      </c>
      <c r="P1138" s="31" t="s">
        <v>30</v>
      </c>
      <c r="Q1138" s="2" t="s">
        <v>42</v>
      </c>
      <c r="R1138" s="52" t="s">
        <v>39</v>
      </c>
      <c r="S1138" s="4">
        <v>34.693080000000002</v>
      </c>
      <c r="T1138" s="4">
        <v>-120.04277</v>
      </c>
      <c r="U1138">
        <v>1117</v>
      </c>
      <c r="V1138" s="6">
        <f t="shared" si="92"/>
        <v>340.46160000000003</v>
      </c>
      <c r="W1138" s="2" t="s">
        <v>3115</v>
      </c>
      <c r="X1138" s="2" t="s">
        <v>3117</v>
      </c>
      <c r="Y1138" s="2" t="s">
        <v>159</v>
      </c>
      <c r="AA1138" t="s">
        <v>3270</v>
      </c>
      <c r="AL1138" t="e">
        <f t="shared" si="93"/>
        <v>#VALUE!</v>
      </c>
      <c r="AM1138" t="e">
        <f t="shared" si="94"/>
        <v>#VALUE!</v>
      </c>
      <c r="AN1138">
        <f t="shared" si="91"/>
        <v>0</v>
      </c>
    </row>
    <row r="1139" spans="1:40" x14ac:dyDescent="0.2">
      <c r="A1139">
        <v>161</v>
      </c>
      <c r="B1139" t="s">
        <v>2966</v>
      </c>
      <c r="C1139">
        <v>0</v>
      </c>
      <c r="D1139">
        <v>0</v>
      </c>
      <c r="E1139">
        <v>0</v>
      </c>
      <c r="I1139" s="2">
        <v>5</v>
      </c>
      <c r="J1139" s="2" t="s">
        <v>1155</v>
      </c>
      <c r="K1139">
        <v>2020</v>
      </c>
      <c r="L1139" s="2" t="s">
        <v>32</v>
      </c>
      <c r="M1139" t="s">
        <v>46</v>
      </c>
      <c r="N1139" s="31">
        <v>26.5</v>
      </c>
      <c r="O1139">
        <v>1.5</v>
      </c>
      <c r="P1139" s="31" t="s">
        <v>30</v>
      </c>
      <c r="R1139" s="53" t="s">
        <v>39</v>
      </c>
      <c r="S1139" s="29">
        <v>34.69332</v>
      </c>
      <c r="T1139" s="29">
        <v>-120.03913</v>
      </c>
      <c r="U1139" s="13">
        <v>1079</v>
      </c>
      <c r="V1139" s="6">
        <f t="shared" ref="V1139:V1155" si="95">U1139*0.3048</f>
        <v>328.87920000000003</v>
      </c>
      <c r="W1139" s="2" t="s">
        <v>2346</v>
      </c>
      <c r="X1139" s="2" t="s">
        <v>2330</v>
      </c>
      <c r="Y1139" s="2" t="s">
        <v>159</v>
      </c>
      <c r="AL1139" t="e">
        <f t="shared" si="93"/>
        <v>#VALUE!</v>
      </c>
      <c r="AM1139" t="e">
        <f t="shared" si="94"/>
        <v>#VALUE!</v>
      </c>
      <c r="AN1139">
        <f t="shared" si="91"/>
        <v>0</v>
      </c>
    </row>
    <row r="1140" spans="1:40" x14ac:dyDescent="0.2">
      <c r="A1140">
        <v>160</v>
      </c>
      <c r="B1140" t="s">
        <v>2967</v>
      </c>
      <c r="C1140">
        <v>0</v>
      </c>
      <c r="D1140">
        <v>0</v>
      </c>
      <c r="E1140">
        <v>0</v>
      </c>
      <c r="I1140" s="2">
        <v>5</v>
      </c>
      <c r="J1140" s="2" t="s">
        <v>1155</v>
      </c>
      <c r="K1140">
        <v>2020</v>
      </c>
      <c r="L1140" s="2" t="s">
        <v>33</v>
      </c>
      <c r="M1140" t="s">
        <v>46</v>
      </c>
      <c r="N1140" s="31">
        <v>59.5</v>
      </c>
      <c r="O1140">
        <f>46-19</f>
        <v>27</v>
      </c>
      <c r="P1140" s="31" t="s">
        <v>30</v>
      </c>
      <c r="Q1140" t="s">
        <v>42</v>
      </c>
      <c r="R1140" s="31" t="s">
        <v>39</v>
      </c>
      <c r="S1140" s="4">
        <v>34.693080000000002</v>
      </c>
      <c r="T1140" s="4">
        <v>-120.04277</v>
      </c>
      <c r="U1140">
        <v>1117</v>
      </c>
      <c r="V1140" s="6">
        <f t="shared" si="95"/>
        <v>340.46160000000003</v>
      </c>
      <c r="W1140" s="2" t="s">
        <v>3115</v>
      </c>
      <c r="X1140" s="2" t="s">
        <v>3117</v>
      </c>
      <c r="Y1140" s="2" t="s">
        <v>440</v>
      </c>
      <c r="AL1140" t="e">
        <f t="shared" si="93"/>
        <v>#VALUE!</v>
      </c>
      <c r="AM1140" t="e">
        <f t="shared" si="94"/>
        <v>#VALUE!</v>
      </c>
      <c r="AN1140">
        <f t="shared" si="91"/>
        <v>0</v>
      </c>
    </row>
    <row r="1141" spans="1:40" x14ac:dyDescent="0.2">
      <c r="A1141">
        <v>161</v>
      </c>
      <c r="B1141" t="s">
        <v>2968</v>
      </c>
      <c r="C1141">
        <v>0</v>
      </c>
      <c r="D1141">
        <v>0</v>
      </c>
      <c r="E1141">
        <v>0</v>
      </c>
      <c r="I1141" s="2">
        <v>5</v>
      </c>
      <c r="J1141" s="2" t="s">
        <v>1155</v>
      </c>
      <c r="K1141">
        <v>2020</v>
      </c>
      <c r="L1141" s="2" t="s">
        <v>32</v>
      </c>
      <c r="M1141" t="s">
        <v>46</v>
      </c>
      <c r="N1141" s="31">
        <v>24.5</v>
      </c>
      <c r="O1141">
        <v>2</v>
      </c>
      <c r="P1141" s="31" t="s">
        <v>30</v>
      </c>
      <c r="Q1141" t="s">
        <v>42</v>
      </c>
      <c r="R1141" s="31" t="s">
        <v>39</v>
      </c>
      <c r="S1141" s="29">
        <v>34.69332</v>
      </c>
      <c r="T1141" s="29">
        <v>-120.03913</v>
      </c>
      <c r="U1141" s="13">
        <v>1079</v>
      </c>
      <c r="V1141" s="6">
        <f t="shared" si="95"/>
        <v>328.87920000000003</v>
      </c>
      <c r="W1141" s="2" t="s">
        <v>2346</v>
      </c>
      <c r="X1141" s="2" t="s">
        <v>2330</v>
      </c>
      <c r="Y1141" s="2" t="s">
        <v>218</v>
      </c>
      <c r="AL1141" t="e">
        <f t="shared" si="93"/>
        <v>#VALUE!</v>
      </c>
      <c r="AM1141" t="e">
        <f t="shared" si="94"/>
        <v>#VALUE!</v>
      </c>
      <c r="AN1141">
        <f t="shared" si="91"/>
        <v>0</v>
      </c>
    </row>
    <row r="1142" spans="1:40" x14ac:dyDescent="0.2">
      <c r="A1142">
        <v>160</v>
      </c>
      <c r="B1142" t="s">
        <v>2969</v>
      </c>
      <c r="C1142">
        <v>0</v>
      </c>
      <c r="D1142">
        <v>0</v>
      </c>
      <c r="E1142">
        <v>0</v>
      </c>
      <c r="I1142" s="2">
        <v>5</v>
      </c>
      <c r="J1142" s="2" t="s">
        <v>1155</v>
      </c>
      <c r="K1142">
        <v>2020</v>
      </c>
      <c r="L1142" s="2" t="s">
        <v>33</v>
      </c>
      <c r="M1142" t="s">
        <v>46</v>
      </c>
      <c r="N1142" s="31">
        <v>61.5</v>
      </c>
      <c r="O1142">
        <f>42.5-14</f>
        <v>28.5</v>
      </c>
      <c r="P1142" s="31" t="s">
        <v>30</v>
      </c>
      <c r="Q1142" t="s">
        <v>42</v>
      </c>
      <c r="R1142" s="31" t="s">
        <v>39</v>
      </c>
      <c r="S1142" s="4">
        <v>34.693080000000002</v>
      </c>
      <c r="T1142" s="4">
        <v>-120.04277</v>
      </c>
      <c r="U1142">
        <v>1117</v>
      </c>
      <c r="V1142" s="6">
        <f t="shared" si="95"/>
        <v>340.46160000000003</v>
      </c>
      <c r="W1142" s="2" t="s">
        <v>3115</v>
      </c>
      <c r="X1142" s="2" t="s">
        <v>3117</v>
      </c>
      <c r="Y1142" s="2" t="s">
        <v>221</v>
      </c>
      <c r="Z1142" s="2" t="s">
        <v>3124</v>
      </c>
      <c r="AL1142" t="e">
        <f t="shared" si="93"/>
        <v>#VALUE!</v>
      </c>
      <c r="AM1142" t="e">
        <f t="shared" si="94"/>
        <v>#VALUE!</v>
      </c>
      <c r="AN1142">
        <f t="shared" si="91"/>
        <v>0</v>
      </c>
    </row>
    <row r="1143" spans="1:40" x14ac:dyDescent="0.2">
      <c r="A1143">
        <v>161</v>
      </c>
      <c r="B1143" t="s">
        <v>2970</v>
      </c>
      <c r="C1143">
        <v>0</v>
      </c>
      <c r="D1143">
        <v>0</v>
      </c>
      <c r="E1143">
        <v>0</v>
      </c>
      <c r="I1143" s="2">
        <v>5</v>
      </c>
      <c r="J1143" s="2" t="s">
        <v>1155</v>
      </c>
      <c r="K1143">
        <v>2020</v>
      </c>
      <c r="L1143" s="2" t="s">
        <v>32</v>
      </c>
      <c r="M1143" t="s">
        <v>46</v>
      </c>
      <c r="N1143" s="31">
        <v>32</v>
      </c>
      <c r="O1143">
        <v>3</v>
      </c>
      <c r="P1143" s="31" t="s">
        <v>30</v>
      </c>
      <c r="Q1143" t="s">
        <v>38</v>
      </c>
      <c r="R1143" s="31" t="s">
        <v>39</v>
      </c>
      <c r="S1143" s="29">
        <v>34.69332</v>
      </c>
      <c r="T1143" s="29">
        <v>-120.03913</v>
      </c>
      <c r="U1143" s="13">
        <v>1079</v>
      </c>
      <c r="V1143" s="6">
        <f t="shared" si="95"/>
        <v>328.87920000000003</v>
      </c>
      <c r="W1143" s="2" t="s">
        <v>2346</v>
      </c>
      <c r="X1143" s="2" t="s">
        <v>2330</v>
      </c>
      <c r="Y1143" s="2" t="s">
        <v>243</v>
      </c>
      <c r="AL1143" t="e">
        <f t="shared" si="93"/>
        <v>#VALUE!</v>
      </c>
      <c r="AM1143" t="e">
        <f t="shared" si="94"/>
        <v>#VALUE!</v>
      </c>
      <c r="AN1143">
        <f t="shared" si="91"/>
        <v>0</v>
      </c>
    </row>
    <row r="1144" spans="1:40" x14ac:dyDescent="0.2">
      <c r="A1144">
        <v>161</v>
      </c>
      <c r="B1144" t="s">
        <v>2971</v>
      </c>
      <c r="C1144">
        <v>0</v>
      </c>
      <c r="D1144">
        <v>0</v>
      </c>
      <c r="E1144">
        <v>0</v>
      </c>
      <c r="I1144" s="2">
        <v>5</v>
      </c>
      <c r="J1144" s="2" t="s">
        <v>1155</v>
      </c>
      <c r="K1144">
        <v>2020</v>
      </c>
      <c r="L1144" s="2" t="s">
        <v>33</v>
      </c>
      <c r="M1144" t="s">
        <v>46</v>
      </c>
      <c r="N1144" s="31">
        <v>66</v>
      </c>
      <c r="O1144">
        <f>93.5-49</f>
        <v>44.5</v>
      </c>
      <c r="P1144" s="31" t="s">
        <v>30</v>
      </c>
      <c r="Q1144" t="s">
        <v>42</v>
      </c>
      <c r="R1144" s="31" t="s">
        <v>39</v>
      </c>
      <c r="S1144" s="29">
        <v>34.69332</v>
      </c>
      <c r="T1144" s="29">
        <v>-120.03913</v>
      </c>
      <c r="U1144" s="13">
        <v>1079</v>
      </c>
      <c r="V1144" s="6">
        <f t="shared" si="95"/>
        <v>328.87920000000003</v>
      </c>
      <c r="W1144" s="2" t="s">
        <v>2346</v>
      </c>
      <c r="X1144" s="2" t="s">
        <v>2330</v>
      </c>
      <c r="Y1144" s="2" t="s">
        <v>447</v>
      </c>
      <c r="AL1144" t="e">
        <f t="shared" si="93"/>
        <v>#VALUE!</v>
      </c>
      <c r="AM1144" t="e">
        <f t="shared" si="94"/>
        <v>#VALUE!</v>
      </c>
      <c r="AN1144">
        <f t="shared" si="91"/>
        <v>0</v>
      </c>
    </row>
    <row r="1145" spans="1:40" x14ac:dyDescent="0.2">
      <c r="A1145">
        <v>160</v>
      </c>
      <c r="B1145" t="s">
        <v>2972</v>
      </c>
      <c r="C1145">
        <v>0</v>
      </c>
      <c r="D1145">
        <v>0</v>
      </c>
      <c r="E1145">
        <v>0</v>
      </c>
      <c r="I1145" s="2">
        <v>5</v>
      </c>
      <c r="J1145" s="2" t="s">
        <v>1155</v>
      </c>
      <c r="K1145">
        <v>2020</v>
      </c>
      <c r="L1145" s="2" t="s">
        <v>28</v>
      </c>
      <c r="M1145" t="s">
        <v>46</v>
      </c>
      <c r="N1145" s="31">
        <v>33</v>
      </c>
      <c r="O1145">
        <f>9.5-5</f>
        <v>4.5</v>
      </c>
      <c r="P1145" s="31" t="s">
        <v>30</v>
      </c>
      <c r="Q1145" s="2" t="s">
        <v>42</v>
      </c>
      <c r="R1145" s="31" t="s">
        <v>39</v>
      </c>
      <c r="S1145" s="4">
        <v>34.693280000000001</v>
      </c>
      <c r="T1145" s="4">
        <v>-120.04285</v>
      </c>
      <c r="U1145">
        <v>1118</v>
      </c>
      <c r="V1145" s="6">
        <f t="shared" si="95"/>
        <v>340.76640000000003</v>
      </c>
      <c r="W1145" s="2" t="s">
        <v>3116</v>
      </c>
      <c r="X1145" s="2" t="s">
        <v>3117</v>
      </c>
      <c r="Y1145" s="2" t="s">
        <v>249</v>
      </c>
      <c r="Z1145" s="2" t="s">
        <v>3125</v>
      </c>
      <c r="AL1145" t="e">
        <f t="shared" si="93"/>
        <v>#VALUE!</v>
      </c>
      <c r="AM1145" t="e">
        <f t="shared" si="94"/>
        <v>#VALUE!</v>
      </c>
      <c r="AN1145">
        <f t="shared" si="91"/>
        <v>0</v>
      </c>
    </row>
    <row r="1146" spans="1:40" x14ac:dyDescent="0.2">
      <c r="A1146">
        <v>160</v>
      </c>
      <c r="B1146" t="s">
        <v>2973</v>
      </c>
      <c r="C1146">
        <v>0</v>
      </c>
      <c r="D1146">
        <v>0</v>
      </c>
      <c r="E1146">
        <v>0</v>
      </c>
      <c r="I1146" s="2">
        <v>5</v>
      </c>
      <c r="J1146" s="2" t="s">
        <v>1155</v>
      </c>
      <c r="K1146">
        <v>2020</v>
      </c>
      <c r="L1146" s="2" t="s">
        <v>32</v>
      </c>
      <c r="M1146" t="s">
        <v>46</v>
      </c>
      <c r="N1146" s="31">
        <v>39</v>
      </c>
      <c r="O1146">
        <f>13-7</f>
        <v>6</v>
      </c>
      <c r="P1146" s="31" t="s">
        <v>30</v>
      </c>
      <c r="Q1146" t="s">
        <v>42</v>
      </c>
      <c r="R1146" s="31" t="s">
        <v>39</v>
      </c>
      <c r="S1146" s="4">
        <v>34.693280000000001</v>
      </c>
      <c r="T1146" s="4">
        <v>-120.04285</v>
      </c>
      <c r="U1146">
        <v>1118</v>
      </c>
      <c r="V1146" s="6">
        <f t="shared" si="95"/>
        <v>340.76640000000003</v>
      </c>
      <c r="W1146" s="2" t="s">
        <v>3116</v>
      </c>
      <c r="X1146" s="2" t="s">
        <v>3117</v>
      </c>
      <c r="Y1146" s="2" t="s">
        <v>1110</v>
      </c>
      <c r="AL1146" t="e">
        <f t="shared" si="93"/>
        <v>#VALUE!</v>
      </c>
      <c r="AM1146" t="e">
        <f t="shared" si="94"/>
        <v>#VALUE!</v>
      </c>
      <c r="AN1146">
        <f t="shared" si="91"/>
        <v>0</v>
      </c>
    </row>
    <row r="1147" spans="1:40" x14ac:dyDescent="0.2">
      <c r="A1147">
        <v>160</v>
      </c>
      <c r="B1147" t="s">
        <v>2974</v>
      </c>
      <c r="C1147">
        <v>0</v>
      </c>
      <c r="D1147">
        <v>0</v>
      </c>
      <c r="E1147">
        <v>0</v>
      </c>
      <c r="I1147" s="2">
        <v>5</v>
      </c>
      <c r="J1147" s="2" t="s">
        <v>1155</v>
      </c>
      <c r="K1147">
        <v>2020</v>
      </c>
      <c r="L1147" s="2" t="s">
        <v>33</v>
      </c>
      <c r="M1147" t="s">
        <v>46</v>
      </c>
      <c r="N1147" s="31">
        <v>72</v>
      </c>
      <c r="O1147">
        <f>50-11.5</f>
        <v>38.5</v>
      </c>
      <c r="P1147" s="31" t="s">
        <v>30</v>
      </c>
      <c r="Q1147" t="s">
        <v>42</v>
      </c>
      <c r="R1147" s="31" t="s">
        <v>39</v>
      </c>
      <c r="S1147" s="4">
        <v>34.693420000000003</v>
      </c>
      <c r="T1147" s="4">
        <v>-120.0425</v>
      </c>
      <c r="U1147">
        <v>1112</v>
      </c>
      <c r="V1147" s="6">
        <f t="shared" si="95"/>
        <v>338.93760000000003</v>
      </c>
      <c r="W1147" s="2" t="s">
        <v>2331</v>
      </c>
      <c r="X1147" s="2" t="s">
        <v>3118</v>
      </c>
      <c r="Y1147" s="2" t="s">
        <v>56</v>
      </c>
      <c r="AL1147" t="e">
        <f t="shared" si="93"/>
        <v>#VALUE!</v>
      </c>
      <c r="AM1147" t="e">
        <f t="shared" si="94"/>
        <v>#VALUE!</v>
      </c>
      <c r="AN1147">
        <f t="shared" si="91"/>
        <v>0</v>
      </c>
    </row>
    <row r="1148" spans="1:40" s="11" customFormat="1" x14ac:dyDescent="0.2">
      <c r="A1148" s="11">
        <v>161</v>
      </c>
      <c r="B1148" s="11" t="s">
        <v>2975</v>
      </c>
      <c r="C1148">
        <v>0</v>
      </c>
      <c r="D1148">
        <v>0</v>
      </c>
      <c r="E1148">
        <v>0</v>
      </c>
      <c r="I1148" s="11">
        <v>5</v>
      </c>
      <c r="J1148" s="11" t="s">
        <v>1155</v>
      </c>
      <c r="K1148" s="11">
        <v>2020</v>
      </c>
      <c r="L1148" s="11" t="s">
        <v>32</v>
      </c>
      <c r="M1148" s="11" t="s">
        <v>46</v>
      </c>
      <c r="N1148" s="32">
        <v>33.5</v>
      </c>
      <c r="O1148" s="11">
        <f>35.5-32</f>
        <v>3.5</v>
      </c>
      <c r="P1148" s="32" t="s">
        <v>41</v>
      </c>
      <c r="Q1148" s="11" t="s">
        <v>38</v>
      </c>
      <c r="R1148" s="11" t="s">
        <v>39</v>
      </c>
      <c r="S1148" s="29">
        <v>34.69332</v>
      </c>
      <c r="T1148" s="29">
        <v>-120.03913</v>
      </c>
      <c r="U1148" s="13">
        <v>1079</v>
      </c>
      <c r="V1148" s="6">
        <f t="shared" si="95"/>
        <v>328.87920000000003</v>
      </c>
      <c r="W1148" s="11" t="s">
        <v>2346</v>
      </c>
      <c r="X1148" s="11" t="s">
        <v>2330</v>
      </c>
      <c r="Y1148" s="11" t="s">
        <v>1098</v>
      </c>
      <c r="Z1148" s="11" t="s">
        <v>3126</v>
      </c>
      <c r="AJ1148" s="42"/>
      <c r="AL1148" s="11" t="e">
        <f t="shared" si="93"/>
        <v>#VALUE!</v>
      </c>
      <c r="AM1148" s="11" t="e">
        <f t="shared" si="94"/>
        <v>#VALUE!</v>
      </c>
      <c r="AN1148" s="11">
        <f t="shared" si="91"/>
        <v>0</v>
      </c>
    </row>
    <row r="1149" spans="1:40" x14ac:dyDescent="0.2">
      <c r="A1149">
        <v>161</v>
      </c>
      <c r="B1149" t="s">
        <v>2976</v>
      </c>
      <c r="C1149">
        <v>0</v>
      </c>
      <c r="D1149">
        <v>0</v>
      </c>
      <c r="E1149">
        <v>0</v>
      </c>
      <c r="I1149" s="2">
        <v>5</v>
      </c>
      <c r="J1149" s="2" t="s">
        <v>1155</v>
      </c>
      <c r="K1149">
        <v>2020</v>
      </c>
      <c r="L1149" s="2" t="s">
        <v>33</v>
      </c>
      <c r="M1149" t="s">
        <v>46</v>
      </c>
      <c r="N1149" s="31">
        <v>62</v>
      </c>
      <c r="O1149">
        <f>46-17</f>
        <v>29</v>
      </c>
      <c r="P1149" s="31" t="s">
        <v>30</v>
      </c>
      <c r="Q1149" t="s">
        <v>42</v>
      </c>
      <c r="R1149" s="31" t="s">
        <v>39</v>
      </c>
      <c r="S1149" s="29">
        <v>34.69332</v>
      </c>
      <c r="T1149" s="29">
        <v>-120.03913</v>
      </c>
      <c r="U1149" s="13">
        <v>1079</v>
      </c>
      <c r="V1149" s="6">
        <f t="shared" si="95"/>
        <v>328.87920000000003</v>
      </c>
      <c r="W1149" s="2" t="s">
        <v>2346</v>
      </c>
      <c r="X1149" s="2" t="s">
        <v>2330</v>
      </c>
      <c r="Y1149" s="2" t="s">
        <v>561</v>
      </c>
      <c r="AL1149" t="e">
        <f t="shared" si="93"/>
        <v>#VALUE!</v>
      </c>
      <c r="AM1149" t="e">
        <f t="shared" si="94"/>
        <v>#VALUE!</v>
      </c>
      <c r="AN1149">
        <f t="shared" si="91"/>
        <v>0</v>
      </c>
    </row>
    <row r="1150" spans="1:40" x14ac:dyDescent="0.2">
      <c r="A1150">
        <v>160</v>
      </c>
      <c r="B1150" t="s">
        <v>2977</v>
      </c>
      <c r="C1150">
        <v>0</v>
      </c>
      <c r="D1150">
        <v>0</v>
      </c>
      <c r="E1150">
        <v>0</v>
      </c>
      <c r="I1150" s="2">
        <v>5</v>
      </c>
      <c r="J1150" s="2" t="s">
        <v>1155</v>
      </c>
      <c r="K1150">
        <v>2020</v>
      </c>
      <c r="L1150" s="2" t="s">
        <v>33</v>
      </c>
      <c r="M1150" t="s">
        <v>46</v>
      </c>
      <c r="N1150" s="31">
        <v>79</v>
      </c>
      <c r="O1150">
        <f>79.5-14</f>
        <v>65.5</v>
      </c>
      <c r="P1150" s="31" t="s">
        <v>30</v>
      </c>
      <c r="Q1150" t="s">
        <v>42</v>
      </c>
      <c r="R1150" s="31" t="s">
        <v>39</v>
      </c>
      <c r="S1150" s="4">
        <v>34.693359999999998</v>
      </c>
      <c r="T1150" s="4">
        <v>-120.04227</v>
      </c>
      <c r="U1150">
        <v>1109</v>
      </c>
      <c r="V1150" s="6">
        <f t="shared" si="95"/>
        <v>338.02320000000003</v>
      </c>
      <c r="W1150" s="2" t="s">
        <v>2331</v>
      </c>
      <c r="X1150" s="2" t="s">
        <v>3118</v>
      </c>
      <c r="Y1150" s="2" t="s">
        <v>561</v>
      </c>
      <c r="AL1150" t="e">
        <f t="shared" si="93"/>
        <v>#VALUE!</v>
      </c>
      <c r="AM1150" t="e">
        <f t="shared" si="94"/>
        <v>#VALUE!</v>
      </c>
      <c r="AN1150">
        <f t="shared" si="91"/>
        <v>0</v>
      </c>
    </row>
    <row r="1151" spans="1:40" x14ac:dyDescent="0.2">
      <c r="A1151">
        <v>161</v>
      </c>
      <c r="B1151" t="s">
        <v>2978</v>
      </c>
      <c r="C1151">
        <v>0</v>
      </c>
      <c r="D1151">
        <v>0</v>
      </c>
      <c r="E1151">
        <v>0</v>
      </c>
      <c r="I1151" s="2">
        <v>5</v>
      </c>
      <c r="J1151" s="2" t="s">
        <v>1155</v>
      </c>
      <c r="K1151">
        <v>2020</v>
      </c>
      <c r="L1151" s="2" t="s">
        <v>33</v>
      </c>
      <c r="M1151" t="s">
        <v>46</v>
      </c>
      <c r="N1151" s="31">
        <v>57.5</v>
      </c>
      <c r="O1151">
        <f>41-14</f>
        <v>27</v>
      </c>
      <c r="P1151" s="31" t="s">
        <v>30</v>
      </c>
      <c r="Q1151" s="2"/>
      <c r="R1151" s="45" t="s">
        <v>39</v>
      </c>
      <c r="S1151" s="29">
        <v>34.69332</v>
      </c>
      <c r="T1151" s="29">
        <v>-120.03913</v>
      </c>
      <c r="U1151" s="13">
        <v>1079</v>
      </c>
      <c r="V1151" s="6">
        <f t="shared" si="95"/>
        <v>328.87920000000003</v>
      </c>
      <c r="W1151" s="2" t="s">
        <v>2346</v>
      </c>
      <c r="X1151" s="2" t="s">
        <v>2330</v>
      </c>
      <c r="Y1151" s="2" t="s">
        <v>456</v>
      </c>
      <c r="Z1151" s="2" t="s">
        <v>3127</v>
      </c>
      <c r="AL1151" t="e">
        <f t="shared" si="93"/>
        <v>#VALUE!</v>
      </c>
      <c r="AM1151" t="e">
        <f t="shared" si="94"/>
        <v>#VALUE!</v>
      </c>
      <c r="AN1151">
        <f t="shared" si="91"/>
        <v>0</v>
      </c>
    </row>
    <row r="1152" spans="1:40" x14ac:dyDescent="0.2">
      <c r="A1152">
        <v>160</v>
      </c>
      <c r="B1152" t="s">
        <v>2979</v>
      </c>
      <c r="C1152">
        <v>0</v>
      </c>
      <c r="D1152">
        <v>0</v>
      </c>
      <c r="E1152">
        <v>0</v>
      </c>
      <c r="I1152" s="2">
        <v>5</v>
      </c>
      <c r="J1152" s="2" t="s">
        <v>1155</v>
      </c>
      <c r="K1152">
        <v>2020</v>
      </c>
      <c r="L1152" s="2" t="s">
        <v>33</v>
      </c>
      <c r="M1152" t="s">
        <v>46</v>
      </c>
      <c r="N1152" s="31">
        <v>54</v>
      </c>
      <c r="O1152">
        <f>34-9.5</f>
        <v>24.5</v>
      </c>
      <c r="P1152" s="31" t="s">
        <v>30</v>
      </c>
      <c r="Q1152" s="2"/>
      <c r="R1152" s="45" t="s">
        <v>39</v>
      </c>
      <c r="S1152" s="4">
        <v>34.693150000000003</v>
      </c>
      <c r="T1152" s="4">
        <v>-120.04183999999999</v>
      </c>
      <c r="U1152">
        <v>1105</v>
      </c>
      <c r="V1152" s="6">
        <f t="shared" si="95"/>
        <v>336.80400000000003</v>
      </c>
      <c r="W1152" s="2" t="s">
        <v>2331</v>
      </c>
      <c r="X1152" s="2" t="s">
        <v>3118</v>
      </c>
      <c r="Y1152" s="2" t="s">
        <v>456</v>
      </c>
      <c r="Z1152" s="2" t="s">
        <v>3128</v>
      </c>
      <c r="AL1152" t="e">
        <f t="shared" si="93"/>
        <v>#VALUE!</v>
      </c>
      <c r="AM1152" t="e">
        <f t="shared" si="94"/>
        <v>#VALUE!</v>
      </c>
      <c r="AN1152">
        <f t="shared" si="91"/>
        <v>0</v>
      </c>
    </row>
    <row r="1153" spans="1:40" x14ac:dyDescent="0.2">
      <c r="A1153">
        <v>160</v>
      </c>
      <c r="B1153" t="s">
        <v>2980</v>
      </c>
      <c r="C1153">
        <v>0</v>
      </c>
      <c r="D1153">
        <v>0</v>
      </c>
      <c r="E1153">
        <v>0</v>
      </c>
      <c r="I1153" s="2">
        <v>5</v>
      </c>
      <c r="J1153" s="2" t="s">
        <v>1155</v>
      </c>
      <c r="K1153">
        <v>2020</v>
      </c>
      <c r="L1153" s="2" t="s">
        <v>33</v>
      </c>
      <c r="M1153" t="s">
        <v>46</v>
      </c>
      <c r="N1153" s="31">
        <v>63</v>
      </c>
      <c r="O1153">
        <f>65.5-27</f>
        <v>38.5</v>
      </c>
      <c r="P1153" s="31" t="s">
        <v>30</v>
      </c>
      <c r="Q1153" t="s">
        <v>42</v>
      </c>
      <c r="R1153" s="31" t="s">
        <v>39</v>
      </c>
      <c r="S1153" s="4">
        <v>34.693150000000003</v>
      </c>
      <c r="T1153" s="4">
        <v>-120.04183999999999</v>
      </c>
      <c r="U1153">
        <v>1105</v>
      </c>
      <c r="V1153" s="6">
        <f t="shared" si="95"/>
        <v>336.80400000000003</v>
      </c>
      <c r="W1153" s="2" t="s">
        <v>2331</v>
      </c>
      <c r="X1153" s="2" t="s">
        <v>3118</v>
      </c>
      <c r="Y1153" s="2" t="s">
        <v>254</v>
      </c>
      <c r="Z1153" s="2" t="s">
        <v>3127</v>
      </c>
      <c r="AL1153" t="e">
        <f t="shared" si="93"/>
        <v>#VALUE!</v>
      </c>
      <c r="AM1153" t="e">
        <f t="shared" si="94"/>
        <v>#VALUE!</v>
      </c>
      <c r="AN1153">
        <f t="shared" si="91"/>
        <v>0</v>
      </c>
    </row>
    <row r="1154" spans="1:40" x14ac:dyDescent="0.2">
      <c r="A1154">
        <v>161</v>
      </c>
      <c r="B1154" t="s">
        <v>2981</v>
      </c>
      <c r="C1154">
        <v>0</v>
      </c>
      <c r="D1154">
        <v>0</v>
      </c>
      <c r="E1154">
        <v>0</v>
      </c>
      <c r="I1154" s="2">
        <v>5</v>
      </c>
      <c r="J1154" s="2" t="s">
        <v>1155</v>
      </c>
      <c r="K1154">
        <v>2020</v>
      </c>
      <c r="L1154" s="2" t="s">
        <v>32</v>
      </c>
      <c r="M1154" t="s">
        <v>46</v>
      </c>
      <c r="N1154" s="31">
        <v>35.5</v>
      </c>
      <c r="O1154">
        <f>30.5-26.5</f>
        <v>4</v>
      </c>
      <c r="P1154" s="31" t="s">
        <v>30</v>
      </c>
      <c r="Q1154" t="s">
        <v>42</v>
      </c>
      <c r="R1154" s="31" t="s">
        <v>39</v>
      </c>
      <c r="S1154" s="29">
        <v>34.69332</v>
      </c>
      <c r="T1154" s="29">
        <v>-120.03913</v>
      </c>
      <c r="U1154" s="13">
        <v>1079</v>
      </c>
      <c r="V1154" s="6">
        <f t="shared" si="95"/>
        <v>328.87920000000003</v>
      </c>
      <c r="W1154" s="2" t="s">
        <v>2346</v>
      </c>
      <c r="X1154" s="2" t="s">
        <v>2330</v>
      </c>
      <c r="Y1154" s="2" t="s">
        <v>1113</v>
      </c>
      <c r="AL1154" t="e">
        <f t="shared" si="93"/>
        <v>#VALUE!</v>
      </c>
      <c r="AM1154" t="e">
        <f t="shared" si="94"/>
        <v>#VALUE!</v>
      </c>
      <c r="AN1154">
        <f t="shared" si="91"/>
        <v>0</v>
      </c>
    </row>
    <row r="1155" spans="1:40" x14ac:dyDescent="0.2">
      <c r="A1155">
        <v>160</v>
      </c>
      <c r="B1155" t="s">
        <v>2982</v>
      </c>
      <c r="C1155">
        <v>0</v>
      </c>
      <c r="D1155">
        <v>0</v>
      </c>
      <c r="E1155">
        <v>0</v>
      </c>
      <c r="I1155" s="2">
        <v>5</v>
      </c>
      <c r="J1155" s="2" t="s">
        <v>1155</v>
      </c>
      <c r="K1155">
        <v>2020</v>
      </c>
      <c r="L1155" s="2" t="s">
        <v>32</v>
      </c>
      <c r="M1155" t="s">
        <v>46</v>
      </c>
      <c r="N1155" s="31">
        <v>39</v>
      </c>
      <c r="O1155">
        <f>12.5-9.5</f>
        <v>3</v>
      </c>
      <c r="P1155" s="31" t="s">
        <v>30</v>
      </c>
      <c r="Q1155" t="s">
        <v>42</v>
      </c>
      <c r="R1155" s="31" t="s">
        <v>39</v>
      </c>
      <c r="S1155" s="4">
        <v>34.692839999999997</v>
      </c>
      <c r="T1155" s="4">
        <v>-120.04142</v>
      </c>
      <c r="U1155">
        <v>1105</v>
      </c>
      <c r="V1155" s="6">
        <f t="shared" si="95"/>
        <v>336.80400000000003</v>
      </c>
      <c r="W1155" s="2" t="s">
        <v>2331</v>
      </c>
      <c r="X1155" s="2" t="s">
        <v>3118</v>
      </c>
      <c r="Y1155" s="2" t="s">
        <v>263</v>
      </c>
      <c r="AL1155" t="e">
        <f t="shared" si="93"/>
        <v>#VALUE!</v>
      </c>
      <c r="AM1155" t="e">
        <f t="shared" si="94"/>
        <v>#VALUE!</v>
      </c>
      <c r="AN1155">
        <f t="shared" si="91"/>
        <v>0</v>
      </c>
    </row>
    <row r="1156" spans="1:40" x14ac:dyDescent="0.2">
      <c r="A1156">
        <v>161</v>
      </c>
      <c r="B1156" t="s">
        <v>2983</v>
      </c>
      <c r="C1156">
        <v>0</v>
      </c>
      <c r="I1156" s="2">
        <v>5</v>
      </c>
      <c r="J1156" s="2" t="s">
        <v>1155</v>
      </c>
      <c r="K1156">
        <v>2020</v>
      </c>
      <c r="L1156" s="2" t="s">
        <v>33</v>
      </c>
      <c r="M1156" t="s">
        <v>46</v>
      </c>
      <c r="N1156" s="31">
        <v>64</v>
      </c>
      <c r="O1156">
        <f>68-28</f>
        <v>40</v>
      </c>
      <c r="P1156" s="31" t="s">
        <v>30</v>
      </c>
      <c r="Q1156" t="s">
        <v>38</v>
      </c>
      <c r="R1156" s="31" t="s">
        <v>39</v>
      </c>
      <c r="S1156" s="29">
        <v>34.69332</v>
      </c>
      <c r="T1156" s="29">
        <v>-120.03913</v>
      </c>
      <c r="U1156" s="13">
        <v>1079</v>
      </c>
      <c r="V1156" s="6">
        <f t="shared" ref="V1156:V1219" si="96">U1156*0.3048</f>
        <v>328.87920000000003</v>
      </c>
      <c r="W1156" s="2" t="s">
        <v>2346</v>
      </c>
      <c r="X1156" s="2" t="s">
        <v>2330</v>
      </c>
      <c r="Y1156" s="2" t="s">
        <v>1115</v>
      </c>
      <c r="AL1156" t="e">
        <f t="shared" si="93"/>
        <v>#VALUE!</v>
      </c>
      <c r="AM1156" t="e">
        <f t="shared" si="94"/>
        <v>#VALUE!</v>
      </c>
      <c r="AN1156">
        <f t="shared" si="91"/>
        <v>0</v>
      </c>
    </row>
    <row r="1157" spans="1:40" x14ac:dyDescent="0.2">
      <c r="A1157">
        <v>161</v>
      </c>
      <c r="B1157" t="s">
        <v>2984</v>
      </c>
      <c r="C1157">
        <v>7.6333776116371155E-2</v>
      </c>
      <c r="I1157" s="2">
        <v>5</v>
      </c>
      <c r="J1157" s="2" t="s">
        <v>1155</v>
      </c>
      <c r="K1157">
        <v>2020</v>
      </c>
      <c r="L1157" s="2" t="s">
        <v>32</v>
      </c>
      <c r="M1157" t="s">
        <v>46</v>
      </c>
      <c r="N1157" s="31">
        <v>34.5</v>
      </c>
      <c r="O1157">
        <v>3</v>
      </c>
      <c r="P1157" s="31" t="s">
        <v>30</v>
      </c>
      <c r="Q1157" t="s">
        <v>42</v>
      </c>
      <c r="R1157" s="31" t="s">
        <v>39</v>
      </c>
      <c r="S1157" s="29">
        <v>34.69332</v>
      </c>
      <c r="T1157" s="29">
        <v>-120.03913</v>
      </c>
      <c r="U1157" s="13">
        <v>1079</v>
      </c>
      <c r="V1157" s="6">
        <f t="shared" si="96"/>
        <v>328.87920000000003</v>
      </c>
      <c r="W1157" s="2" t="s">
        <v>2346</v>
      </c>
      <c r="X1157" s="2" t="s">
        <v>2330</v>
      </c>
      <c r="Y1157" s="2" t="s">
        <v>754</v>
      </c>
      <c r="AL1157" t="e">
        <f t="shared" si="93"/>
        <v>#VALUE!</v>
      </c>
      <c r="AM1157" t="e">
        <f t="shared" si="94"/>
        <v>#VALUE!</v>
      </c>
      <c r="AN1157">
        <f t="shared" si="91"/>
        <v>0</v>
      </c>
    </row>
    <row r="1158" spans="1:40" x14ac:dyDescent="0.2">
      <c r="A1158">
        <v>162</v>
      </c>
      <c r="B1158" t="s">
        <v>3135</v>
      </c>
      <c r="C1158">
        <v>0.11567697674036026</v>
      </c>
      <c r="I1158" s="2">
        <v>18</v>
      </c>
      <c r="J1158" s="2" t="s">
        <v>3147</v>
      </c>
      <c r="K1158">
        <v>2020</v>
      </c>
      <c r="L1158" s="2" t="s">
        <v>758</v>
      </c>
      <c r="M1158" t="s">
        <v>759</v>
      </c>
      <c r="N1158">
        <v>45</v>
      </c>
      <c r="O1158">
        <f>37.5-24</f>
        <v>13.5</v>
      </c>
      <c r="P1158" s="31" t="s">
        <v>30</v>
      </c>
      <c r="R1158" s="53" t="s">
        <v>39</v>
      </c>
      <c r="S1158" s="4">
        <v>39.740810000000003</v>
      </c>
      <c r="T1158" s="4">
        <v>-123.63023</v>
      </c>
      <c r="U1158" s="13">
        <v>1355</v>
      </c>
      <c r="V1158" s="6">
        <f t="shared" si="96"/>
        <v>413.00400000000002</v>
      </c>
      <c r="W1158" s="2" t="s">
        <v>2015</v>
      </c>
      <c r="X1158" s="2" t="s">
        <v>2997</v>
      </c>
      <c r="Y1158" s="2" t="s">
        <v>447</v>
      </c>
      <c r="AA1158" t="s">
        <v>3153</v>
      </c>
      <c r="AL1158" t="e">
        <f t="shared" si="93"/>
        <v>#VALUE!</v>
      </c>
    </row>
    <row r="1159" spans="1:40" x14ac:dyDescent="0.2">
      <c r="A1159">
        <v>162</v>
      </c>
      <c r="B1159" t="s">
        <v>3136</v>
      </c>
      <c r="C1159">
        <v>0.96215265989303589</v>
      </c>
      <c r="I1159" s="2">
        <v>18</v>
      </c>
      <c r="J1159" s="2" t="s">
        <v>3147</v>
      </c>
      <c r="K1159">
        <v>2020</v>
      </c>
      <c r="L1159" s="2" t="s">
        <v>758</v>
      </c>
      <c r="M1159" t="s">
        <v>759</v>
      </c>
      <c r="N1159" s="31">
        <v>37.5</v>
      </c>
      <c r="O1159">
        <f>26-18.5</f>
        <v>7.5</v>
      </c>
      <c r="P1159" s="31" t="s">
        <v>30</v>
      </c>
      <c r="Q1159" s="31" t="s">
        <v>38</v>
      </c>
      <c r="R1159" s="51" t="s">
        <v>89</v>
      </c>
      <c r="S1159" s="4">
        <v>39.74089</v>
      </c>
      <c r="T1159" s="4">
        <v>-123.63039000000001</v>
      </c>
      <c r="U1159" s="13">
        <v>1358</v>
      </c>
      <c r="V1159" s="6">
        <f t="shared" si="96"/>
        <v>413.91840000000002</v>
      </c>
      <c r="W1159" s="2" t="s">
        <v>2015</v>
      </c>
      <c r="X1159" s="2" t="s">
        <v>2997</v>
      </c>
      <c r="Y1159" s="2" t="s">
        <v>1108</v>
      </c>
      <c r="Z1159" t="s">
        <v>3152</v>
      </c>
      <c r="AA1159" t="s">
        <v>3153</v>
      </c>
      <c r="AL1159" t="e">
        <f t="shared" si="93"/>
        <v>#VALUE!</v>
      </c>
    </row>
    <row r="1160" spans="1:40" x14ac:dyDescent="0.2">
      <c r="A1160">
        <v>163</v>
      </c>
      <c r="B1160" t="s">
        <v>3137</v>
      </c>
      <c r="C1160">
        <v>0</v>
      </c>
      <c r="I1160" s="2">
        <v>18</v>
      </c>
      <c r="J1160" s="2" t="s">
        <v>3147</v>
      </c>
      <c r="K1160">
        <v>2020</v>
      </c>
      <c r="L1160" s="2" t="s">
        <v>758</v>
      </c>
      <c r="M1160" t="s">
        <v>759</v>
      </c>
      <c r="N1160" s="31">
        <v>41.5</v>
      </c>
      <c r="O1160">
        <f>25-16</f>
        <v>9</v>
      </c>
      <c r="P1160" s="31" t="s">
        <v>30</v>
      </c>
      <c r="Q1160" s="31" t="s">
        <v>42</v>
      </c>
      <c r="R1160" s="31" t="s">
        <v>39</v>
      </c>
      <c r="S1160" s="4">
        <v>39.7408</v>
      </c>
      <c r="T1160" s="4">
        <v>-123.62911</v>
      </c>
      <c r="U1160" s="13">
        <v>1426</v>
      </c>
      <c r="V1160" s="6">
        <f t="shared" si="96"/>
        <v>434.64480000000003</v>
      </c>
      <c r="W1160" s="2" t="s">
        <v>2015</v>
      </c>
      <c r="X1160" s="2" t="s">
        <v>2997</v>
      </c>
      <c r="Y1160" s="2" t="s">
        <v>697</v>
      </c>
      <c r="AA1160" t="s">
        <v>3153</v>
      </c>
      <c r="AL1160" t="e">
        <f t="shared" si="93"/>
        <v>#VALUE!</v>
      </c>
    </row>
    <row r="1161" spans="1:40" x14ac:dyDescent="0.2">
      <c r="A1161">
        <v>164</v>
      </c>
      <c r="B1161" t="s">
        <v>3138</v>
      </c>
      <c r="C1161">
        <v>0</v>
      </c>
      <c r="I1161" s="2">
        <v>19</v>
      </c>
      <c r="J1161" s="2" t="s">
        <v>3147</v>
      </c>
      <c r="K1161">
        <v>2020</v>
      </c>
      <c r="L1161" s="2" t="s">
        <v>758</v>
      </c>
      <c r="M1161" t="s">
        <v>759</v>
      </c>
      <c r="N1161" s="31">
        <v>56.5</v>
      </c>
      <c r="O1161">
        <f>30.5-7</f>
        <v>23.5</v>
      </c>
      <c r="P1161" s="31" t="s">
        <v>30</v>
      </c>
      <c r="Q1161" s="31" t="s">
        <v>42</v>
      </c>
      <c r="R1161" s="31" t="s">
        <v>39</v>
      </c>
      <c r="S1161" s="4">
        <v>39.72869</v>
      </c>
      <c r="T1161" s="4">
        <v>-123.64744</v>
      </c>
      <c r="U1161" s="13">
        <v>1353</v>
      </c>
      <c r="V1161" s="6">
        <f t="shared" si="96"/>
        <v>412.39440000000002</v>
      </c>
      <c r="W1161" s="2" t="s">
        <v>2015</v>
      </c>
      <c r="X1161" s="2" t="s">
        <v>3001</v>
      </c>
      <c r="Y1161" s="2" t="s">
        <v>125</v>
      </c>
      <c r="AA1161" t="s">
        <v>3154</v>
      </c>
      <c r="AL1161" t="e">
        <f t="shared" si="93"/>
        <v>#VALUE!</v>
      </c>
    </row>
    <row r="1162" spans="1:40" x14ac:dyDescent="0.2">
      <c r="A1162">
        <v>165</v>
      </c>
      <c r="B1162" t="s">
        <v>3139</v>
      </c>
      <c r="C1162">
        <v>0</v>
      </c>
      <c r="I1162" s="2">
        <v>20</v>
      </c>
      <c r="J1162" s="2" t="s">
        <v>3147</v>
      </c>
      <c r="K1162">
        <v>2020</v>
      </c>
      <c r="L1162" s="2" t="s">
        <v>758</v>
      </c>
      <c r="M1162" t="s">
        <v>759</v>
      </c>
      <c r="N1162" s="31">
        <v>25.5</v>
      </c>
      <c r="O1162">
        <v>2</v>
      </c>
      <c r="P1162" s="31" t="s">
        <v>30</v>
      </c>
      <c r="R1162" t="s">
        <v>89</v>
      </c>
      <c r="S1162" s="4">
        <v>39.725729999999999</v>
      </c>
      <c r="T1162" s="4">
        <v>-123.64436000000001</v>
      </c>
      <c r="U1162" s="13">
        <v>1424</v>
      </c>
      <c r="V1162" s="6">
        <f t="shared" si="96"/>
        <v>434.03520000000003</v>
      </c>
      <c r="W1162" s="2" t="s">
        <v>2360</v>
      </c>
      <c r="X1162" s="2" t="s">
        <v>3008</v>
      </c>
      <c r="Y1162" s="2" t="s">
        <v>3148</v>
      </c>
      <c r="Z1162" t="s">
        <v>3149</v>
      </c>
      <c r="AA1162" t="s">
        <v>3155</v>
      </c>
      <c r="AL1162" t="e">
        <f t="shared" si="93"/>
        <v>#VALUE!</v>
      </c>
    </row>
    <row r="1163" spans="1:40" x14ac:dyDescent="0.2">
      <c r="A1163">
        <v>165</v>
      </c>
      <c r="B1163" t="s">
        <v>3140</v>
      </c>
      <c r="C1163">
        <v>0</v>
      </c>
      <c r="H1163" s="2"/>
      <c r="I1163" s="2">
        <v>20</v>
      </c>
      <c r="J1163" s="2" t="s">
        <v>3147</v>
      </c>
      <c r="K1163">
        <v>2020</v>
      </c>
      <c r="L1163" s="2" t="s">
        <v>758</v>
      </c>
      <c r="M1163" t="s">
        <v>759</v>
      </c>
      <c r="N1163" s="31">
        <v>23</v>
      </c>
      <c r="O1163">
        <v>2</v>
      </c>
      <c r="P1163" s="31" t="s">
        <v>37</v>
      </c>
      <c r="R1163" t="s">
        <v>89</v>
      </c>
      <c r="S1163" s="4">
        <v>39.725729999999999</v>
      </c>
      <c r="T1163" s="4">
        <v>-123.64436000000001</v>
      </c>
      <c r="U1163" s="13">
        <v>1424</v>
      </c>
      <c r="V1163" s="6">
        <f t="shared" si="96"/>
        <v>434.03520000000003</v>
      </c>
      <c r="W1163" s="2" t="s">
        <v>2360</v>
      </c>
      <c r="X1163" s="2" t="s">
        <v>3008</v>
      </c>
      <c r="Y1163" s="2" t="s">
        <v>3148</v>
      </c>
      <c r="Z1163" t="s">
        <v>3149</v>
      </c>
      <c r="AA1163" t="s">
        <v>3156</v>
      </c>
    </row>
    <row r="1164" spans="1:40" x14ac:dyDescent="0.2">
      <c r="A1164">
        <v>165</v>
      </c>
      <c r="B1164" t="s">
        <v>3141</v>
      </c>
      <c r="C1164">
        <v>5.2239798009395599E-2</v>
      </c>
      <c r="I1164" s="2">
        <v>20</v>
      </c>
      <c r="J1164" s="2" t="s">
        <v>3147</v>
      </c>
      <c r="K1164">
        <v>2020</v>
      </c>
      <c r="L1164" s="2" t="s">
        <v>758</v>
      </c>
      <c r="M1164" t="s">
        <v>759</v>
      </c>
      <c r="N1164" s="31">
        <v>18.5</v>
      </c>
      <c r="O1164">
        <v>1</v>
      </c>
      <c r="P1164" s="31" t="s">
        <v>30</v>
      </c>
      <c r="R1164" t="s">
        <v>89</v>
      </c>
      <c r="S1164" s="4">
        <v>39.725729999999999</v>
      </c>
      <c r="T1164" s="4">
        <v>-123.64436000000001</v>
      </c>
      <c r="U1164" s="13">
        <v>1424</v>
      </c>
      <c r="V1164" s="6">
        <f t="shared" si="96"/>
        <v>434.03520000000003</v>
      </c>
      <c r="W1164" s="2" t="s">
        <v>2360</v>
      </c>
      <c r="X1164" s="2" t="s">
        <v>3008</v>
      </c>
      <c r="Y1164" s="2" t="s">
        <v>3148</v>
      </c>
      <c r="Z1164" t="s">
        <v>3149</v>
      </c>
      <c r="AA1164" t="s">
        <v>3157</v>
      </c>
    </row>
    <row r="1165" spans="1:40" x14ac:dyDescent="0.2">
      <c r="A1165">
        <v>165</v>
      </c>
      <c r="B1165" t="s">
        <v>3142</v>
      </c>
      <c r="C1165">
        <v>2.6855099946260452E-2</v>
      </c>
      <c r="I1165" s="2">
        <v>20</v>
      </c>
      <c r="J1165" s="2" t="s">
        <v>3147</v>
      </c>
      <c r="K1165">
        <v>2020</v>
      </c>
      <c r="L1165" s="2" t="s">
        <v>758</v>
      </c>
      <c r="M1165" t="s">
        <v>759</v>
      </c>
      <c r="N1165" s="31">
        <v>66.5</v>
      </c>
      <c r="O1165">
        <f>57-23.5</f>
        <v>33.5</v>
      </c>
      <c r="P1165" s="31" t="s">
        <v>30</v>
      </c>
      <c r="Q1165" t="s">
        <v>42</v>
      </c>
      <c r="R1165" s="31" t="s">
        <v>39</v>
      </c>
      <c r="S1165" s="4">
        <v>39.725659999999998</v>
      </c>
      <c r="T1165" s="4">
        <v>-123.64439</v>
      </c>
      <c r="U1165" s="13">
        <v>1326</v>
      </c>
      <c r="V1165" s="6">
        <f t="shared" si="96"/>
        <v>404.16480000000001</v>
      </c>
      <c r="W1165" s="2" t="s">
        <v>2360</v>
      </c>
      <c r="X1165" s="2" t="s">
        <v>3008</v>
      </c>
      <c r="Y1165" s="2" t="s">
        <v>2405</v>
      </c>
      <c r="Z1165" t="s">
        <v>3150</v>
      </c>
      <c r="AA1165" t="s">
        <v>3158</v>
      </c>
    </row>
    <row r="1166" spans="1:40" x14ac:dyDescent="0.2">
      <c r="A1166">
        <v>165</v>
      </c>
      <c r="B1166" t="s">
        <v>3143</v>
      </c>
      <c r="C1166">
        <v>1.1814230680465698</v>
      </c>
      <c r="I1166" s="2">
        <v>20</v>
      </c>
      <c r="J1166" s="2" t="s">
        <v>3147</v>
      </c>
      <c r="K1166">
        <v>2020</v>
      </c>
      <c r="L1166" s="2" t="s">
        <v>758</v>
      </c>
      <c r="M1166" t="s">
        <v>759</v>
      </c>
      <c r="N1166" s="31">
        <v>45</v>
      </c>
      <c r="O1166">
        <f>72-22.5</f>
        <v>49.5</v>
      </c>
      <c r="P1166" s="31" t="s">
        <v>30</v>
      </c>
      <c r="Q1166" t="s">
        <v>42</v>
      </c>
      <c r="R1166" s="31" t="s">
        <v>39</v>
      </c>
      <c r="S1166" s="4">
        <v>39.7256</v>
      </c>
      <c r="T1166" s="4">
        <v>-123.64436000000001</v>
      </c>
      <c r="U1166" s="13">
        <v>1326</v>
      </c>
      <c r="V1166" s="6">
        <f t="shared" si="96"/>
        <v>404.16480000000001</v>
      </c>
      <c r="W1166" s="2" t="s">
        <v>2360</v>
      </c>
      <c r="X1166" s="2" t="s">
        <v>3008</v>
      </c>
      <c r="Y1166" s="2" t="s">
        <v>2406</v>
      </c>
      <c r="Z1166" t="s">
        <v>3150</v>
      </c>
      <c r="AA1166" t="s">
        <v>3159</v>
      </c>
    </row>
    <row r="1167" spans="1:40" x14ac:dyDescent="0.2">
      <c r="A1167">
        <v>165</v>
      </c>
      <c r="B1167" t="s">
        <v>3144</v>
      </c>
      <c r="C1167">
        <v>0</v>
      </c>
      <c r="I1167" s="2">
        <v>20</v>
      </c>
      <c r="J1167" s="2" t="s">
        <v>3147</v>
      </c>
      <c r="K1167">
        <v>2020</v>
      </c>
      <c r="L1167" s="2" t="s">
        <v>758</v>
      </c>
      <c r="M1167" t="s">
        <v>759</v>
      </c>
      <c r="N1167" s="31">
        <v>26</v>
      </c>
      <c r="O1167">
        <f>29.5-27</f>
        <v>2.5</v>
      </c>
      <c r="P1167" s="31" t="s">
        <v>30</v>
      </c>
      <c r="R1167" t="s">
        <v>89</v>
      </c>
      <c r="S1167" s="4">
        <v>39.725499999999997</v>
      </c>
      <c r="T1167" s="4">
        <v>-123.64422999999999</v>
      </c>
      <c r="U1167" s="13">
        <v>1334</v>
      </c>
      <c r="V1167" s="6">
        <f t="shared" si="96"/>
        <v>406.60320000000002</v>
      </c>
      <c r="W1167" s="2" t="s">
        <v>2360</v>
      </c>
      <c r="X1167" s="2" t="s">
        <v>3008</v>
      </c>
      <c r="Y1167" s="2" t="s">
        <v>2455</v>
      </c>
      <c r="Z1167" t="s">
        <v>3151</v>
      </c>
      <c r="AA1167" t="s">
        <v>3160</v>
      </c>
    </row>
    <row r="1168" spans="1:40" x14ac:dyDescent="0.2">
      <c r="A1168">
        <v>166</v>
      </c>
      <c r="B1168" t="s">
        <v>3145</v>
      </c>
      <c r="C1168">
        <v>0</v>
      </c>
      <c r="I1168" s="2">
        <v>20</v>
      </c>
      <c r="J1168" s="2" t="s">
        <v>3147</v>
      </c>
      <c r="K1168">
        <v>2020</v>
      </c>
      <c r="L1168" s="2" t="s">
        <v>758</v>
      </c>
      <c r="M1168" t="s">
        <v>759</v>
      </c>
      <c r="N1168" s="31">
        <v>24</v>
      </c>
      <c r="O1168">
        <v>1</v>
      </c>
      <c r="P1168" s="31" t="s">
        <v>30</v>
      </c>
      <c r="R1168" t="s">
        <v>89</v>
      </c>
      <c r="S1168" s="4">
        <v>39.726509999999998</v>
      </c>
      <c r="T1168" s="4">
        <v>-123.64489</v>
      </c>
      <c r="U1168" s="13">
        <v>1376</v>
      </c>
      <c r="V1168" s="6">
        <f t="shared" si="96"/>
        <v>419.40480000000002</v>
      </c>
      <c r="W1168" s="2" t="s">
        <v>2360</v>
      </c>
      <c r="X1168" s="2" t="s">
        <v>3008</v>
      </c>
      <c r="Y1168" s="2" t="s">
        <v>101</v>
      </c>
      <c r="Z1168" t="s">
        <v>3150</v>
      </c>
      <c r="AA1168" t="s">
        <v>3161</v>
      </c>
    </row>
    <row r="1169" spans="1:27" x14ac:dyDescent="0.2">
      <c r="A1169">
        <v>166</v>
      </c>
      <c r="B1169" t="s">
        <v>3146</v>
      </c>
      <c r="C1169">
        <v>0.30083075165748596</v>
      </c>
      <c r="I1169" s="2">
        <v>20</v>
      </c>
      <c r="J1169" s="2" t="s">
        <v>3147</v>
      </c>
      <c r="K1169">
        <v>2020</v>
      </c>
      <c r="L1169" s="2" t="s">
        <v>758</v>
      </c>
      <c r="M1169" t="s">
        <v>759</v>
      </c>
      <c r="N1169" s="31">
        <v>29</v>
      </c>
      <c r="O1169">
        <f>13.5-11</f>
        <v>2.5</v>
      </c>
      <c r="P1169" s="31" t="s">
        <v>30</v>
      </c>
      <c r="R1169" t="s">
        <v>89</v>
      </c>
      <c r="S1169" s="4">
        <v>39.726300000000002</v>
      </c>
      <c r="T1169" s="4">
        <v>-123.64483</v>
      </c>
      <c r="U1169">
        <v>1379</v>
      </c>
      <c r="V1169" s="6">
        <f t="shared" si="96"/>
        <v>420.31920000000002</v>
      </c>
      <c r="W1169" s="2" t="s">
        <v>2360</v>
      </c>
      <c r="X1169" s="2" t="s">
        <v>3008</v>
      </c>
      <c r="Y1169" s="2" t="s">
        <v>806</v>
      </c>
      <c r="Z1169" t="s">
        <v>3150</v>
      </c>
      <c r="AA1169" t="s">
        <v>3162</v>
      </c>
    </row>
    <row r="1170" spans="1:27" x14ac:dyDescent="0.2">
      <c r="A1170">
        <v>170</v>
      </c>
      <c r="B1170" t="s">
        <v>3272</v>
      </c>
      <c r="C1170">
        <v>0</v>
      </c>
      <c r="I1170" s="2">
        <v>22</v>
      </c>
      <c r="J1170" s="2" t="s">
        <v>3147</v>
      </c>
      <c r="K1170">
        <v>2020</v>
      </c>
      <c r="L1170" s="2" t="s">
        <v>32</v>
      </c>
      <c r="M1170" t="s">
        <v>759</v>
      </c>
      <c r="N1170" s="31">
        <v>20.5</v>
      </c>
      <c r="O1170">
        <v>1</v>
      </c>
      <c r="P1170" s="31" t="s">
        <v>30</v>
      </c>
      <c r="R1170" s="45" t="s">
        <v>39</v>
      </c>
      <c r="S1170" s="4">
        <v>39.747509999999998</v>
      </c>
      <c r="T1170" s="4">
        <v>-123.63329</v>
      </c>
      <c r="U1170" s="13">
        <v>1223</v>
      </c>
      <c r="V1170" s="6">
        <f t="shared" si="96"/>
        <v>372.7704</v>
      </c>
      <c r="W1170" s="2" t="s">
        <v>2360</v>
      </c>
      <c r="X1170" s="2" t="s">
        <v>3008</v>
      </c>
      <c r="Y1170" s="2" t="s">
        <v>2399</v>
      </c>
      <c r="Z1170" s="2" t="s">
        <v>3275</v>
      </c>
      <c r="AA1170" s="2" t="s">
        <v>3276</v>
      </c>
    </row>
    <row r="1171" spans="1:27" x14ac:dyDescent="0.2">
      <c r="A1171">
        <v>171</v>
      </c>
      <c r="B1171" t="s">
        <v>3273</v>
      </c>
      <c r="C1171">
        <v>0</v>
      </c>
      <c r="I1171" s="2">
        <v>22</v>
      </c>
      <c r="J1171" s="2" t="s">
        <v>3147</v>
      </c>
      <c r="K1171">
        <v>2020</v>
      </c>
      <c r="L1171" s="2" t="s">
        <v>758</v>
      </c>
      <c r="M1171" t="s">
        <v>759</v>
      </c>
      <c r="N1171" s="31">
        <v>26.5</v>
      </c>
      <c r="O1171">
        <f>23-20.5</f>
        <v>2.5</v>
      </c>
      <c r="P1171" s="31" t="s">
        <v>30</v>
      </c>
      <c r="R1171" s="45" t="s">
        <v>89</v>
      </c>
      <c r="S1171" s="4">
        <v>39.729230000000001</v>
      </c>
      <c r="T1171" s="4">
        <v>-123.64609</v>
      </c>
      <c r="U1171" s="13">
        <v>1370</v>
      </c>
      <c r="V1171" s="6">
        <f t="shared" si="96"/>
        <v>417.57600000000002</v>
      </c>
      <c r="W1171" s="2" t="s">
        <v>2015</v>
      </c>
      <c r="X1171" s="2" t="s">
        <v>3001</v>
      </c>
      <c r="Y1171" s="2" t="s">
        <v>816</v>
      </c>
      <c r="Z1171" s="2" t="s">
        <v>3277</v>
      </c>
      <c r="AA1171" s="2" t="s">
        <v>3278</v>
      </c>
    </row>
    <row r="1172" spans="1:27" x14ac:dyDescent="0.2">
      <c r="A1172">
        <v>172</v>
      </c>
      <c r="B1172" t="s">
        <v>3274</v>
      </c>
      <c r="C1172">
        <v>0</v>
      </c>
      <c r="I1172" s="2">
        <v>22</v>
      </c>
      <c r="J1172" s="2" t="s">
        <v>3147</v>
      </c>
      <c r="K1172">
        <v>2020</v>
      </c>
      <c r="L1172" s="2" t="s">
        <v>758</v>
      </c>
      <c r="M1172" t="s">
        <v>759</v>
      </c>
      <c r="N1172" s="31">
        <v>54.5</v>
      </c>
      <c r="O1172">
        <f>51-29.5</f>
        <v>21.5</v>
      </c>
      <c r="P1172" s="31" t="s">
        <v>30</v>
      </c>
      <c r="Q1172" t="s">
        <v>38</v>
      </c>
      <c r="S1172" s="4">
        <v>39.730550000000001</v>
      </c>
      <c r="T1172" s="4">
        <v>-123.64111</v>
      </c>
      <c r="U1172" s="13">
        <v>1398</v>
      </c>
      <c r="V1172" s="6">
        <f t="shared" si="96"/>
        <v>426.11040000000003</v>
      </c>
      <c r="W1172" s="2" t="s">
        <v>2015</v>
      </c>
      <c r="X1172" s="2" t="s">
        <v>3001</v>
      </c>
      <c r="Y1172" s="2" t="s">
        <v>581</v>
      </c>
      <c r="Z1172" s="2" t="s">
        <v>3279</v>
      </c>
      <c r="AA1172" s="2" t="s">
        <v>3280</v>
      </c>
    </row>
    <row r="1173" spans="1:27" x14ac:dyDescent="0.2">
      <c r="A1173">
        <v>174</v>
      </c>
      <c r="B1173" t="s">
        <v>3163</v>
      </c>
      <c r="C1173">
        <v>0</v>
      </c>
      <c r="I1173" s="2">
        <v>6</v>
      </c>
      <c r="J1173" s="2" t="s">
        <v>3229</v>
      </c>
      <c r="K1173">
        <v>2020</v>
      </c>
      <c r="L1173" s="2" t="s">
        <v>33</v>
      </c>
      <c r="M1173" t="s">
        <v>46</v>
      </c>
      <c r="N1173" s="31">
        <v>83</v>
      </c>
      <c r="O1173">
        <f>75-17</f>
        <v>58</v>
      </c>
      <c r="P1173" s="31" t="s">
        <v>30</v>
      </c>
      <c r="Q1173" t="s">
        <v>42</v>
      </c>
      <c r="S1173" s="4">
        <v>34.69258</v>
      </c>
      <c r="T1173" s="4">
        <v>-120.04062999999999</v>
      </c>
      <c r="U1173" s="13">
        <v>1237</v>
      </c>
      <c r="V1173" s="6">
        <f t="shared" si="96"/>
        <v>377.0376</v>
      </c>
      <c r="W1173" s="2" t="s">
        <v>3231</v>
      </c>
      <c r="X1173" s="2" t="s">
        <v>2791</v>
      </c>
      <c r="Y1173" s="2" t="s">
        <v>3230</v>
      </c>
      <c r="AA1173" s="2" t="s">
        <v>3283</v>
      </c>
    </row>
    <row r="1174" spans="1:27" x14ac:dyDescent="0.2">
      <c r="A1174">
        <v>174</v>
      </c>
      <c r="B1174" t="s">
        <v>3164</v>
      </c>
      <c r="C1174">
        <v>0</v>
      </c>
      <c r="I1174" s="2">
        <v>6</v>
      </c>
      <c r="J1174" s="2" t="s">
        <v>3229</v>
      </c>
      <c r="K1174">
        <v>2020</v>
      </c>
      <c r="L1174" s="2" t="s">
        <v>33</v>
      </c>
      <c r="M1174" t="s">
        <v>46</v>
      </c>
      <c r="N1174" s="31">
        <v>77</v>
      </c>
      <c r="O1174">
        <f>84-17</f>
        <v>67</v>
      </c>
      <c r="P1174" s="31" t="s">
        <v>30</v>
      </c>
      <c r="Q1174" t="s">
        <v>42</v>
      </c>
      <c r="S1174" s="4">
        <v>34.692799999999998</v>
      </c>
      <c r="T1174" s="4">
        <v>-120.04075</v>
      </c>
      <c r="U1174" s="13">
        <v>1228</v>
      </c>
      <c r="V1174" s="6">
        <f t="shared" si="96"/>
        <v>374.2944</v>
      </c>
      <c r="W1174" s="2" t="s">
        <v>3231</v>
      </c>
      <c r="X1174" s="2" t="s">
        <v>2791</v>
      </c>
      <c r="Y1174" s="2" t="s">
        <v>3232</v>
      </c>
      <c r="AA1174" s="2" t="s">
        <v>3284</v>
      </c>
    </row>
    <row r="1175" spans="1:27" x14ac:dyDescent="0.2">
      <c r="A1175">
        <v>174</v>
      </c>
      <c r="B1175" t="s">
        <v>3165</v>
      </c>
      <c r="C1175">
        <v>0</v>
      </c>
      <c r="I1175" s="2">
        <v>6</v>
      </c>
      <c r="J1175" s="2" t="s">
        <v>3229</v>
      </c>
      <c r="K1175">
        <v>2020</v>
      </c>
      <c r="L1175" s="2" t="s">
        <v>33</v>
      </c>
      <c r="M1175" t="s">
        <v>46</v>
      </c>
      <c r="N1175" s="31">
        <v>82</v>
      </c>
      <c r="O1175">
        <f>68-6.5</f>
        <v>61.5</v>
      </c>
      <c r="P1175" s="31" t="s">
        <v>30</v>
      </c>
      <c r="Q1175" t="s">
        <v>42</v>
      </c>
      <c r="S1175" s="4">
        <v>34.693330000000003</v>
      </c>
      <c r="T1175" s="4">
        <v>-120.04221</v>
      </c>
      <c r="U1175" s="13">
        <v>1199</v>
      </c>
      <c r="V1175" s="6">
        <f t="shared" si="96"/>
        <v>365.45519999999999</v>
      </c>
      <c r="W1175" s="2" t="s">
        <v>2338</v>
      </c>
      <c r="X1175" s="2" t="s">
        <v>3118</v>
      </c>
      <c r="Y1175" s="2" t="s">
        <v>2422</v>
      </c>
      <c r="AA1175" s="2" t="s">
        <v>3285</v>
      </c>
    </row>
    <row r="1176" spans="1:27" x14ac:dyDescent="0.2">
      <c r="A1176">
        <v>174</v>
      </c>
      <c r="B1176" t="s">
        <v>3166</v>
      </c>
      <c r="C1176">
        <v>0</v>
      </c>
      <c r="I1176" s="2">
        <v>6</v>
      </c>
      <c r="J1176" s="2" t="s">
        <v>3229</v>
      </c>
      <c r="K1176">
        <v>2020</v>
      </c>
      <c r="L1176" s="2" t="s">
        <v>33</v>
      </c>
      <c r="M1176" t="s">
        <v>46</v>
      </c>
      <c r="N1176" s="31">
        <v>79</v>
      </c>
      <c r="O1176">
        <f>53-8.5</f>
        <v>44.5</v>
      </c>
      <c r="P1176" s="31" t="s">
        <v>30</v>
      </c>
      <c r="Q1176" t="s">
        <v>42</v>
      </c>
      <c r="S1176" s="4">
        <v>34.693359999999998</v>
      </c>
      <c r="T1176" s="4">
        <v>-120.04248</v>
      </c>
      <c r="U1176">
        <v>1194</v>
      </c>
      <c r="V1176" s="6">
        <f t="shared" si="96"/>
        <v>363.93120000000005</v>
      </c>
      <c r="W1176" s="2" t="s">
        <v>2338</v>
      </c>
      <c r="X1176" s="2" t="s">
        <v>3118</v>
      </c>
      <c r="Y1176" s="2" t="s">
        <v>2485</v>
      </c>
      <c r="AA1176" s="2" t="s">
        <v>3286</v>
      </c>
    </row>
    <row r="1177" spans="1:27" x14ac:dyDescent="0.2">
      <c r="A1177">
        <v>174</v>
      </c>
      <c r="B1177" t="s">
        <v>3167</v>
      </c>
      <c r="C1177">
        <v>0.12832437455654144</v>
      </c>
      <c r="I1177" s="2">
        <v>6</v>
      </c>
      <c r="J1177" s="2" t="s">
        <v>3229</v>
      </c>
      <c r="K1177">
        <v>2020</v>
      </c>
      <c r="L1177" s="2" t="s">
        <v>32</v>
      </c>
      <c r="M1177" t="s">
        <v>46</v>
      </c>
      <c r="N1177" s="31">
        <v>34</v>
      </c>
      <c r="O1177">
        <f>8.5-6</f>
        <v>2.5</v>
      </c>
      <c r="P1177" s="31" t="s">
        <v>30</v>
      </c>
      <c r="Q1177" t="s">
        <v>42</v>
      </c>
      <c r="S1177" s="4">
        <v>34.693280000000001</v>
      </c>
      <c r="T1177" s="4">
        <v>120.04285</v>
      </c>
      <c r="U1177">
        <v>1118</v>
      </c>
      <c r="V1177" s="6">
        <f t="shared" si="96"/>
        <v>340.76640000000003</v>
      </c>
      <c r="W1177" s="2" t="s">
        <v>3116</v>
      </c>
      <c r="X1177" s="2" t="s">
        <v>3117</v>
      </c>
      <c r="Y1177" s="2" t="s">
        <v>2435</v>
      </c>
      <c r="Z1177" s="2" t="s">
        <v>3123</v>
      </c>
      <c r="AA1177" s="2" t="s">
        <v>3287</v>
      </c>
    </row>
    <row r="1178" spans="1:27" x14ac:dyDescent="0.2">
      <c r="A1178">
        <v>174</v>
      </c>
      <c r="B1178" t="s">
        <v>3168</v>
      </c>
      <c r="C1178">
        <v>0</v>
      </c>
      <c r="I1178" s="2">
        <v>6</v>
      </c>
      <c r="J1178" s="2" t="s">
        <v>3229</v>
      </c>
      <c r="K1178">
        <v>2020</v>
      </c>
      <c r="L1178" s="2" t="s">
        <v>33</v>
      </c>
      <c r="M1178" t="s">
        <v>46</v>
      </c>
      <c r="N1178" s="31">
        <v>68</v>
      </c>
      <c r="O1178">
        <f>42-10</f>
        <v>32</v>
      </c>
      <c r="P1178" s="31" t="s">
        <v>30</v>
      </c>
      <c r="Q1178" t="s">
        <v>42</v>
      </c>
      <c r="S1178" s="4">
        <v>34.693339999999999</v>
      </c>
      <c r="T1178" s="4">
        <v>-120.0429</v>
      </c>
      <c r="U1178">
        <v>1158</v>
      </c>
      <c r="V1178" s="6">
        <f t="shared" si="96"/>
        <v>352.95840000000004</v>
      </c>
      <c r="W1178" s="2" t="s">
        <v>3231</v>
      </c>
      <c r="X1178" s="2" t="s">
        <v>2791</v>
      </c>
      <c r="Y1178" s="2" t="s">
        <v>2408</v>
      </c>
      <c r="AA1178" s="2" t="s">
        <v>3288</v>
      </c>
    </row>
    <row r="1179" spans="1:27" x14ac:dyDescent="0.2">
      <c r="A1179">
        <v>174</v>
      </c>
      <c r="B1179" t="s">
        <v>3169</v>
      </c>
      <c r="C1179">
        <v>0</v>
      </c>
      <c r="I1179" s="2">
        <v>6</v>
      </c>
      <c r="J1179" s="2" t="s">
        <v>3229</v>
      </c>
      <c r="K1179">
        <v>2020</v>
      </c>
      <c r="L1179" s="2" t="s">
        <v>32</v>
      </c>
      <c r="M1179" t="s">
        <v>46</v>
      </c>
      <c r="N1179" s="31">
        <v>34</v>
      </c>
      <c r="O1179">
        <v>2</v>
      </c>
      <c r="P1179" s="31" t="s">
        <v>30</v>
      </c>
      <c r="Q1179" t="s">
        <v>38</v>
      </c>
      <c r="S1179" s="4">
        <v>34.693069999999999</v>
      </c>
      <c r="T1179" s="4">
        <v>-120.04277</v>
      </c>
      <c r="U1179">
        <v>1129</v>
      </c>
      <c r="V1179" s="6">
        <f t="shared" si="96"/>
        <v>344.11920000000003</v>
      </c>
      <c r="W1179" s="2" t="s">
        <v>3115</v>
      </c>
      <c r="X1179" s="2" t="s">
        <v>3117</v>
      </c>
      <c r="Y1179" s="2" t="s">
        <v>2432</v>
      </c>
      <c r="AA1179" s="2" t="s">
        <v>3289</v>
      </c>
    </row>
    <row r="1180" spans="1:27" x14ac:dyDescent="0.2">
      <c r="A1180">
        <v>174</v>
      </c>
      <c r="B1180" t="s">
        <v>3170</v>
      </c>
      <c r="C1180">
        <v>0</v>
      </c>
      <c r="I1180" s="2">
        <v>6</v>
      </c>
      <c r="J1180" s="2" t="s">
        <v>3229</v>
      </c>
      <c r="K1180">
        <v>2020</v>
      </c>
      <c r="L1180" s="2" t="s">
        <v>32</v>
      </c>
      <c r="M1180" t="s">
        <v>46</v>
      </c>
      <c r="N1180" s="31">
        <v>35</v>
      </c>
      <c r="O1180">
        <f>11.5-8</f>
        <v>3.5</v>
      </c>
      <c r="P1180" s="31" t="s">
        <v>30</v>
      </c>
      <c r="Q1180" t="s">
        <v>42</v>
      </c>
      <c r="S1180" s="4">
        <v>34.693069999999999</v>
      </c>
      <c r="T1180" s="4">
        <v>-120.04277</v>
      </c>
      <c r="U1180">
        <v>1129</v>
      </c>
      <c r="V1180" s="6">
        <f t="shared" si="96"/>
        <v>344.11920000000003</v>
      </c>
      <c r="W1180" s="2" t="s">
        <v>3115</v>
      </c>
      <c r="X1180" s="2" t="s">
        <v>3117</v>
      </c>
      <c r="Y1180" s="2" t="s">
        <v>2432</v>
      </c>
      <c r="AA1180" s="2" t="s">
        <v>3290</v>
      </c>
    </row>
    <row r="1181" spans="1:27" x14ac:dyDescent="0.2">
      <c r="A1181">
        <v>174</v>
      </c>
      <c r="B1181" t="s">
        <v>3171</v>
      </c>
      <c r="C1181">
        <v>0.15266729891300201</v>
      </c>
      <c r="I1181" s="2">
        <v>6</v>
      </c>
      <c r="J1181" s="2" t="s">
        <v>3229</v>
      </c>
      <c r="K1181">
        <v>2020</v>
      </c>
      <c r="L1181" s="2" t="s">
        <v>32</v>
      </c>
      <c r="M1181" t="s">
        <v>46</v>
      </c>
      <c r="N1181" s="31">
        <v>29</v>
      </c>
      <c r="O1181">
        <f>5-3.5</f>
        <v>1.5</v>
      </c>
      <c r="P1181" s="31" t="s">
        <v>30</v>
      </c>
      <c r="Q1181" t="s">
        <v>42</v>
      </c>
      <c r="S1181" s="4">
        <v>34.693069999999999</v>
      </c>
      <c r="T1181" s="4">
        <v>-120.04277</v>
      </c>
      <c r="U1181">
        <v>1129</v>
      </c>
      <c r="V1181" s="6">
        <f t="shared" si="96"/>
        <v>344.11920000000003</v>
      </c>
      <c r="W1181" s="2" t="s">
        <v>3115</v>
      </c>
      <c r="X1181" s="2" t="s">
        <v>3117</v>
      </c>
      <c r="Y1181" s="2" t="s">
        <v>3281</v>
      </c>
      <c r="AA1181" s="2" t="s">
        <v>3291</v>
      </c>
    </row>
    <row r="1182" spans="1:27" x14ac:dyDescent="0.2">
      <c r="A1182">
        <v>174</v>
      </c>
      <c r="B1182" t="s">
        <v>3172</v>
      </c>
      <c r="C1182">
        <v>0</v>
      </c>
      <c r="I1182" s="2">
        <v>6</v>
      </c>
      <c r="J1182" s="2" t="s">
        <v>3229</v>
      </c>
      <c r="K1182">
        <v>2020</v>
      </c>
      <c r="L1182" s="2" t="s">
        <v>32</v>
      </c>
      <c r="M1182" t="s">
        <v>46</v>
      </c>
      <c r="N1182" s="31">
        <v>31</v>
      </c>
      <c r="O1182">
        <v>2</v>
      </c>
      <c r="P1182" s="31" t="s">
        <v>30</v>
      </c>
      <c r="Q1182" t="s">
        <v>38</v>
      </c>
      <c r="S1182" s="4">
        <v>34.693069999999999</v>
      </c>
      <c r="T1182" s="4">
        <v>-120.04277</v>
      </c>
      <c r="U1182">
        <v>1129</v>
      </c>
      <c r="V1182" s="6">
        <f t="shared" si="96"/>
        <v>344.11920000000003</v>
      </c>
      <c r="W1182" s="2" t="s">
        <v>3115</v>
      </c>
      <c r="X1182" s="2" t="s">
        <v>3117</v>
      </c>
      <c r="Y1182" s="2" t="s">
        <v>3281</v>
      </c>
      <c r="AA1182" s="2" t="s">
        <v>3292</v>
      </c>
    </row>
    <row r="1183" spans="1:27" x14ac:dyDescent="0.2">
      <c r="A1183">
        <v>174</v>
      </c>
      <c r="B1183" t="s">
        <v>3173</v>
      </c>
      <c r="C1183">
        <v>8.4107734262943268E-2</v>
      </c>
      <c r="I1183" s="2">
        <v>6</v>
      </c>
      <c r="J1183" s="2" t="s">
        <v>3229</v>
      </c>
      <c r="K1183">
        <v>2020</v>
      </c>
      <c r="L1183" s="2" t="s">
        <v>32</v>
      </c>
      <c r="M1183" t="s">
        <v>46</v>
      </c>
      <c r="N1183" s="31">
        <v>34</v>
      </c>
      <c r="O1183">
        <v>3</v>
      </c>
      <c r="P1183" s="31" t="s">
        <v>30</v>
      </c>
      <c r="Q1183" t="s">
        <v>42</v>
      </c>
      <c r="S1183" s="4">
        <v>34.693069999999999</v>
      </c>
      <c r="T1183" s="4">
        <v>-120.04277</v>
      </c>
      <c r="U1183">
        <v>1129</v>
      </c>
      <c r="V1183" s="6">
        <f t="shared" si="96"/>
        <v>344.11920000000003</v>
      </c>
      <c r="W1183" s="2" t="s">
        <v>3115</v>
      </c>
      <c r="X1183" s="2" t="s">
        <v>3117</v>
      </c>
      <c r="Y1183" s="2" t="s">
        <v>2439</v>
      </c>
      <c r="AA1183" s="2" t="s">
        <v>3293</v>
      </c>
    </row>
    <row r="1184" spans="1:27" x14ac:dyDescent="0.2">
      <c r="A1184">
        <v>174</v>
      </c>
      <c r="B1184" t="s">
        <v>3174</v>
      </c>
      <c r="C1184">
        <v>0</v>
      </c>
      <c r="I1184" s="2">
        <v>6</v>
      </c>
      <c r="J1184" s="2" t="s">
        <v>3229</v>
      </c>
      <c r="K1184">
        <v>2020</v>
      </c>
      <c r="L1184" s="2" t="s">
        <v>32</v>
      </c>
      <c r="M1184" t="s">
        <v>46</v>
      </c>
      <c r="N1184" s="31">
        <v>35</v>
      </c>
      <c r="O1184">
        <f>7.5-4</f>
        <v>3.5</v>
      </c>
      <c r="P1184" s="31" t="s">
        <v>30</v>
      </c>
      <c r="Q1184" t="s">
        <v>38</v>
      </c>
      <c r="S1184" s="5">
        <v>34.693049999999999</v>
      </c>
      <c r="T1184" s="5">
        <v>-120.04276</v>
      </c>
      <c r="U1184" s="2">
        <v>1097</v>
      </c>
      <c r="V1184" s="7">
        <v>334.36559999999997</v>
      </c>
      <c r="W1184" s="2" t="s">
        <v>2324</v>
      </c>
      <c r="X1184" s="2" t="s">
        <v>2327</v>
      </c>
      <c r="Y1184" s="2" t="s">
        <v>2479</v>
      </c>
      <c r="AA1184" s="2" t="s">
        <v>3294</v>
      </c>
    </row>
    <row r="1185" spans="1:27" x14ac:dyDescent="0.2">
      <c r="A1185">
        <v>174</v>
      </c>
      <c r="B1185" t="s">
        <v>3175</v>
      </c>
      <c r="C1185">
        <v>0</v>
      </c>
      <c r="I1185" s="2">
        <v>6</v>
      </c>
      <c r="J1185" s="2" t="s">
        <v>3229</v>
      </c>
      <c r="K1185">
        <v>2020</v>
      </c>
      <c r="L1185" s="2" t="s">
        <v>33</v>
      </c>
      <c r="M1185" t="s">
        <v>46</v>
      </c>
      <c r="N1185" s="31">
        <v>76</v>
      </c>
      <c r="O1185">
        <f>67-6.5</f>
        <v>60.5</v>
      </c>
      <c r="P1185" s="31" t="s">
        <v>30</v>
      </c>
      <c r="Q1185" t="s">
        <v>42</v>
      </c>
      <c r="S1185" s="5">
        <v>34.693049999999999</v>
      </c>
      <c r="T1185" s="5">
        <v>-120.04276</v>
      </c>
      <c r="U1185" s="2">
        <v>1097</v>
      </c>
      <c r="V1185" s="7">
        <v>334.36559999999997</v>
      </c>
      <c r="W1185" s="2" t="s">
        <v>2324</v>
      </c>
      <c r="X1185" s="2" t="s">
        <v>2327</v>
      </c>
      <c r="Y1185" s="2" t="s">
        <v>2441</v>
      </c>
      <c r="AA1185" s="2" t="s">
        <v>3295</v>
      </c>
    </row>
    <row r="1186" spans="1:27" x14ac:dyDescent="0.2">
      <c r="A1186">
        <v>174</v>
      </c>
      <c r="B1186" t="s">
        <v>3176</v>
      </c>
      <c r="C1186">
        <v>0</v>
      </c>
      <c r="I1186" s="2">
        <v>6</v>
      </c>
      <c r="J1186" s="2" t="s">
        <v>3229</v>
      </c>
      <c r="K1186">
        <v>2020</v>
      </c>
      <c r="L1186" s="2" t="s">
        <v>32</v>
      </c>
      <c r="M1186" t="s">
        <v>46</v>
      </c>
      <c r="N1186" s="31">
        <v>43.5</v>
      </c>
      <c r="O1186">
        <f>14-7</f>
        <v>7</v>
      </c>
      <c r="P1186" s="31" t="s">
        <v>30</v>
      </c>
      <c r="Q1186" t="s">
        <v>42</v>
      </c>
      <c r="S1186" s="5">
        <v>34.693049999999999</v>
      </c>
      <c r="T1186" s="5">
        <v>-120.04276</v>
      </c>
      <c r="U1186" s="2">
        <v>1097</v>
      </c>
      <c r="V1186" s="7">
        <v>334.36559999999997</v>
      </c>
      <c r="W1186" s="2" t="s">
        <v>2324</v>
      </c>
      <c r="X1186" s="2" t="s">
        <v>2327</v>
      </c>
      <c r="Y1186" s="2" t="s">
        <v>2442</v>
      </c>
      <c r="Z1186" s="2" t="s">
        <v>3297</v>
      </c>
      <c r="AA1186" s="2" t="s">
        <v>3296</v>
      </c>
    </row>
    <row r="1187" spans="1:27" x14ac:dyDescent="0.2">
      <c r="A1187">
        <v>174</v>
      </c>
      <c r="B1187" t="s">
        <v>3177</v>
      </c>
      <c r="C1187">
        <v>0</v>
      </c>
      <c r="I1187" s="2">
        <v>6</v>
      </c>
      <c r="J1187" s="2" t="s">
        <v>3229</v>
      </c>
      <c r="K1187">
        <v>2020</v>
      </c>
      <c r="L1187" s="2" t="s">
        <v>32</v>
      </c>
      <c r="M1187" t="s">
        <v>46</v>
      </c>
      <c r="N1187" s="31">
        <v>37</v>
      </c>
      <c r="O1187">
        <f>14-9</f>
        <v>5</v>
      </c>
      <c r="P1187" s="31" t="s">
        <v>30</v>
      </c>
      <c r="Q1187" t="s">
        <v>42</v>
      </c>
      <c r="S1187" s="5">
        <v>34.693049999999999</v>
      </c>
      <c r="T1187" s="5">
        <v>-120.04276</v>
      </c>
      <c r="U1187" s="2">
        <v>1097</v>
      </c>
      <c r="V1187" s="7">
        <v>334.36559999999997</v>
      </c>
      <c r="W1187" s="2" t="s">
        <v>2324</v>
      </c>
      <c r="X1187" s="2" t="s">
        <v>2327</v>
      </c>
      <c r="Y1187" s="2" t="s">
        <v>3282</v>
      </c>
      <c r="AA1187" s="2" t="s">
        <v>3298</v>
      </c>
    </row>
    <row r="1188" spans="1:27" x14ac:dyDescent="0.2">
      <c r="A1188">
        <v>174</v>
      </c>
      <c r="B1188" t="s">
        <v>3178</v>
      </c>
      <c r="C1188">
        <v>0</v>
      </c>
      <c r="I1188" s="2">
        <v>6</v>
      </c>
      <c r="J1188" s="2" t="s">
        <v>3229</v>
      </c>
      <c r="K1188">
        <v>2020</v>
      </c>
      <c r="L1188" s="2" t="s">
        <v>32</v>
      </c>
      <c r="M1188" t="s">
        <v>46</v>
      </c>
      <c r="N1188" s="31">
        <v>37</v>
      </c>
      <c r="O1188">
        <v>4</v>
      </c>
      <c r="P1188" s="31" t="s">
        <v>30</v>
      </c>
      <c r="Q1188" t="s">
        <v>38</v>
      </c>
      <c r="S1188" s="5">
        <v>34.693049999999999</v>
      </c>
      <c r="T1188" s="5">
        <v>-120.04276</v>
      </c>
      <c r="U1188" s="2">
        <v>1097</v>
      </c>
      <c r="V1188" s="7">
        <v>334.36559999999997</v>
      </c>
      <c r="W1188" s="2" t="s">
        <v>2324</v>
      </c>
      <c r="X1188" s="2" t="s">
        <v>2327</v>
      </c>
      <c r="Y1188" s="2" t="s">
        <v>2445</v>
      </c>
      <c r="AA1188" s="2" t="s">
        <v>3299</v>
      </c>
    </row>
    <row r="1189" spans="1:27" x14ac:dyDescent="0.2">
      <c r="A1189">
        <v>174</v>
      </c>
      <c r="B1189" t="s">
        <v>3179</v>
      </c>
      <c r="C1189">
        <v>0</v>
      </c>
      <c r="I1189" s="2">
        <v>6</v>
      </c>
      <c r="J1189" s="2" t="s">
        <v>3229</v>
      </c>
      <c r="K1189">
        <v>2020</v>
      </c>
      <c r="L1189" s="2" t="s">
        <v>32</v>
      </c>
      <c r="M1189" t="s">
        <v>46</v>
      </c>
      <c r="N1189" s="31">
        <v>43</v>
      </c>
      <c r="O1189">
        <f>24.5-18</f>
        <v>6.5</v>
      </c>
      <c r="P1189" s="31" t="s">
        <v>30</v>
      </c>
      <c r="Q1189" t="s">
        <v>42</v>
      </c>
      <c r="S1189" s="4">
        <v>34.693280000000001</v>
      </c>
      <c r="T1189" s="4">
        <v>120.04285</v>
      </c>
      <c r="U1189">
        <v>1118</v>
      </c>
      <c r="V1189" s="6">
        <f t="shared" si="96"/>
        <v>340.76640000000003</v>
      </c>
      <c r="W1189" s="2" t="s">
        <v>3116</v>
      </c>
      <c r="X1189" s="2" t="s">
        <v>3117</v>
      </c>
      <c r="Y1189" s="2" t="s">
        <v>2448</v>
      </c>
      <c r="AA1189" s="2" t="s">
        <v>3300</v>
      </c>
    </row>
    <row r="1190" spans="1:27" x14ac:dyDescent="0.2">
      <c r="A1190">
        <v>173</v>
      </c>
      <c r="B1190" t="s">
        <v>3180</v>
      </c>
      <c r="C1190">
        <v>0</v>
      </c>
      <c r="I1190" s="2">
        <v>6</v>
      </c>
      <c r="J1190" s="2" t="s">
        <v>3229</v>
      </c>
      <c r="K1190">
        <v>2020</v>
      </c>
      <c r="L1190" s="2" t="s">
        <v>32</v>
      </c>
      <c r="M1190" t="s">
        <v>46</v>
      </c>
      <c r="N1190" s="31">
        <v>33</v>
      </c>
      <c r="O1190">
        <v>3.5</v>
      </c>
      <c r="P1190" s="31" t="s">
        <v>30</v>
      </c>
      <c r="Q1190" t="s">
        <v>42</v>
      </c>
      <c r="S1190" s="29">
        <v>34.69332</v>
      </c>
      <c r="T1190" s="29">
        <v>-120.03913</v>
      </c>
      <c r="U1190" s="13">
        <v>1079</v>
      </c>
      <c r="V1190" s="6">
        <f t="shared" si="96"/>
        <v>328.87920000000003</v>
      </c>
      <c r="W1190" s="2" t="s">
        <v>898</v>
      </c>
      <c r="X1190" s="2" t="s">
        <v>2330</v>
      </c>
      <c r="Y1190" s="2" t="s">
        <v>597</v>
      </c>
      <c r="AA1190" s="2" t="s">
        <v>3309</v>
      </c>
    </row>
    <row r="1191" spans="1:27" x14ac:dyDescent="0.2">
      <c r="A1191">
        <v>173</v>
      </c>
      <c r="B1191" t="s">
        <v>3181</v>
      </c>
      <c r="C1191">
        <v>0</v>
      </c>
      <c r="I1191" s="2">
        <v>6</v>
      </c>
      <c r="J1191" s="2" t="s">
        <v>3229</v>
      </c>
      <c r="K1191">
        <v>2020</v>
      </c>
      <c r="L1191" s="2" t="s">
        <v>32</v>
      </c>
      <c r="M1191" t="s">
        <v>46</v>
      </c>
      <c r="N1191" s="31">
        <v>35</v>
      </c>
      <c r="O1191">
        <f>13-8.5</f>
        <v>4.5</v>
      </c>
      <c r="P1191" s="31" t="s">
        <v>30</v>
      </c>
      <c r="Q1191" t="s">
        <v>38</v>
      </c>
      <c r="S1191" s="29">
        <v>34.69332</v>
      </c>
      <c r="T1191" s="29">
        <v>-120.03913</v>
      </c>
      <c r="U1191" s="13">
        <v>1079</v>
      </c>
      <c r="V1191" s="6">
        <f t="shared" si="96"/>
        <v>328.87920000000003</v>
      </c>
      <c r="W1191" s="2" t="s">
        <v>3115</v>
      </c>
      <c r="X1191" s="2" t="s">
        <v>2330</v>
      </c>
      <c r="Y1191" s="2" t="s">
        <v>1089</v>
      </c>
      <c r="Z1191" s="2"/>
      <c r="AA1191" s="2" t="s">
        <v>3310</v>
      </c>
    </row>
    <row r="1192" spans="1:27" x14ac:dyDescent="0.2">
      <c r="A1192">
        <v>173</v>
      </c>
      <c r="B1192" t="s">
        <v>3182</v>
      </c>
      <c r="C1192">
        <v>0.18897640705108643</v>
      </c>
      <c r="I1192" s="2">
        <v>6</v>
      </c>
      <c r="J1192" s="2" t="s">
        <v>3229</v>
      </c>
      <c r="K1192">
        <v>2020</v>
      </c>
      <c r="L1192" s="2" t="s">
        <v>32</v>
      </c>
      <c r="M1192" t="s">
        <v>46</v>
      </c>
      <c r="N1192" s="31">
        <v>31</v>
      </c>
      <c r="O1192">
        <v>2</v>
      </c>
      <c r="P1192" s="31" t="s">
        <v>30</v>
      </c>
      <c r="Q1192" t="s">
        <v>38</v>
      </c>
      <c r="S1192" s="29">
        <v>34.69332</v>
      </c>
      <c r="T1192" s="29">
        <v>-120.03913</v>
      </c>
      <c r="U1192" s="13">
        <v>1079</v>
      </c>
      <c r="V1192" s="6">
        <f t="shared" si="96"/>
        <v>328.87920000000003</v>
      </c>
      <c r="W1192" s="2" t="s">
        <v>2346</v>
      </c>
      <c r="X1192" s="2" t="s">
        <v>2330</v>
      </c>
      <c r="Y1192" s="2" t="s">
        <v>1089</v>
      </c>
      <c r="Z1192" s="2"/>
      <c r="AA1192" s="2" t="s">
        <v>3311</v>
      </c>
    </row>
    <row r="1193" spans="1:27" x14ac:dyDescent="0.2">
      <c r="A1193">
        <v>173</v>
      </c>
      <c r="B1193" t="s">
        <v>3183</v>
      </c>
      <c r="C1193">
        <v>3.0870647430419922</v>
      </c>
      <c r="I1193" s="2">
        <v>6</v>
      </c>
      <c r="J1193" s="2" t="s">
        <v>3229</v>
      </c>
      <c r="K1193">
        <v>2020</v>
      </c>
      <c r="L1193" s="2" t="s">
        <v>32</v>
      </c>
      <c r="M1193" t="s">
        <v>46</v>
      </c>
      <c r="N1193" s="31">
        <v>31</v>
      </c>
      <c r="O1193">
        <v>2.5</v>
      </c>
      <c r="P1193" s="31" t="s">
        <v>30</v>
      </c>
      <c r="Q1193" t="s">
        <v>38</v>
      </c>
      <c r="S1193" s="29">
        <v>34.69332</v>
      </c>
      <c r="T1193" s="29">
        <v>-120.03913</v>
      </c>
      <c r="U1193" s="13">
        <v>1079</v>
      </c>
      <c r="V1193" s="6">
        <f t="shared" si="96"/>
        <v>328.87920000000003</v>
      </c>
      <c r="W1193" s="2" t="s">
        <v>2346</v>
      </c>
      <c r="X1193" s="2" t="s">
        <v>2330</v>
      </c>
      <c r="Y1193" s="2" t="s">
        <v>805</v>
      </c>
      <c r="Z1193" s="2"/>
      <c r="AA1193" s="2" t="s">
        <v>3312</v>
      </c>
    </row>
    <row r="1194" spans="1:27" x14ac:dyDescent="0.2">
      <c r="A1194">
        <v>173</v>
      </c>
      <c r="B1194" t="s">
        <v>3184</v>
      </c>
      <c r="C1194">
        <v>0.14847785234451294</v>
      </c>
      <c r="I1194" s="2">
        <v>6</v>
      </c>
      <c r="J1194" s="2" t="s">
        <v>3229</v>
      </c>
      <c r="K1194">
        <v>2020</v>
      </c>
      <c r="L1194" s="2" t="s">
        <v>32</v>
      </c>
      <c r="M1194" t="s">
        <v>46</v>
      </c>
      <c r="N1194" s="31">
        <v>31</v>
      </c>
      <c r="O1194">
        <v>2</v>
      </c>
      <c r="P1194" s="31" t="s">
        <v>30</v>
      </c>
      <c r="Q1194" t="s">
        <v>38</v>
      </c>
      <c r="S1194" s="29">
        <v>34.69332</v>
      </c>
      <c r="T1194" s="29">
        <v>-120.03913</v>
      </c>
      <c r="U1194" s="13">
        <v>1079</v>
      </c>
      <c r="V1194" s="6">
        <f t="shared" si="96"/>
        <v>328.87920000000003</v>
      </c>
      <c r="W1194" s="2" t="s">
        <v>3115</v>
      </c>
      <c r="X1194" s="2" t="s">
        <v>2330</v>
      </c>
      <c r="Y1194" s="2" t="s">
        <v>806</v>
      </c>
      <c r="Z1194" s="2"/>
      <c r="AA1194" s="2" t="s">
        <v>3313</v>
      </c>
    </row>
    <row r="1195" spans="1:27" x14ac:dyDescent="0.2">
      <c r="A1195">
        <v>173</v>
      </c>
      <c r="B1195" t="s">
        <v>3185</v>
      </c>
      <c r="C1195">
        <v>0</v>
      </c>
      <c r="I1195" s="2">
        <v>6</v>
      </c>
      <c r="J1195" s="2" t="s">
        <v>3229</v>
      </c>
      <c r="K1195">
        <v>2020</v>
      </c>
      <c r="L1195" s="2" t="s">
        <v>32</v>
      </c>
      <c r="M1195" t="s">
        <v>46</v>
      </c>
      <c r="N1195" s="31">
        <v>26</v>
      </c>
      <c r="O1195">
        <v>1.5</v>
      </c>
      <c r="P1195" s="31" t="s">
        <v>30</v>
      </c>
      <c r="Q1195" t="s">
        <v>42</v>
      </c>
      <c r="S1195" s="29">
        <v>34.69332</v>
      </c>
      <c r="T1195" s="29">
        <v>-120.03913</v>
      </c>
      <c r="U1195" s="13">
        <v>1079</v>
      </c>
      <c r="V1195" s="6">
        <f t="shared" si="96"/>
        <v>328.87920000000003</v>
      </c>
      <c r="W1195" s="2" t="s">
        <v>2346</v>
      </c>
      <c r="X1195" s="2" t="s">
        <v>2330</v>
      </c>
      <c r="Y1195" s="2" t="s">
        <v>121</v>
      </c>
      <c r="Z1195" s="2"/>
      <c r="AA1195" s="2" t="s">
        <v>3314</v>
      </c>
    </row>
    <row r="1196" spans="1:27" x14ac:dyDescent="0.2">
      <c r="A1196">
        <v>173</v>
      </c>
      <c r="B1196" t="s">
        <v>3186</v>
      </c>
      <c r="C1196">
        <v>0.13234794139862061</v>
      </c>
      <c r="I1196" s="2">
        <v>6</v>
      </c>
      <c r="J1196" s="2" t="s">
        <v>3229</v>
      </c>
      <c r="K1196">
        <v>2020</v>
      </c>
      <c r="L1196" s="2" t="s">
        <v>33</v>
      </c>
      <c r="M1196" t="s">
        <v>46</v>
      </c>
      <c r="N1196" s="31">
        <v>22</v>
      </c>
      <c r="O1196">
        <f>7-5.5</f>
        <v>1.5</v>
      </c>
      <c r="P1196" s="31" t="s">
        <v>30</v>
      </c>
      <c r="R1196" t="s">
        <v>89</v>
      </c>
      <c r="S1196" s="29">
        <v>34.69332</v>
      </c>
      <c r="T1196" s="29">
        <v>-120.03913</v>
      </c>
      <c r="U1196" s="13">
        <v>1079</v>
      </c>
      <c r="V1196" s="6">
        <f t="shared" si="96"/>
        <v>328.87920000000003</v>
      </c>
      <c r="W1196" s="2" t="s">
        <v>2346</v>
      </c>
      <c r="X1196" s="2" t="s">
        <v>2330</v>
      </c>
      <c r="Y1196" s="2" t="s">
        <v>79</v>
      </c>
      <c r="Z1196" s="2"/>
      <c r="AA1196" s="2" t="s">
        <v>3315</v>
      </c>
    </row>
    <row r="1197" spans="1:27" x14ac:dyDescent="0.2">
      <c r="A1197">
        <v>173</v>
      </c>
      <c r="B1197" t="s">
        <v>3187</v>
      </c>
      <c r="C1197">
        <v>0.22499799728393555</v>
      </c>
      <c r="I1197" s="2">
        <v>6</v>
      </c>
      <c r="J1197" s="2" t="s">
        <v>3229</v>
      </c>
      <c r="K1197">
        <v>2020</v>
      </c>
      <c r="L1197" s="2" t="s">
        <v>32</v>
      </c>
      <c r="M1197" t="s">
        <v>46</v>
      </c>
      <c r="N1197" s="31">
        <v>39</v>
      </c>
      <c r="O1197">
        <v>5</v>
      </c>
      <c r="P1197" s="31" t="s">
        <v>30</v>
      </c>
      <c r="Q1197" t="s">
        <v>42</v>
      </c>
      <c r="S1197" s="29">
        <v>34.69332</v>
      </c>
      <c r="T1197" s="29">
        <v>-120.03913</v>
      </c>
      <c r="U1197" s="13">
        <v>1079</v>
      </c>
      <c r="V1197" s="6">
        <f t="shared" si="96"/>
        <v>328.87920000000003</v>
      </c>
      <c r="W1197" s="2" t="s">
        <v>2346</v>
      </c>
      <c r="X1197" s="2" t="s">
        <v>2330</v>
      </c>
      <c r="Y1197" s="2" t="s">
        <v>79</v>
      </c>
      <c r="Z1197" s="2"/>
      <c r="AA1197" s="2" t="s">
        <v>3316</v>
      </c>
    </row>
    <row r="1198" spans="1:27" x14ac:dyDescent="0.2">
      <c r="A1198">
        <v>173</v>
      </c>
      <c r="B1198" t="s">
        <v>3188</v>
      </c>
      <c r="C1198">
        <v>1.6874052286148071</v>
      </c>
      <c r="I1198" s="2">
        <v>6</v>
      </c>
      <c r="J1198" s="2" t="s">
        <v>3229</v>
      </c>
      <c r="K1198">
        <v>2020</v>
      </c>
      <c r="L1198" s="2" t="s">
        <v>32</v>
      </c>
      <c r="M1198" t="s">
        <v>46</v>
      </c>
      <c r="N1198" s="31">
        <v>36</v>
      </c>
      <c r="O1198">
        <v>3</v>
      </c>
      <c r="P1198" s="31" t="s">
        <v>30</v>
      </c>
      <c r="Q1198" t="s">
        <v>42</v>
      </c>
      <c r="S1198" s="29">
        <v>34.69332</v>
      </c>
      <c r="T1198" s="29">
        <v>-120.03913</v>
      </c>
      <c r="U1198" s="13">
        <v>1079</v>
      </c>
      <c r="V1198" s="6">
        <f t="shared" si="96"/>
        <v>328.87920000000003</v>
      </c>
      <c r="W1198" s="2" t="s">
        <v>2346</v>
      </c>
      <c r="X1198" s="2" t="s">
        <v>2330</v>
      </c>
      <c r="Y1198" s="2" t="s">
        <v>587</v>
      </c>
      <c r="Z1198" s="2"/>
      <c r="AA1198" s="2" t="s">
        <v>3317</v>
      </c>
    </row>
    <row r="1199" spans="1:27" x14ac:dyDescent="0.2">
      <c r="A1199">
        <v>173</v>
      </c>
      <c r="B1199" t="s">
        <v>3189</v>
      </c>
      <c r="C1199">
        <v>0.20035317540168762</v>
      </c>
      <c r="I1199" s="2">
        <v>6</v>
      </c>
      <c r="J1199" s="2" t="s">
        <v>3229</v>
      </c>
      <c r="K1199">
        <v>2020</v>
      </c>
      <c r="L1199" s="2" t="s">
        <v>32</v>
      </c>
      <c r="M1199" t="s">
        <v>46</v>
      </c>
      <c r="N1199" s="31">
        <v>30</v>
      </c>
      <c r="O1199">
        <v>2</v>
      </c>
      <c r="P1199" s="31" t="s">
        <v>30</v>
      </c>
      <c r="Q1199" t="s">
        <v>42</v>
      </c>
      <c r="S1199" s="29">
        <v>34.69332</v>
      </c>
      <c r="T1199" s="29">
        <v>-120.03913</v>
      </c>
      <c r="U1199" s="13">
        <v>1079</v>
      </c>
      <c r="V1199" s="6">
        <f t="shared" si="96"/>
        <v>328.87920000000003</v>
      </c>
      <c r="W1199" s="2" t="s">
        <v>2346</v>
      </c>
      <c r="X1199" s="2" t="s">
        <v>2330</v>
      </c>
      <c r="Y1199" s="2" t="s">
        <v>694</v>
      </c>
      <c r="Z1199" s="2"/>
      <c r="AA1199" s="2" t="s">
        <v>3318</v>
      </c>
    </row>
    <row r="1200" spans="1:27" x14ac:dyDescent="0.2">
      <c r="A1200">
        <v>173</v>
      </c>
      <c r="B1200" t="s">
        <v>3190</v>
      </c>
      <c r="C1200">
        <v>2.8184762001037598</v>
      </c>
      <c r="I1200" s="2">
        <v>6</v>
      </c>
      <c r="J1200" s="2" t="s">
        <v>3229</v>
      </c>
      <c r="K1200">
        <v>2020</v>
      </c>
      <c r="L1200" s="2" t="s">
        <v>33</v>
      </c>
      <c r="M1200" t="s">
        <v>46</v>
      </c>
      <c r="N1200" s="31">
        <v>29</v>
      </c>
      <c r="O1200">
        <v>3</v>
      </c>
      <c r="P1200" s="31" t="s">
        <v>30</v>
      </c>
      <c r="R1200" t="s">
        <v>89</v>
      </c>
      <c r="S1200" s="29">
        <v>34.69332</v>
      </c>
      <c r="T1200" s="29">
        <v>-120.03913</v>
      </c>
      <c r="U1200" s="13">
        <v>1079</v>
      </c>
      <c r="V1200" s="6">
        <f t="shared" si="96"/>
        <v>328.87920000000003</v>
      </c>
      <c r="W1200" s="2" t="s">
        <v>2346</v>
      </c>
      <c r="X1200" s="2" t="s">
        <v>2330</v>
      </c>
      <c r="Y1200" s="2" t="s">
        <v>694</v>
      </c>
      <c r="Z1200" s="2"/>
      <c r="AA1200" s="2" t="s">
        <v>3319</v>
      </c>
    </row>
    <row r="1201" spans="1:27" x14ac:dyDescent="0.2">
      <c r="A1201">
        <v>173</v>
      </c>
      <c r="B1201" t="s">
        <v>3191</v>
      </c>
      <c r="C1201">
        <v>0</v>
      </c>
      <c r="I1201" s="2">
        <v>6</v>
      </c>
      <c r="J1201" s="2" t="s">
        <v>3229</v>
      </c>
      <c r="K1201">
        <v>2020</v>
      </c>
      <c r="L1201" s="2" t="s">
        <v>32</v>
      </c>
      <c r="M1201" t="s">
        <v>46</v>
      </c>
      <c r="N1201" s="31">
        <v>24</v>
      </c>
      <c r="O1201">
        <v>3</v>
      </c>
      <c r="P1201" s="31" t="s">
        <v>30</v>
      </c>
      <c r="R1201" t="s">
        <v>89</v>
      </c>
      <c r="S1201" s="29">
        <v>34.69332</v>
      </c>
      <c r="T1201" s="29">
        <v>-120.03913</v>
      </c>
      <c r="U1201" s="13">
        <v>1079</v>
      </c>
      <c r="V1201" s="6">
        <f t="shared" si="96"/>
        <v>328.87920000000003</v>
      </c>
      <c r="W1201" s="2" t="s">
        <v>2346</v>
      </c>
      <c r="X1201" s="2" t="s">
        <v>2330</v>
      </c>
      <c r="Y1201" s="2" t="s">
        <v>696</v>
      </c>
      <c r="Z1201" s="2"/>
      <c r="AA1201" s="2" t="s">
        <v>3320</v>
      </c>
    </row>
    <row r="1202" spans="1:27" x14ac:dyDescent="0.2">
      <c r="A1202">
        <v>173</v>
      </c>
      <c r="B1202" t="s">
        <v>3192</v>
      </c>
      <c r="C1202">
        <v>0</v>
      </c>
      <c r="I1202" s="2">
        <v>6</v>
      </c>
      <c r="J1202" s="2" t="s">
        <v>3229</v>
      </c>
      <c r="K1202">
        <v>2020</v>
      </c>
      <c r="L1202" s="2" t="s">
        <v>32</v>
      </c>
      <c r="M1202" t="s">
        <v>46</v>
      </c>
      <c r="N1202" s="31">
        <v>41</v>
      </c>
      <c r="O1202">
        <f>13-7.5</f>
        <v>5.5</v>
      </c>
      <c r="P1202" s="31" t="s">
        <v>30</v>
      </c>
      <c r="Q1202" t="s">
        <v>42</v>
      </c>
      <c r="S1202" s="29">
        <v>34.69332</v>
      </c>
      <c r="T1202" s="29">
        <v>-120.03913</v>
      </c>
      <c r="U1202" s="13">
        <v>1079</v>
      </c>
      <c r="V1202" s="6">
        <f t="shared" si="96"/>
        <v>328.87920000000003</v>
      </c>
      <c r="W1202" s="2" t="s">
        <v>2346</v>
      </c>
      <c r="X1202" s="2" t="s">
        <v>2330</v>
      </c>
      <c r="Y1202" s="2" t="s">
        <v>1109</v>
      </c>
      <c r="Z1202" s="2"/>
      <c r="AA1202" s="2" t="s">
        <v>3321</v>
      </c>
    </row>
    <row r="1203" spans="1:27" x14ac:dyDescent="0.2">
      <c r="A1203">
        <v>174</v>
      </c>
      <c r="B1203" t="s">
        <v>3193</v>
      </c>
      <c r="C1203">
        <v>0</v>
      </c>
      <c r="I1203" s="2">
        <v>7</v>
      </c>
      <c r="J1203" s="2" t="s">
        <v>3229</v>
      </c>
      <c r="K1203">
        <v>2020</v>
      </c>
      <c r="L1203" s="2" t="s">
        <v>33</v>
      </c>
      <c r="M1203" t="s">
        <v>46</v>
      </c>
      <c r="N1203" s="31">
        <v>66</v>
      </c>
      <c r="O1203">
        <f>40.5-10</f>
        <v>30.5</v>
      </c>
      <c r="P1203" s="31" t="s">
        <v>30</v>
      </c>
      <c r="Q1203" t="s">
        <v>42</v>
      </c>
      <c r="S1203" s="4">
        <v>34.692830000000001</v>
      </c>
      <c r="T1203" s="4">
        <v>-120.04085000000001</v>
      </c>
      <c r="U1203">
        <v>1009</v>
      </c>
      <c r="V1203" s="6">
        <f t="shared" si="96"/>
        <v>307.54320000000001</v>
      </c>
      <c r="W1203" s="2" t="s">
        <v>3231</v>
      </c>
      <c r="X1203" s="2" t="s">
        <v>2791</v>
      </c>
      <c r="Y1203" s="2" t="s">
        <v>2537</v>
      </c>
      <c r="AA1203" s="2" t="s">
        <v>3322</v>
      </c>
    </row>
    <row r="1204" spans="1:27" x14ac:dyDescent="0.2">
      <c r="A1204">
        <v>174</v>
      </c>
      <c r="B1204" t="s">
        <v>3194</v>
      </c>
      <c r="C1204">
        <v>0</v>
      </c>
      <c r="I1204" s="2">
        <v>7</v>
      </c>
      <c r="J1204" s="2" t="s">
        <v>3229</v>
      </c>
      <c r="K1204">
        <v>2020</v>
      </c>
      <c r="L1204" s="2" t="s">
        <v>33</v>
      </c>
      <c r="M1204" t="s">
        <v>46</v>
      </c>
      <c r="N1204" s="31">
        <v>67.5</v>
      </c>
      <c r="O1204">
        <f>56-16.5</f>
        <v>39.5</v>
      </c>
      <c r="P1204" s="31" t="s">
        <v>30</v>
      </c>
      <c r="Q1204" t="s">
        <v>42</v>
      </c>
      <c r="S1204" s="4">
        <v>34.692740000000001</v>
      </c>
      <c r="T1204" s="4">
        <v>-120.04123</v>
      </c>
      <c r="U1204">
        <v>1014</v>
      </c>
      <c r="V1204" s="6">
        <f t="shared" si="96"/>
        <v>309.06720000000001</v>
      </c>
      <c r="W1204" s="2" t="s">
        <v>3231</v>
      </c>
      <c r="X1204" s="2" t="s">
        <v>2791</v>
      </c>
      <c r="Y1204" s="2" t="s">
        <v>2478</v>
      </c>
      <c r="AA1204" s="2" t="s">
        <v>3323</v>
      </c>
    </row>
    <row r="1205" spans="1:27" x14ac:dyDescent="0.2">
      <c r="A1205">
        <v>174</v>
      </c>
      <c r="B1205" t="s">
        <v>3195</v>
      </c>
      <c r="C1205">
        <v>0</v>
      </c>
      <c r="I1205" s="2">
        <v>7</v>
      </c>
      <c r="J1205" s="2" t="s">
        <v>3229</v>
      </c>
      <c r="K1205">
        <v>2020</v>
      </c>
      <c r="L1205" s="2" t="s">
        <v>33</v>
      </c>
      <c r="M1205" t="s">
        <v>46</v>
      </c>
      <c r="N1205" s="31">
        <v>57</v>
      </c>
      <c r="O1205">
        <f>27.5-3</f>
        <v>24.5</v>
      </c>
      <c r="P1205" s="31" t="s">
        <v>30</v>
      </c>
      <c r="Q1205" t="s">
        <v>42</v>
      </c>
      <c r="S1205" s="4">
        <v>34.692799999999998</v>
      </c>
      <c r="T1205" s="4">
        <v>-120.04132</v>
      </c>
      <c r="U1205">
        <v>999</v>
      </c>
      <c r="V1205" s="6">
        <f t="shared" si="96"/>
        <v>304.49520000000001</v>
      </c>
      <c r="W1205" s="2" t="s">
        <v>3231</v>
      </c>
      <c r="X1205" s="2" t="s">
        <v>2791</v>
      </c>
      <c r="Y1205" s="2" t="s">
        <v>3301</v>
      </c>
      <c r="AA1205" s="2" t="s">
        <v>2520</v>
      </c>
    </row>
    <row r="1206" spans="1:27" x14ac:dyDescent="0.2">
      <c r="A1206">
        <v>174</v>
      </c>
      <c r="B1206" t="s">
        <v>3196</v>
      </c>
      <c r="C1206">
        <v>0</v>
      </c>
      <c r="I1206" s="2">
        <v>7</v>
      </c>
      <c r="J1206" s="2" t="s">
        <v>3229</v>
      </c>
      <c r="K1206">
        <v>2020</v>
      </c>
      <c r="L1206" s="2" t="s">
        <v>33</v>
      </c>
      <c r="M1206" t="s">
        <v>46</v>
      </c>
      <c r="N1206" s="31">
        <v>72</v>
      </c>
      <c r="O1206">
        <f>53-8.5</f>
        <v>44.5</v>
      </c>
      <c r="P1206" s="31" t="s">
        <v>30</v>
      </c>
      <c r="Q1206" t="s">
        <v>42</v>
      </c>
      <c r="S1206" s="4">
        <v>34.692830000000001</v>
      </c>
      <c r="T1206" s="4">
        <v>-120.0414</v>
      </c>
      <c r="U1206">
        <v>998</v>
      </c>
      <c r="V1206" s="6">
        <f t="shared" si="96"/>
        <v>304.19040000000001</v>
      </c>
      <c r="W1206" s="2" t="s">
        <v>3231</v>
      </c>
      <c r="X1206" s="2" t="s">
        <v>2791</v>
      </c>
      <c r="Y1206" s="2" t="s">
        <v>3302</v>
      </c>
      <c r="AA1206" s="2" t="s">
        <v>3324</v>
      </c>
    </row>
    <row r="1207" spans="1:27" x14ac:dyDescent="0.2">
      <c r="A1207">
        <v>174</v>
      </c>
      <c r="B1207" t="s">
        <v>3197</v>
      </c>
      <c r="C1207">
        <v>0.59745138883590698</v>
      </c>
      <c r="I1207" s="2">
        <v>7</v>
      </c>
      <c r="J1207" s="2" t="s">
        <v>3229</v>
      </c>
      <c r="K1207">
        <v>2020</v>
      </c>
      <c r="L1207" s="2" t="s">
        <v>33</v>
      </c>
      <c r="M1207" t="s">
        <v>46</v>
      </c>
      <c r="N1207" s="31">
        <v>89.5</v>
      </c>
      <c r="O1207">
        <f>86-5</f>
        <v>81</v>
      </c>
      <c r="P1207" s="31" t="s">
        <v>30</v>
      </c>
      <c r="Q1207" t="s">
        <v>42</v>
      </c>
      <c r="S1207" s="4">
        <v>34.69285</v>
      </c>
      <c r="T1207" s="4">
        <v>-120.0415</v>
      </c>
      <c r="U1207">
        <v>1000</v>
      </c>
      <c r="V1207" s="6">
        <f t="shared" si="96"/>
        <v>304.8</v>
      </c>
      <c r="W1207" s="2" t="s">
        <v>3231</v>
      </c>
      <c r="X1207" s="2" t="s">
        <v>2791</v>
      </c>
      <c r="Y1207" s="2" t="s">
        <v>3303</v>
      </c>
      <c r="Z1207" s="2" t="s">
        <v>3326</v>
      </c>
      <c r="AA1207" s="2" t="s">
        <v>3325</v>
      </c>
    </row>
    <row r="1208" spans="1:27" x14ac:dyDescent="0.2">
      <c r="A1208">
        <v>175</v>
      </c>
      <c r="B1208" t="s">
        <v>3198</v>
      </c>
      <c r="C1208">
        <v>0</v>
      </c>
      <c r="I1208" s="2">
        <v>7</v>
      </c>
      <c r="J1208" s="2" t="s">
        <v>3229</v>
      </c>
      <c r="K1208">
        <v>2020</v>
      </c>
      <c r="L1208" s="2" t="s">
        <v>33</v>
      </c>
      <c r="M1208" t="s">
        <v>46</v>
      </c>
      <c r="N1208" s="31">
        <v>67</v>
      </c>
      <c r="O1208">
        <f>53.5-6</f>
        <v>47.5</v>
      </c>
      <c r="P1208" s="31" t="s">
        <v>30</v>
      </c>
      <c r="Q1208" t="s">
        <v>42</v>
      </c>
      <c r="S1208" s="4">
        <v>34.69341</v>
      </c>
      <c r="T1208" s="4">
        <v>-120.04078</v>
      </c>
      <c r="U1208">
        <v>1028</v>
      </c>
      <c r="V1208" s="6">
        <f t="shared" si="96"/>
        <v>313.33440000000002</v>
      </c>
      <c r="W1208" s="2" t="s">
        <v>3231</v>
      </c>
      <c r="X1208" s="2" t="s">
        <v>2332</v>
      </c>
      <c r="Y1208" s="2" t="s">
        <v>2400</v>
      </c>
      <c r="Z1208" s="2" t="s">
        <v>776</v>
      </c>
      <c r="AA1208" s="2" t="s">
        <v>3327</v>
      </c>
    </row>
    <row r="1209" spans="1:27" x14ac:dyDescent="0.2">
      <c r="A1209">
        <v>175</v>
      </c>
      <c r="B1209" t="s">
        <v>3199</v>
      </c>
      <c r="C1209">
        <v>0</v>
      </c>
      <c r="I1209" s="2">
        <v>7</v>
      </c>
      <c r="J1209" s="2" t="s">
        <v>3229</v>
      </c>
      <c r="K1209">
        <v>2020</v>
      </c>
      <c r="L1209" s="2" t="s">
        <v>33</v>
      </c>
      <c r="M1209" t="s">
        <v>46</v>
      </c>
      <c r="N1209" s="31">
        <v>52</v>
      </c>
      <c r="O1209">
        <f>19.5-3</f>
        <v>16.5</v>
      </c>
      <c r="P1209" s="31" t="s">
        <v>30</v>
      </c>
      <c r="Q1209" t="s">
        <v>42</v>
      </c>
      <c r="S1209" s="4">
        <v>34.693719999999999</v>
      </c>
      <c r="T1209" s="4">
        <v>-120.04109</v>
      </c>
      <c r="U1209">
        <v>1035</v>
      </c>
      <c r="V1209" s="6">
        <f t="shared" si="96"/>
        <v>315.46800000000002</v>
      </c>
      <c r="W1209" s="2" t="s">
        <v>3231</v>
      </c>
      <c r="X1209" s="2" t="s">
        <v>2332</v>
      </c>
      <c r="Y1209" s="2" t="s">
        <v>3304</v>
      </c>
      <c r="AA1209" s="2" t="s">
        <v>3328</v>
      </c>
    </row>
    <row r="1210" spans="1:27" x14ac:dyDescent="0.2">
      <c r="A1210">
        <v>175</v>
      </c>
      <c r="B1210" t="s">
        <v>3200</v>
      </c>
      <c r="C1210">
        <v>0</v>
      </c>
      <c r="I1210" s="2">
        <v>7</v>
      </c>
      <c r="J1210" s="2" t="s">
        <v>3229</v>
      </c>
      <c r="K1210">
        <v>2020</v>
      </c>
      <c r="L1210" s="2" t="s">
        <v>33</v>
      </c>
      <c r="M1210" t="s">
        <v>46</v>
      </c>
      <c r="N1210" s="31">
        <v>36</v>
      </c>
      <c r="O1210">
        <v>6</v>
      </c>
      <c r="P1210" s="31" t="s">
        <v>30</v>
      </c>
      <c r="R1210" t="s">
        <v>89</v>
      </c>
      <c r="S1210" s="4">
        <v>34.693820000000002</v>
      </c>
      <c r="T1210" s="4">
        <v>-120.04119</v>
      </c>
      <c r="U1210">
        <v>1039</v>
      </c>
      <c r="V1210" s="6">
        <f t="shared" si="96"/>
        <v>316.68720000000002</v>
      </c>
      <c r="W1210" s="2" t="s">
        <v>3231</v>
      </c>
      <c r="X1210" s="2" t="s">
        <v>2332</v>
      </c>
      <c r="Y1210" s="2" t="s">
        <v>2449</v>
      </c>
      <c r="AA1210" s="2" t="s">
        <v>2608</v>
      </c>
    </row>
    <row r="1211" spans="1:27" x14ac:dyDescent="0.2">
      <c r="A1211">
        <v>175</v>
      </c>
      <c r="B1211" t="s">
        <v>3201</v>
      </c>
      <c r="C1211">
        <v>0</v>
      </c>
      <c r="I1211" s="2">
        <v>7</v>
      </c>
      <c r="J1211" s="2" t="s">
        <v>3229</v>
      </c>
      <c r="K1211">
        <v>2020</v>
      </c>
      <c r="L1211" s="2" t="s">
        <v>33</v>
      </c>
      <c r="M1211" t="s">
        <v>46</v>
      </c>
      <c r="N1211" s="31">
        <v>38</v>
      </c>
      <c r="O1211">
        <v>7</v>
      </c>
      <c r="P1211" s="31" t="s">
        <v>30</v>
      </c>
      <c r="R1211" t="s">
        <v>89</v>
      </c>
      <c r="S1211" s="4">
        <v>34.693820000000002</v>
      </c>
      <c r="T1211" s="4">
        <v>-120.04119</v>
      </c>
      <c r="U1211">
        <v>1039</v>
      </c>
      <c r="V1211" s="6">
        <f t="shared" si="96"/>
        <v>316.68720000000002</v>
      </c>
      <c r="W1211" s="2" t="s">
        <v>3231</v>
      </c>
      <c r="X1211" s="2" t="s">
        <v>2332</v>
      </c>
      <c r="Y1211" s="2" t="s">
        <v>2449</v>
      </c>
      <c r="AA1211" s="2" t="s">
        <v>3329</v>
      </c>
    </row>
    <row r="1212" spans="1:27" x14ac:dyDescent="0.2">
      <c r="A1212">
        <v>175</v>
      </c>
      <c r="B1212" t="s">
        <v>3202</v>
      </c>
      <c r="C1212">
        <v>0.14712227880954742</v>
      </c>
      <c r="I1212" s="2">
        <v>7</v>
      </c>
      <c r="J1212" s="2" t="s">
        <v>3229</v>
      </c>
      <c r="K1212">
        <v>2020</v>
      </c>
      <c r="L1212" s="2" t="s">
        <v>33</v>
      </c>
      <c r="M1212" t="s">
        <v>46</v>
      </c>
      <c r="N1212" s="31">
        <v>66</v>
      </c>
      <c r="O1212">
        <f>44.5-7</f>
        <v>37.5</v>
      </c>
      <c r="P1212" s="31" t="s">
        <v>30</v>
      </c>
      <c r="Q1212" t="s">
        <v>42</v>
      </c>
      <c r="S1212" s="4">
        <v>34.693820000000002</v>
      </c>
      <c r="T1212" s="4">
        <v>-120.04119</v>
      </c>
      <c r="U1212">
        <v>1039</v>
      </c>
      <c r="V1212" s="6">
        <f t="shared" si="96"/>
        <v>316.68720000000002</v>
      </c>
      <c r="W1212" s="2" t="s">
        <v>3231</v>
      </c>
      <c r="X1212" s="2" t="s">
        <v>2332</v>
      </c>
      <c r="Y1212" s="2" t="s">
        <v>2409</v>
      </c>
      <c r="AA1212" s="2" t="s">
        <v>3330</v>
      </c>
    </row>
    <row r="1213" spans="1:27" x14ac:dyDescent="0.2">
      <c r="A1213">
        <v>175</v>
      </c>
      <c r="B1213" t="s">
        <v>3203</v>
      </c>
      <c r="C1213">
        <v>0</v>
      </c>
      <c r="I1213" s="2">
        <v>7</v>
      </c>
      <c r="J1213" s="2" t="s">
        <v>3229</v>
      </c>
      <c r="K1213">
        <v>2020</v>
      </c>
      <c r="L1213" s="2" t="s">
        <v>33</v>
      </c>
      <c r="M1213" t="s">
        <v>46</v>
      </c>
      <c r="N1213" s="31">
        <v>66.5</v>
      </c>
      <c r="O1213">
        <f>43-6</f>
        <v>37</v>
      </c>
      <c r="P1213" s="31" t="s">
        <v>30</v>
      </c>
      <c r="Q1213" t="s">
        <v>42</v>
      </c>
      <c r="S1213" s="4">
        <v>34.693820000000002</v>
      </c>
      <c r="T1213" s="4">
        <v>-120.04119</v>
      </c>
      <c r="U1213">
        <v>1039</v>
      </c>
      <c r="V1213" s="6">
        <f t="shared" si="96"/>
        <v>316.68720000000002</v>
      </c>
      <c r="W1213" s="2" t="s">
        <v>3231</v>
      </c>
      <c r="X1213" s="2" t="s">
        <v>2332</v>
      </c>
      <c r="Y1213" s="2" t="s">
        <v>2409</v>
      </c>
      <c r="AA1213" s="2" t="s">
        <v>2609</v>
      </c>
    </row>
    <row r="1214" spans="1:27" x14ac:dyDescent="0.2">
      <c r="A1214">
        <v>175</v>
      </c>
      <c r="B1214" t="s">
        <v>3204</v>
      </c>
      <c r="C1214">
        <v>0.21039590239524841</v>
      </c>
      <c r="I1214" s="2">
        <v>7</v>
      </c>
      <c r="J1214" s="2" t="s">
        <v>3229</v>
      </c>
      <c r="K1214">
        <v>2020</v>
      </c>
      <c r="L1214" s="2" t="s">
        <v>33</v>
      </c>
      <c r="M1214" t="s">
        <v>46</v>
      </c>
      <c r="N1214" s="31">
        <v>32</v>
      </c>
      <c r="O1214">
        <v>4</v>
      </c>
      <c r="P1214" s="31" t="s">
        <v>30</v>
      </c>
      <c r="R1214" t="s">
        <v>89</v>
      </c>
      <c r="S1214" s="4">
        <v>34.693919999999999</v>
      </c>
      <c r="T1214" s="4">
        <v>-120.04123</v>
      </c>
      <c r="U1214">
        <v>1041</v>
      </c>
      <c r="V1214" s="6">
        <f t="shared" si="96"/>
        <v>317.29680000000002</v>
      </c>
      <c r="W1214" s="2" t="s">
        <v>3231</v>
      </c>
      <c r="X1214" s="2" t="s">
        <v>2332</v>
      </c>
      <c r="Y1214" s="2" t="s">
        <v>2401</v>
      </c>
      <c r="Z1214" s="2" t="s">
        <v>3332</v>
      </c>
      <c r="AA1214" s="2" t="s">
        <v>3331</v>
      </c>
    </row>
    <row r="1215" spans="1:27" x14ac:dyDescent="0.2">
      <c r="A1215">
        <v>175</v>
      </c>
      <c r="B1215" t="s">
        <v>3205</v>
      </c>
      <c r="C1215">
        <v>13.549429893493652</v>
      </c>
      <c r="I1215" s="2">
        <v>7</v>
      </c>
      <c r="J1215" s="2" t="s">
        <v>3229</v>
      </c>
      <c r="K1215">
        <v>2020</v>
      </c>
      <c r="L1215" s="2" t="s">
        <v>32</v>
      </c>
      <c r="M1215" t="s">
        <v>46</v>
      </c>
      <c r="N1215" s="31">
        <v>31</v>
      </c>
      <c r="O1215">
        <v>2</v>
      </c>
      <c r="P1215" s="31" t="s">
        <v>30</v>
      </c>
      <c r="Q1215" t="s">
        <v>42</v>
      </c>
      <c r="S1215" s="4">
        <v>34.693919999999999</v>
      </c>
      <c r="T1215" s="4">
        <v>-120.04123</v>
      </c>
      <c r="U1215">
        <v>1041</v>
      </c>
      <c r="V1215" s="6">
        <f t="shared" si="96"/>
        <v>317.29680000000002</v>
      </c>
      <c r="W1215" s="2" t="s">
        <v>3231</v>
      </c>
      <c r="X1215" s="2" t="s">
        <v>2332</v>
      </c>
      <c r="Y1215" s="2" t="s">
        <v>2401</v>
      </c>
      <c r="AA1215" s="2" t="s">
        <v>1805</v>
      </c>
    </row>
    <row r="1216" spans="1:27" x14ac:dyDescent="0.2">
      <c r="A1216">
        <v>175</v>
      </c>
      <c r="B1216" t="s">
        <v>3206</v>
      </c>
      <c r="C1216">
        <v>0.7379230260848999</v>
      </c>
      <c r="I1216" s="2">
        <v>7</v>
      </c>
      <c r="J1216" s="2" t="s">
        <v>3229</v>
      </c>
      <c r="K1216">
        <v>2020</v>
      </c>
      <c r="L1216" s="2" t="s">
        <v>33</v>
      </c>
      <c r="M1216" t="s">
        <v>46</v>
      </c>
      <c r="N1216" s="31">
        <v>37.5</v>
      </c>
      <c r="O1216">
        <f>11.5-3.5</f>
        <v>8</v>
      </c>
      <c r="P1216" s="31" t="s">
        <v>30</v>
      </c>
      <c r="R1216" t="s">
        <v>89</v>
      </c>
      <c r="S1216" s="4">
        <v>34.693919999999999</v>
      </c>
      <c r="T1216" s="4">
        <v>-120.04123</v>
      </c>
      <c r="U1216">
        <v>1041</v>
      </c>
      <c r="V1216" s="6">
        <f t="shared" si="96"/>
        <v>317.29680000000002</v>
      </c>
      <c r="W1216" s="2" t="s">
        <v>3231</v>
      </c>
      <c r="X1216" s="2" t="s">
        <v>2332</v>
      </c>
      <c r="Y1216" s="2" t="s">
        <v>2401</v>
      </c>
      <c r="AA1216" s="2" t="s">
        <v>3333</v>
      </c>
    </row>
    <row r="1217" spans="1:27" x14ac:dyDescent="0.2">
      <c r="A1217">
        <v>175</v>
      </c>
      <c r="B1217" t="s">
        <v>3207</v>
      </c>
      <c r="C1217">
        <v>0</v>
      </c>
      <c r="I1217" s="2">
        <v>7</v>
      </c>
      <c r="J1217" s="2" t="s">
        <v>3229</v>
      </c>
      <c r="K1217">
        <v>2020</v>
      </c>
      <c r="L1217" s="2" t="s">
        <v>33</v>
      </c>
      <c r="M1217" t="s">
        <v>46</v>
      </c>
      <c r="N1217" s="31">
        <v>42</v>
      </c>
      <c r="O1217">
        <f>14.5-3</f>
        <v>11.5</v>
      </c>
      <c r="P1217" s="31" t="s">
        <v>30</v>
      </c>
      <c r="R1217" t="s">
        <v>89</v>
      </c>
      <c r="S1217" s="4">
        <v>34.69397</v>
      </c>
      <c r="T1217" s="4">
        <v>-120.04132</v>
      </c>
      <c r="U1217">
        <v>1042</v>
      </c>
      <c r="V1217" s="6">
        <f t="shared" si="96"/>
        <v>317.60160000000002</v>
      </c>
      <c r="W1217" s="2" t="s">
        <v>3231</v>
      </c>
      <c r="X1217" s="2" t="s">
        <v>2332</v>
      </c>
      <c r="Y1217" s="2" t="s">
        <v>3305</v>
      </c>
      <c r="AA1217" s="2" t="s">
        <v>2617</v>
      </c>
    </row>
    <row r="1218" spans="1:27" x14ac:dyDescent="0.2">
      <c r="A1218">
        <v>175</v>
      </c>
      <c r="B1218" t="s">
        <v>3208</v>
      </c>
      <c r="C1218">
        <v>12.880775451660156</v>
      </c>
      <c r="I1218" s="2">
        <v>7</v>
      </c>
      <c r="J1218" s="2" t="s">
        <v>3229</v>
      </c>
      <c r="K1218">
        <v>2020</v>
      </c>
      <c r="L1218" s="2" t="s">
        <v>32</v>
      </c>
      <c r="M1218" t="s">
        <v>46</v>
      </c>
      <c r="N1218" s="31">
        <v>25</v>
      </c>
      <c r="O1218">
        <v>2</v>
      </c>
      <c r="P1218" s="31" t="s">
        <v>30</v>
      </c>
      <c r="R1218" t="s">
        <v>89</v>
      </c>
      <c r="S1218" s="4">
        <v>34.69397</v>
      </c>
      <c r="T1218" s="4">
        <v>-120.04132</v>
      </c>
      <c r="U1218">
        <v>1042</v>
      </c>
      <c r="V1218" s="6">
        <f t="shared" si="96"/>
        <v>317.60160000000002</v>
      </c>
      <c r="W1218" s="2" t="s">
        <v>3231</v>
      </c>
      <c r="X1218" s="2" t="s">
        <v>2332</v>
      </c>
      <c r="Y1218" s="2" t="s">
        <v>2411</v>
      </c>
      <c r="AA1218" s="2" t="s">
        <v>3334</v>
      </c>
    </row>
    <row r="1219" spans="1:27" x14ac:dyDescent="0.2">
      <c r="A1219">
        <v>175</v>
      </c>
      <c r="B1219" t="s">
        <v>3209</v>
      </c>
      <c r="C1219">
        <v>0</v>
      </c>
      <c r="I1219" s="2">
        <v>7</v>
      </c>
      <c r="J1219" s="2" t="s">
        <v>3229</v>
      </c>
      <c r="K1219">
        <v>2020</v>
      </c>
      <c r="L1219" s="2" t="s">
        <v>33</v>
      </c>
      <c r="M1219" t="s">
        <v>46</v>
      </c>
      <c r="N1219" s="31">
        <v>40</v>
      </c>
      <c r="O1219">
        <f>12.5-2</f>
        <v>10.5</v>
      </c>
      <c r="P1219" s="31" t="s">
        <v>30</v>
      </c>
      <c r="R1219" t="s">
        <v>89</v>
      </c>
      <c r="S1219" s="4">
        <v>34.694040000000001</v>
      </c>
      <c r="T1219" s="4">
        <v>-120.04134999999999</v>
      </c>
      <c r="U1219">
        <v>1043</v>
      </c>
      <c r="V1219" s="6">
        <f t="shared" si="96"/>
        <v>317.90640000000002</v>
      </c>
      <c r="W1219" s="2" t="s">
        <v>3231</v>
      </c>
      <c r="X1219" s="2" t="s">
        <v>2332</v>
      </c>
      <c r="Y1219" s="2" t="s">
        <v>2412</v>
      </c>
      <c r="AA1219" s="2" t="s">
        <v>2613</v>
      </c>
    </row>
    <row r="1220" spans="1:27" x14ac:dyDescent="0.2">
      <c r="A1220">
        <v>175</v>
      </c>
      <c r="B1220" t="s">
        <v>3210</v>
      </c>
      <c r="C1220">
        <v>0</v>
      </c>
      <c r="I1220" s="2">
        <v>7</v>
      </c>
      <c r="J1220" s="2" t="s">
        <v>3229</v>
      </c>
      <c r="K1220">
        <v>2020</v>
      </c>
      <c r="L1220" s="2" t="s">
        <v>33</v>
      </c>
      <c r="M1220" t="s">
        <v>46</v>
      </c>
      <c r="N1220" s="31">
        <v>40</v>
      </c>
      <c r="O1220">
        <v>9</v>
      </c>
      <c r="P1220" s="31" t="s">
        <v>30</v>
      </c>
      <c r="R1220" t="s">
        <v>89</v>
      </c>
      <c r="S1220" s="4">
        <v>34.694040000000001</v>
      </c>
      <c r="T1220" s="4">
        <v>-120.04134999999999</v>
      </c>
      <c r="U1220">
        <v>1043</v>
      </c>
      <c r="V1220" s="6">
        <f t="shared" ref="V1220:V1238" si="97">U1220*0.3048</f>
        <v>317.90640000000002</v>
      </c>
      <c r="W1220" s="2" t="s">
        <v>3231</v>
      </c>
      <c r="X1220" s="2" t="s">
        <v>2332</v>
      </c>
      <c r="Y1220" s="2" t="s">
        <v>2412</v>
      </c>
      <c r="AA1220" s="2" t="s">
        <v>3335</v>
      </c>
    </row>
    <row r="1221" spans="1:27" x14ac:dyDescent="0.2">
      <c r="A1221">
        <v>175</v>
      </c>
      <c r="B1221" t="s">
        <v>3211</v>
      </c>
      <c r="C1221">
        <v>0</v>
      </c>
      <c r="I1221" s="2">
        <v>7</v>
      </c>
      <c r="J1221" s="2" t="s">
        <v>3229</v>
      </c>
      <c r="K1221">
        <v>2020</v>
      </c>
      <c r="L1221" s="2" t="s">
        <v>33</v>
      </c>
      <c r="M1221" t="s">
        <v>46</v>
      </c>
      <c r="N1221" s="31">
        <v>91.5</v>
      </c>
      <c r="O1221">
        <f>128-19</f>
        <v>109</v>
      </c>
      <c r="P1221" s="31" t="s">
        <v>30</v>
      </c>
      <c r="Q1221" t="s">
        <v>38</v>
      </c>
      <c r="S1221" s="4">
        <v>34.694040000000001</v>
      </c>
      <c r="T1221" s="4">
        <v>-120.04134999999999</v>
      </c>
      <c r="U1221">
        <v>1043</v>
      </c>
      <c r="V1221" s="6">
        <f t="shared" si="97"/>
        <v>317.90640000000002</v>
      </c>
      <c r="W1221" s="2" t="s">
        <v>3231</v>
      </c>
      <c r="X1221" s="2" t="s">
        <v>2332</v>
      </c>
      <c r="Y1221" s="2" t="s">
        <v>2402</v>
      </c>
      <c r="Z1221" s="2" t="s">
        <v>3337</v>
      </c>
      <c r="AA1221" s="2" t="s">
        <v>3336</v>
      </c>
    </row>
    <row r="1222" spans="1:27" x14ac:dyDescent="0.2">
      <c r="A1222">
        <v>175</v>
      </c>
      <c r="B1222" t="s">
        <v>3212</v>
      </c>
      <c r="C1222">
        <v>0</v>
      </c>
      <c r="I1222" s="2">
        <v>7</v>
      </c>
      <c r="J1222" s="2" t="s">
        <v>3229</v>
      </c>
      <c r="K1222">
        <v>2020</v>
      </c>
      <c r="L1222" s="2" t="s">
        <v>32</v>
      </c>
      <c r="M1222" t="s">
        <v>46</v>
      </c>
      <c r="N1222" s="31">
        <v>20</v>
      </c>
      <c r="O1222">
        <v>0.5</v>
      </c>
      <c r="P1222" s="31" t="s">
        <v>30</v>
      </c>
      <c r="R1222" t="s">
        <v>89</v>
      </c>
      <c r="S1222" s="4">
        <v>34.694629999999997</v>
      </c>
      <c r="T1222" s="4">
        <v>-120.04173</v>
      </c>
      <c r="U1222">
        <v>1056</v>
      </c>
      <c r="V1222" s="6">
        <f t="shared" si="97"/>
        <v>321.86880000000002</v>
      </c>
      <c r="W1222" s="2" t="s">
        <v>3231</v>
      </c>
      <c r="X1222" s="2" t="s">
        <v>2332</v>
      </c>
      <c r="Y1222" s="2" t="s">
        <v>2404</v>
      </c>
      <c r="AA1222" s="2" t="s">
        <v>2612</v>
      </c>
    </row>
    <row r="1223" spans="1:27" x14ac:dyDescent="0.2">
      <c r="A1223">
        <v>175</v>
      </c>
      <c r="B1223" t="s">
        <v>3213</v>
      </c>
      <c r="C1223">
        <v>0.89182662963867188</v>
      </c>
      <c r="I1223" s="2">
        <v>7</v>
      </c>
      <c r="J1223" s="2" t="s">
        <v>3229</v>
      </c>
      <c r="K1223">
        <v>2020</v>
      </c>
      <c r="L1223" s="2" t="s">
        <v>32</v>
      </c>
      <c r="M1223" t="s">
        <v>46</v>
      </c>
      <c r="N1223" s="31">
        <v>22</v>
      </c>
      <c r="O1223">
        <v>1</v>
      </c>
      <c r="P1223" s="31" t="s">
        <v>30</v>
      </c>
      <c r="R1223" t="s">
        <v>89</v>
      </c>
      <c r="S1223" s="44"/>
      <c r="T1223" s="44"/>
      <c r="U1223" s="3"/>
      <c r="V1223" s="54"/>
      <c r="W1223" s="2" t="s">
        <v>3231</v>
      </c>
      <c r="X1223" s="2" t="s">
        <v>2332</v>
      </c>
      <c r="Y1223" s="2" t="s">
        <v>2723</v>
      </c>
      <c r="AA1223" s="2" t="s">
        <v>3338</v>
      </c>
    </row>
    <row r="1224" spans="1:27" x14ac:dyDescent="0.2">
      <c r="A1224">
        <v>176</v>
      </c>
      <c r="B1224" t="s">
        <v>3214</v>
      </c>
      <c r="C1224">
        <v>0</v>
      </c>
      <c r="I1224" s="2">
        <v>7</v>
      </c>
      <c r="J1224" s="2" t="s">
        <v>3229</v>
      </c>
      <c r="K1224">
        <v>2020</v>
      </c>
      <c r="L1224" s="2" t="s">
        <v>32</v>
      </c>
      <c r="M1224" t="s">
        <v>46</v>
      </c>
      <c r="N1224" s="31">
        <v>23</v>
      </c>
      <c r="O1224">
        <v>0.5</v>
      </c>
      <c r="P1224" s="31" t="s">
        <v>30</v>
      </c>
      <c r="R1224" t="s">
        <v>89</v>
      </c>
      <c r="S1224" s="4">
        <v>34.695459999999997</v>
      </c>
      <c r="T1224" s="4">
        <v>-120.04186</v>
      </c>
      <c r="U1224">
        <v>1091</v>
      </c>
      <c r="V1224" s="6">
        <f t="shared" si="97"/>
        <v>332.53680000000003</v>
      </c>
      <c r="W1224" s="2" t="s">
        <v>898</v>
      </c>
      <c r="X1224" t="s">
        <v>2256</v>
      </c>
      <c r="Y1224" s="2" t="s">
        <v>118</v>
      </c>
      <c r="AA1224" s="2" t="s">
        <v>2623</v>
      </c>
    </row>
    <row r="1225" spans="1:27" x14ac:dyDescent="0.2">
      <c r="A1225">
        <v>176</v>
      </c>
      <c r="B1225" t="s">
        <v>3215</v>
      </c>
      <c r="C1225">
        <v>0</v>
      </c>
      <c r="I1225" s="2">
        <v>7</v>
      </c>
      <c r="J1225" s="2" t="s">
        <v>3229</v>
      </c>
      <c r="K1225">
        <v>2020</v>
      </c>
      <c r="L1225" s="2" t="s">
        <v>32</v>
      </c>
      <c r="M1225" t="s">
        <v>46</v>
      </c>
      <c r="N1225" s="31">
        <v>26</v>
      </c>
      <c r="O1225">
        <f>6-4.5</f>
        <v>1.5</v>
      </c>
      <c r="P1225" s="31" t="s">
        <v>30</v>
      </c>
      <c r="R1225" t="s">
        <v>89</v>
      </c>
      <c r="S1225" s="4">
        <v>34.695459999999997</v>
      </c>
      <c r="T1225" s="4">
        <v>-120.04186</v>
      </c>
      <c r="U1225">
        <v>1091</v>
      </c>
      <c r="V1225" s="6">
        <f t="shared" si="97"/>
        <v>332.53680000000003</v>
      </c>
      <c r="W1225" s="2" t="s">
        <v>898</v>
      </c>
      <c r="X1225" t="s">
        <v>2256</v>
      </c>
      <c r="Y1225" s="2" t="s">
        <v>118</v>
      </c>
      <c r="AA1225" s="2" t="s">
        <v>1807</v>
      </c>
    </row>
    <row r="1226" spans="1:27" x14ac:dyDescent="0.2">
      <c r="A1226">
        <v>176</v>
      </c>
      <c r="B1226" t="s">
        <v>3216</v>
      </c>
      <c r="C1226">
        <v>0</v>
      </c>
      <c r="I1226" s="2">
        <v>7</v>
      </c>
      <c r="J1226" s="2" t="s">
        <v>3229</v>
      </c>
      <c r="K1226">
        <v>2020</v>
      </c>
      <c r="L1226" s="2" t="s">
        <v>32</v>
      </c>
      <c r="M1226" t="s">
        <v>46</v>
      </c>
      <c r="N1226" s="31">
        <v>23</v>
      </c>
      <c r="O1226">
        <v>0.5</v>
      </c>
      <c r="P1226" s="31" t="s">
        <v>30</v>
      </c>
      <c r="R1226" t="s">
        <v>89</v>
      </c>
      <c r="S1226" s="4">
        <v>34.695459999999997</v>
      </c>
      <c r="T1226" s="4">
        <v>-120.04186</v>
      </c>
      <c r="U1226">
        <v>1091</v>
      </c>
      <c r="V1226" s="6">
        <f t="shared" si="97"/>
        <v>332.53680000000003</v>
      </c>
      <c r="W1226" s="2" t="s">
        <v>898</v>
      </c>
      <c r="X1226" t="s">
        <v>2256</v>
      </c>
      <c r="Y1226" s="2" t="s">
        <v>118</v>
      </c>
      <c r="AA1226" s="2" t="s">
        <v>1810</v>
      </c>
    </row>
    <row r="1227" spans="1:27" x14ac:dyDescent="0.2">
      <c r="A1227">
        <v>176</v>
      </c>
      <c r="B1227" t="s">
        <v>3217</v>
      </c>
      <c r="C1227">
        <v>0</v>
      </c>
      <c r="I1227" s="2">
        <v>7</v>
      </c>
      <c r="J1227" s="2" t="s">
        <v>3229</v>
      </c>
      <c r="K1227">
        <v>2020</v>
      </c>
      <c r="L1227" s="2" t="s">
        <v>32</v>
      </c>
      <c r="M1227" t="s">
        <v>46</v>
      </c>
      <c r="N1227" s="31">
        <v>23</v>
      </c>
      <c r="O1227">
        <v>0.5</v>
      </c>
      <c r="P1227" s="31" t="s">
        <v>30</v>
      </c>
      <c r="R1227" t="s">
        <v>89</v>
      </c>
      <c r="S1227" s="4">
        <v>34.69547</v>
      </c>
      <c r="T1227" s="4">
        <v>-120.04179000000001</v>
      </c>
      <c r="U1227">
        <v>1093</v>
      </c>
      <c r="V1227" s="6">
        <f t="shared" si="97"/>
        <v>333.14640000000003</v>
      </c>
      <c r="W1227" s="2" t="s">
        <v>898</v>
      </c>
      <c r="X1227" t="s">
        <v>2256</v>
      </c>
      <c r="Y1227" s="2" t="s">
        <v>121</v>
      </c>
      <c r="AA1227" s="2" t="s">
        <v>1806</v>
      </c>
    </row>
    <row r="1228" spans="1:27" x14ac:dyDescent="0.2">
      <c r="A1228">
        <v>176</v>
      </c>
      <c r="B1228" t="s">
        <v>3218</v>
      </c>
      <c r="C1228">
        <v>0</v>
      </c>
      <c r="I1228" s="2">
        <v>7</v>
      </c>
      <c r="J1228" s="2" t="s">
        <v>3229</v>
      </c>
      <c r="K1228">
        <v>2020</v>
      </c>
      <c r="L1228" s="2" t="s">
        <v>33</v>
      </c>
      <c r="M1228" t="s">
        <v>46</v>
      </c>
      <c r="N1228" s="31">
        <v>88</v>
      </c>
      <c r="O1228">
        <f>90-19.5</f>
        <v>70.5</v>
      </c>
      <c r="P1228" s="31" t="s">
        <v>30</v>
      </c>
      <c r="Q1228" t="s">
        <v>42</v>
      </c>
      <c r="S1228" s="4">
        <v>34.695369999999997</v>
      </c>
      <c r="T1228" s="4">
        <v>-120.04145</v>
      </c>
      <c r="U1228">
        <v>1102</v>
      </c>
      <c r="V1228" s="6">
        <f t="shared" si="97"/>
        <v>335.88960000000003</v>
      </c>
      <c r="W1228" s="2" t="s">
        <v>2324</v>
      </c>
      <c r="X1228" t="s">
        <v>2256</v>
      </c>
      <c r="Y1228" s="2" t="s">
        <v>3306</v>
      </c>
      <c r="Z1228" s="2" t="s">
        <v>3340</v>
      </c>
      <c r="AA1228" s="2" t="s">
        <v>3339</v>
      </c>
    </row>
    <row r="1229" spans="1:27" x14ac:dyDescent="0.2">
      <c r="A1229">
        <v>176</v>
      </c>
      <c r="B1229" t="s">
        <v>3219</v>
      </c>
      <c r="C1229">
        <v>0</v>
      </c>
      <c r="I1229" s="2">
        <v>7</v>
      </c>
      <c r="J1229" s="2" t="s">
        <v>3229</v>
      </c>
      <c r="K1229">
        <v>2020</v>
      </c>
      <c r="L1229" s="2" t="s">
        <v>32</v>
      </c>
      <c r="M1229" t="s">
        <v>46</v>
      </c>
      <c r="N1229" s="31">
        <v>20</v>
      </c>
      <c r="P1229" s="31" t="s">
        <v>30</v>
      </c>
      <c r="R1229" t="s">
        <v>89</v>
      </c>
      <c r="S1229" s="4">
        <v>34.695160000000001</v>
      </c>
      <c r="T1229" s="4">
        <v>-120.0415</v>
      </c>
      <c r="U1229">
        <v>1098</v>
      </c>
      <c r="V1229" s="6">
        <f t="shared" si="97"/>
        <v>334.67040000000003</v>
      </c>
      <c r="W1229" s="13" t="s">
        <v>898</v>
      </c>
      <c r="X1229" t="s">
        <v>2256</v>
      </c>
      <c r="Y1229" s="2" t="s">
        <v>697</v>
      </c>
      <c r="AA1229" s="2" t="s">
        <v>3341</v>
      </c>
    </row>
    <row r="1230" spans="1:27" x14ac:dyDescent="0.2">
      <c r="A1230">
        <v>176</v>
      </c>
      <c r="B1230" t="s">
        <v>3220</v>
      </c>
      <c r="C1230">
        <v>0</v>
      </c>
      <c r="I1230" s="2">
        <v>7</v>
      </c>
      <c r="J1230" s="2" t="s">
        <v>3229</v>
      </c>
      <c r="K1230">
        <v>2020</v>
      </c>
      <c r="L1230" s="2" t="s">
        <v>32</v>
      </c>
      <c r="M1230" t="s">
        <v>46</v>
      </c>
      <c r="N1230" s="31">
        <v>25</v>
      </c>
      <c r="O1230">
        <v>0.5</v>
      </c>
      <c r="P1230" s="31" t="s">
        <v>30</v>
      </c>
      <c r="R1230" t="s">
        <v>89</v>
      </c>
      <c r="S1230" s="4">
        <v>34.695039999999999</v>
      </c>
      <c r="T1230" s="4">
        <v>-120.04152999999999</v>
      </c>
      <c r="U1230">
        <v>1098</v>
      </c>
      <c r="V1230" s="6">
        <f t="shared" si="97"/>
        <v>334.67040000000003</v>
      </c>
      <c r="W1230" s="13" t="s">
        <v>898</v>
      </c>
      <c r="X1230" t="s">
        <v>2256</v>
      </c>
      <c r="Y1230" s="2" t="s">
        <v>3131</v>
      </c>
      <c r="AA1230" s="2" t="s">
        <v>3342</v>
      </c>
    </row>
    <row r="1231" spans="1:27" x14ac:dyDescent="0.2">
      <c r="A1231">
        <v>176</v>
      </c>
      <c r="B1231" t="s">
        <v>3221</v>
      </c>
      <c r="C1231">
        <v>0</v>
      </c>
      <c r="I1231" s="2">
        <v>7</v>
      </c>
      <c r="J1231" s="2" t="s">
        <v>3229</v>
      </c>
      <c r="K1231">
        <v>2020</v>
      </c>
      <c r="L1231" s="2" t="s">
        <v>32</v>
      </c>
      <c r="M1231" t="s">
        <v>46</v>
      </c>
      <c r="N1231" s="31">
        <v>25</v>
      </c>
      <c r="O1231">
        <v>1</v>
      </c>
      <c r="P1231" s="31" t="s">
        <v>30</v>
      </c>
      <c r="R1231" t="s">
        <v>89</v>
      </c>
      <c r="S1231" s="4">
        <v>34.695039999999999</v>
      </c>
      <c r="T1231" s="4">
        <v>-120.04152999999999</v>
      </c>
      <c r="U1231">
        <v>1098</v>
      </c>
      <c r="V1231" s="6">
        <f t="shared" si="97"/>
        <v>334.67040000000003</v>
      </c>
      <c r="W1231" s="13" t="s">
        <v>898</v>
      </c>
      <c r="X1231" t="s">
        <v>2256</v>
      </c>
      <c r="Y1231" s="2" t="s">
        <v>3131</v>
      </c>
      <c r="AA1231" s="2" t="s">
        <v>3343</v>
      </c>
    </row>
    <row r="1232" spans="1:27" x14ac:dyDescent="0.2">
      <c r="A1232">
        <v>176</v>
      </c>
      <c r="B1232" t="s">
        <v>3222</v>
      </c>
      <c r="C1232">
        <v>0</v>
      </c>
      <c r="I1232" s="2">
        <v>7</v>
      </c>
      <c r="J1232" s="2" t="s">
        <v>3229</v>
      </c>
      <c r="K1232">
        <v>2020</v>
      </c>
      <c r="L1232" s="2" t="s">
        <v>32</v>
      </c>
      <c r="M1232" t="s">
        <v>46</v>
      </c>
      <c r="N1232" s="31">
        <v>23</v>
      </c>
      <c r="O1232">
        <v>1</v>
      </c>
      <c r="P1232" s="31" t="s">
        <v>30</v>
      </c>
      <c r="R1232" t="s">
        <v>89</v>
      </c>
      <c r="S1232" s="4">
        <v>34.695039999999999</v>
      </c>
      <c r="T1232" s="4">
        <v>-120.04151</v>
      </c>
      <c r="U1232">
        <v>1097</v>
      </c>
      <c r="V1232" s="6">
        <f t="shared" si="97"/>
        <v>334.36560000000003</v>
      </c>
      <c r="W1232" s="13" t="s">
        <v>898</v>
      </c>
      <c r="X1232" t="s">
        <v>2256</v>
      </c>
      <c r="Y1232" s="2" t="s">
        <v>1085</v>
      </c>
      <c r="AA1232" s="2" t="s">
        <v>3344</v>
      </c>
    </row>
    <row r="1233" spans="1:27" x14ac:dyDescent="0.2">
      <c r="A1233">
        <v>176</v>
      </c>
      <c r="B1233" t="s">
        <v>3223</v>
      </c>
      <c r="C1233">
        <v>0</v>
      </c>
      <c r="I1233" s="2">
        <v>7</v>
      </c>
      <c r="J1233" s="2" t="s">
        <v>3229</v>
      </c>
      <c r="K1233">
        <v>2020</v>
      </c>
      <c r="L1233" s="2" t="s">
        <v>32</v>
      </c>
      <c r="M1233" t="s">
        <v>46</v>
      </c>
      <c r="N1233" s="31">
        <v>25</v>
      </c>
      <c r="O1233">
        <v>1</v>
      </c>
      <c r="P1233" s="31" t="s">
        <v>30</v>
      </c>
      <c r="R1233" t="s">
        <v>89</v>
      </c>
      <c r="S1233" s="4">
        <v>34.695039999999999</v>
      </c>
      <c r="T1233" s="4">
        <v>-120.04151</v>
      </c>
      <c r="U1233">
        <v>1097</v>
      </c>
      <c r="V1233" s="6">
        <f t="shared" si="97"/>
        <v>334.36560000000003</v>
      </c>
      <c r="W1233" s="13" t="s">
        <v>898</v>
      </c>
      <c r="X1233" t="s">
        <v>2256</v>
      </c>
      <c r="Y1233" s="2" t="s">
        <v>1085</v>
      </c>
      <c r="AA1233" s="2" t="s">
        <v>3345</v>
      </c>
    </row>
    <row r="1234" spans="1:27" x14ac:dyDescent="0.2">
      <c r="A1234">
        <v>176</v>
      </c>
      <c r="B1234" t="s">
        <v>3224</v>
      </c>
      <c r="C1234">
        <v>0</v>
      </c>
      <c r="I1234" s="2">
        <v>7</v>
      </c>
      <c r="J1234" s="2" t="s">
        <v>3229</v>
      </c>
      <c r="K1234">
        <v>2020</v>
      </c>
      <c r="L1234" s="2" t="s">
        <v>32</v>
      </c>
      <c r="M1234" t="s">
        <v>46</v>
      </c>
      <c r="N1234" s="31">
        <v>24</v>
      </c>
      <c r="O1234">
        <v>0.5</v>
      </c>
      <c r="P1234" s="31" t="s">
        <v>30</v>
      </c>
      <c r="R1234" t="s">
        <v>89</v>
      </c>
      <c r="S1234" s="4">
        <v>34.695039999999999</v>
      </c>
      <c r="T1234" s="4">
        <v>-120.04151</v>
      </c>
      <c r="U1234">
        <v>1097</v>
      </c>
      <c r="V1234" s="6">
        <f t="shared" si="97"/>
        <v>334.36560000000003</v>
      </c>
      <c r="W1234" s="13" t="s">
        <v>898</v>
      </c>
      <c r="X1234" t="s">
        <v>2256</v>
      </c>
      <c r="Y1234" s="2" t="s">
        <v>1085</v>
      </c>
      <c r="AA1234" s="2" t="s">
        <v>1809</v>
      </c>
    </row>
    <row r="1235" spans="1:27" x14ac:dyDescent="0.2">
      <c r="A1235">
        <v>176</v>
      </c>
      <c r="B1235" t="s">
        <v>3225</v>
      </c>
      <c r="I1235" s="2">
        <v>7</v>
      </c>
      <c r="J1235" s="2" t="s">
        <v>3229</v>
      </c>
      <c r="K1235">
        <v>2020</v>
      </c>
      <c r="L1235" s="2" t="s">
        <v>32</v>
      </c>
      <c r="M1235" t="s">
        <v>46</v>
      </c>
      <c r="N1235" s="31">
        <v>28</v>
      </c>
      <c r="O1235">
        <v>2</v>
      </c>
      <c r="P1235" s="31" t="s">
        <v>30</v>
      </c>
      <c r="R1235" t="s">
        <v>89</v>
      </c>
      <c r="S1235" s="4">
        <v>34.694929999999999</v>
      </c>
      <c r="T1235" s="4">
        <v>-120.04151</v>
      </c>
      <c r="U1235">
        <v>1105</v>
      </c>
      <c r="V1235" s="6">
        <f t="shared" si="97"/>
        <v>336.80400000000003</v>
      </c>
      <c r="W1235" s="13" t="s">
        <v>898</v>
      </c>
      <c r="X1235" t="s">
        <v>2256</v>
      </c>
      <c r="Y1235" s="2" t="s">
        <v>784</v>
      </c>
      <c r="AA1235" s="2" t="s">
        <v>3346</v>
      </c>
    </row>
    <row r="1236" spans="1:27" x14ac:dyDescent="0.2">
      <c r="A1236">
        <v>176</v>
      </c>
      <c r="B1236" t="s">
        <v>3226</v>
      </c>
      <c r="I1236" s="2">
        <v>7</v>
      </c>
      <c r="J1236" s="2" t="s">
        <v>3229</v>
      </c>
      <c r="K1236">
        <v>2020</v>
      </c>
      <c r="L1236" s="2" t="s">
        <v>32</v>
      </c>
      <c r="M1236" t="s">
        <v>46</v>
      </c>
      <c r="N1236" s="31">
        <v>21</v>
      </c>
      <c r="O1236">
        <v>0.5</v>
      </c>
      <c r="P1236" s="31" t="s">
        <v>30</v>
      </c>
      <c r="R1236" t="s">
        <v>89</v>
      </c>
      <c r="S1236" s="4">
        <v>34.694920000000003</v>
      </c>
      <c r="T1236" s="4">
        <v>-120.04152999999999</v>
      </c>
      <c r="U1236">
        <v>1105</v>
      </c>
      <c r="V1236" s="6">
        <f t="shared" si="97"/>
        <v>336.80400000000003</v>
      </c>
      <c r="W1236" s="13" t="s">
        <v>898</v>
      </c>
      <c r="X1236" t="s">
        <v>2256</v>
      </c>
      <c r="Y1236" s="2" t="s">
        <v>3307</v>
      </c>
      <c r="AA1236" s="2" t="s">
        <v>3347</v>
      </c>
    </row>
    <row r="1237" spans="1:27" x14ac:dyDescent="0.2">
      <c r="A1237">
        <v>176</v>
      </c>
      <c r="B1237" t="s">
        <v>3227</v>
      </c>
      <c r="I1237" s="2">
        <v>7</v>
      </c>
      <c r="J1237" s="2" t="s">
        <v>3229</v>
      </c>
      <c r="K1237">
        <v>2020</v>
      </c>
      <c r="L1237" s="2" t="s">
        <v>32</v>
      </c>
      <c r="M1237" t="s">
        <v>46</v>
      </c>
      <c r="N1237" s="31">
        <v>25</v>
      </c>
      <c r="O1237">
        <v>0.5</v>
      </c>
      <c r="P1237" s="31" t="s">
        <v>30</v>
      </c>
      <c r="R1237" t="s">
        <v>89</v>
      </c>
      <c r="S1237" s="4">
        <v>34.694920000000003</v>
      </c>
      <c r="T1237" s="4">
        <v>-120.04152999999999</v>
      </c>
      <c r="U1237">
        <v>1105</v>
      </c>
      <c r="V1237" s="6">
        <f t="shared" si="97"/>
        <v>336.80400000000003</v>
      </c>
      <c r="W1237" s="13" t="s">
        <v>898</v>
      </c>
      <c r="X1237" t="s">
        <v>2256</v>
      </c>
      <c r="Y1237" s="2" t="s">
        <v>3307</v>
      </c>
      <c r="AA1237" s="2" t="s">
        <v>3348</v>
      </c>
    </row>
    <row r="1238" spans="1:27" x14ac:dyDescent="0.2">
      <c r="A1238">
        <v>176</v>
      </c>
      <c r="B1238" t="s">
        <v>3228</v>
      </c>
      <c r="I1238" s="2">
        <v>7</v>
      </c>
      <c r="J1238" s="2" t="s">
        <v>3229</v>
      </c>
      <c r="K1238">
        <v>2020</v>
      </c>
      <c r="L1238" s="2" t="s">
        <v>32</v>
      </c>
      <c r="M1238" t="s">
        <v>46</v>
      </c>
      <c r="N1238" s="31">
        <v>20</v>
      </c>
      <c r="O1238">
        <v>0.5</v>
      </c>
      <c r="P1238" s="31" t="s">
        <v>30</v>
      </c>
      <c r="R1238" t="s">
        <v>89</v>
      </c>
      <c r="S1238" s="4">
        <v>34.694710000000001</v>
      </c>
      <c r="T1238" s="4">
        <v>-120.04164</v>
      </c>
      <c r="U1238">
        <v>1110</v>
      </c>
      <c r="V1238" s="6">
        <f t="shared" si="97"/>
        <v>338.32800000000003</v>
      </c>
      <c r="W1238" s="13" t="s">
        <v>898</v>
      </c>
      <c r="X1238" t="s">
        <v>2256</v>
      </c>
      <c r="Y1238" s="2" t="s">
        <v>3308</v>
      </c>
      <c r="AA1238" s="2" t="s">
        <v>3349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7"/>
  <sheetViews>
    <sheetView zoomScale="140" zoomScaleNormal="140" workbookViewId="0">
      <pane ySplit="1" topLeftCell="A206" activePane="bottomLeft" state="frozen"/>
      <selection activeCell="C1" sqref="C1"/>
      <selection pane="bottomLeft" activeCell="A220" sqref="A220:A221"/>
    </sheetView>
  </sheetViews>
  <sheetFormatPr baseColWidth="10" defaultColWidth="11.6640625" defaultRowHeight="15" x14ac:dyDescent="0.2"/>
  <cols>
    <col min="1" max="1" width="10" bestFit="1" customWidth="1"/>
    <col min="2" max="2" width="13.5" customWidth="1"/>
    <col min="3" max="3" width="12.33203125" customWidth="1"/>
    <col min="4" max="4" width="16.5" customWidth="1"/>
    <col min="5" max="5" width="14.1640625" customWidth="1"/>
    <col min="6" max="6" width="11.83203125" customWidth="1"/>
    <col min="7" max="7" width="10.6640625" customWidth="1"/>
    <col min="8" max="8" width="19.1640625" customWidth="1"/>
    <col min="9" max="9" width="19.83203125" customWidth="1"/>
    <col min="10" max="10" width="10.33203125" customWidth="1"/>
    <col min="11" max="11" width="15.1640625" customWidth="1"/>
    <col min="12" max="12" width="12" customWidth="1"/>
    <col min="13" max="13" width="9.83203125" customWidth="1"/>
    <col min="14" max="14" width="24.33203125" customWidth="1"/>
  </cols>
  <sheetData>
    <row r="1" spans="1:15" x14ac:dyDescent="0.2">
      <c r="A1" t="s">
        <v>503</v>
      </c>
      <c r="B1" t="s">
        <v>504</v>
      </c>
      <c r="C1" t="s">
        <v>505</v>
      </c>
      <c r="D1" t="s">
        <v>506</v>
      </c>
      <c r="E1" t="s">
        <v>507</v>
      </c>
      <c r="F1" t="s">
        <v>508</v>
      </c>
      <c r="G1" t="s">
        <v>509</v>
      </c>
      <c r="H1" t="s">
        <v>510</v>
      </c>
      <c r="I1" t="s">
        <v>511</v>
      </c>
      <c r="J1" t="s">
        <v>512</v>
      </c>
      <c r="K1" t="s">
        <v>513</v>
      </c>
      <c r="L1" t="s">
        <v>514</v>
      </c>
      <c r="M1" t="s">
        <v>515</v>
      </c>
      <c r="N1" t="s">
        <v>2468</v>
      </c>
      <c r="O1" t="s">
        <v>516</v>
      </c>
    </row>
    <row r="2" spans="1:15" x14ac:dyDescent="0.2">
      <c r="A2">
        <v>1</v>
      </c>
      <c r="B2" t="s">
        <v>517</v>
      </c>
      <c r="C2">
        <v>20190505</v>
      </c>
      <c r="D2" t="s">
        <v>518</v>
      </c>
      <c r="H2" t="s">
        <v>519</v>
      </c>
      <c r="I2" t="s">
        <v>29</v>
      </c>
      <c r="J2" t="s">
        <v>520</v>
      </c>
    </row>
    <row r="3" spans="1:15" x14ac:dyDescent="0.2">
      <c r="A3">
        <v>2</v>
      </c>
      <c r="B3" t="s">
        <v>2541</v>
      </c>
      <c r="C3">
        <v>20190523</v>
      </c>
      <c r="D3" t="s">
        <v>518</v>
      </c>
      <c r="E3" s="1" t="s">
        <v>521</v>
      </c>
      <c r="F3" t="s">
        <v>522</v>
      </c>
      <c r="G3">
        <v>4</v>
      </c>
      <c r="H3" t="s">
        <v>523</v>
      </c>
      <c r="I3" t="s">
        <v>36</v>
      </c>
      <c r="J3" t="s">
        <v>520</v>
      </c>
      <c r="K3" t="s">
        <v>524</v>
      </c>
      <c r="L3" t="s">
        <v>525</v>
      </c>
      <c r="M3" t="s">
        <v>526</v>
      </c>
    </row>
    <row r="4" spans="1:15" x14ac:dyDescent="0.2">
      <c r="A4">
        <v>3</v>
      </c>
      <c r="B4" t="s">
        <v>2541</v>
      </c>
      <c r="C4">
        <v>20190619</v>
      </c>
      <c r="D4" t="s">
        <v>518</v>
      </c>
      <c r="E4" s="1" t="s">
        <v>47</v>
      </c>
      <c r="F4" t="s">
        <v>87</v>
      </c>
      <c r="G4">
        <v>3</v>
      </c>
      <c r="H4" t="s">
        <v>527</v>
      </c>
      <c r="I4" t="s">
        <v>46</v>
      </c>
      <c r="J4" t="s">
        <v>528</v>
      </c>
      <c r="K4" t="s">
        <v>529</v>
      </c>
      <c r="L4" t="s">
        <v>530</v>
      </c>
      <c r="M4" t="s">
        <v>531</v>
      </c>
    </row>
    <row r="5" spans="1:15" x14ac:dyDescent="0.2">
      <c r="A5">
        <v>4</v>
      </c>
      <c r="B5" t="s">
        <v>2541</v>
      </c>
      <c r="C5">
        <v>20190620</v>
      </c>
      <c r="D5" t="s">
        <v>518</v>
      </c>
      <c r="E5" t="s">
        <v>532</v>
      </c>
      <c r="F5" t="s">
        <v>149</v>
      </c>
      <c r="G5">
        <v>3</v>
      </c>
      <c r="H5" t="s">
        <v>527</v>
      </c>
      <c r="I5" t="s">
        <v>46</v>
      </c>
      <c r="J5" t="s">
        <v>533</v>
      </c>
      <c r="K5" t="s">
        <v>524</v>
      </c>
      <c r="L5" t="s">
        <v>530</v>
      </c>
      <c r="M5" t="s">
        <v>534</v>
      </c>
    </row>
    <row r="6" spans="1:15" x14ac:dyDescent="0.2">
      <c r="A6">
        <v>4</v>
      </c>
      <c r="B6" t="s">
        <v>2541</v>
      </c>
      <c r="C6">
        <v>20190620</v>
      </c>
      <c r="D6" t="s">
        <v>518</v>
      </c>
      <c r="E6" t="s">
        <v>171</v>
      </c>
      <c r="F6" t="s">
        <v>535</v>
      </c>
      <c r="G6">
        <v>3</v>
      </c>
      <c r="H6" t="s">
        <v>527</v>
      </c>
      <c r="I6" t="s">
        <v>46</v>
      </c>
      <c r="J6" t="s">
        <v>536</v>
      </c>
      <c r="K6" t="s">
        <v>524</v>
      </c>
      <c r="L6" t="s">
        <v>537</v>
      </c>
      <c r="M6" t="s">
        <v>530</v>
      </c>
    </row>
    <row r="7" spans="1:15" x14ac:dyDescent="0.2">
      <c r="A7">
        <v>5</v>
      </c>
      <c r="B7" t="s">
        <v>2541</v>
      </c>
      <c r="C7">
        <v>20190620</v>
      </c>
      <c r="D7" t="s">
        <v>518</v>
      </c>
      <c r="E7" t="s">
        <v>193</v>
      </c>
      <c r="F7" t="s">
        <v>113</v>
      </c>
      <c r="G7">
        <v>3</v>
      </c>
      <c r="H7" t="s">
        <v>527</v>
      </c>
      <c r="I7" t="s">
        <v>46</v>
      </c>
      <c r="J7" t="s">
        <v>536</v>
      </c>
      <c r="K7" t="s">
        <v>524</v>
      </c>
      <c r="L7" t="s">
        <v>537</v>
      </c>
      <c r="M7" t="s">
        <v>530</v>
      </c>
    </row>
    <row r="8" spans="1:15" x14ac:dyDescent="0.2">
      <c r="A8">
        <v>5</v>
      </c>
      <c r="B8" t="s">
        <v>2541</v>
      </c>
      <c r="C8">
        <v>20190621</v>
      </c>
      <c r="D8" t="s">
        <v>518</v>
      </c>
      <c r="E8" t="s">
        <v>67</v>
      </c>
      <c r="F8" t="s">
        <v>311</v>
      </c>
      <c r="G8">
        <v>3</v>
      </c>
      <c r="H8" t="s">
        <v>527</v>
      </c>
      <c r="I8" t="s">
        <v>46</v>
      </c>
      <c r="J8" t="s">
        <v>538</v>
      </c>
      <c r="K8" t="s">
        <v>539</v>
      </c>
      <c r="L8" t="s">
        <v>530</v>
      </c>
      <c r="M8" t="s">
        <v>540</v>
      </c>
    </row>
    <row r="9" spans="1:15" x14ac:dyDescent="0.2">
      <c r="A9">
        <v>5</v>
      </c>
      <c r="B9" t="s">
        <v>2541</v>
      </c>
      <c r="C9">
        <v>20190621</v>
      </c>
      <c r="D9" t="s">
        <v>518</v>
      </c>
      <c r="E9" t="s">
        <v>541</v>
      </c>
      <c r="F9" t="s">
        <v>542</v>
      </c>
      <c r="G9">
        <v>3</v>
      </c>
      <c r="H9" t="s">
        <v>527</v>
      </c>
      <c r="I9" t="s">
        <v>46</v>
      </c>
      <c r="J9" t="s">
        <v>60</v>
      </c>
      <c r="K9" t="s">
        <v>539</v>
      </c>
      <c r="L9" t="s">
        <v>530</v>
      </c>
      <c r="M9" t="s">
        <v>540</v>
      </c>
    </row>
    <row r="10" spans="1:15" x14ac:dyDescent="0.2">
      <c r="A10">
        <v>6</v>
      </c>
      <c r="B10" t="s">
        <v>2541</v>
      </c>
      <c r="C10">
        <v>20190625</v>
      </c>
      <c r="D10" t="s">
        <v>518</v>
      </c>
      <c r="E10" t="s">
        <v>133</v>
      </c>
      <c r="F10" t="s">
        <v>236</v>
      </c>
      <c r="G10">
        <v>3</v>
      </c>
      <c r="H10" t="s">
        <v>527</v>
      </c>
      <c r="I10" t="s">
        <v>132</v>
      </c>
      <c r="J10" t="s">
        <v>543</v>
      </c>
      <c r="K10" t="s">
        <v>544</v>
      </c>
      <c r="L10" t="s">
        <v>530</v>
      </c>
      <c r="M10" t="s">
        <v>545</v>
      </c>
      <c r="N10" t="s">
        <v>546</v>
      </c>
    </row>
    <row r="11" spans="1:15" x14ac:dyDescent="0.2">
      <c r="A11">
        <v>6</v>
      </c>
      <c r="B11" t="s">
        <v>2541</v>
      </c>
      <c r="C11">
        <v>20190625</v>
      </c>
      <c r="D11" t="s">
        <v>518</v>
      </c>
      <c r="E11" t="s">
        <v>547</v>
      </c>
      <c r="F11" t="s">
        <v>193</v>
      </c>
      <c r="G11">
        <v>3</v>
      </c>
      <c r="H11" t="s">
        <v>527</v>
      </c>
      <c r="I11" t="s">
        <v>132</v>
      </c>
      <c r="J11" t="s">
        <v>543</v>
      </c>
      <c r="K11" t="s">
        <v>544</v>
      </c>
      <c r="L11" t="s">
        <v>530</v>
      </c>
      <c r="M11" t="s">
        <v>545</v>
      </c>
      <c r="N11" t="s">
        <v>546</v>
      </c>
    </row>
    <row r="12" spans="1:15" x14ac:dyDescent="0.2">
      <c r="A12">
        <v>7</v>
      </c>
      <c r="B12" t="s">
        <v>2541</v>
      </c>
      <c r="C12">
        <v>20190626</v>
      </c>
      <c r="D12" t="s">
        <v>518</v>
      </c>
      <c r="E12" t="s">
        <v>548</v>
      </c>
      <c r="F12" t="s">
        <v>447</v>
      </c>
      <c r="G12">
        <v>3</v>
      </c>
      <c r="H12" t="s">
        <v>527</v>
      </c>
      <c r="I12" t="s">
        <v>132</v>
      </c>
      <c r="J12" t="s">
        <v>543</v>
      </c>
      <c r="K12" t="s">
        <v>544</v>
      </c>
      <c r="L12" t="s">
        <v>530</v>
      </c>
      <c r="M12" t="s">
        <v>545</v>
      </c>
      <c r="N12" t="s">
        <v>546</v>
      </c>
    </row>
    <row r="13" spans="1:15" x14ac:dyDescent="0.2">
      <c r="A13">
        <v>8</v>
      </c>
      <c r="B13" t="s">
        <v>2541</v>
      </c>
      <c r="C13">
        <v>20190627</v>
      </c>
      <c r="D13" t="s">
        <v>518</v>
      </c>
      <c r="E13" t="s">
        <v>328</v>
      </c>
      <c r="F13" t="s">
        <v>267</v>
      </c>
      <c r="G13">
        <v>3</v>
      </c>
      <c r="H13" t="s">
        <v>527</v>
      </c>
      <c r="I13" t="s">
        <v>132</v>
      </c>
      <c r="J13" t="s">
        <v>549</v>
      </c>
      <c r="K13" t="s">
        <v>550</v>
      </c>
      <c r="L13" t="s">
        <v>530</v>
      </c>
      <c r="M13" t="s">
        <v>545</v>
      </c>
      <c r="N13" t="s">
        <v>551</v>
      </c>
    </row>
    <row r="14" spans="1:15" x14ac:dyDescent="0.2">
      <c r="A14">
        <v>8</v>
      </c>
      <c r="B14" t="s">
        <v>2541</v>
      </c>
      <c r="C14">
        <v>20190627</v>
      </c>
      <c r="D14" t="s">
        <v>518</v>
      </c>
      <c r="E14" t="s">
        <v>277</v>
      </c>
      <c r="F14" t="s">
        <v>299</v>
      </c>
      <c r="G14">
        <v>3</v>
      </c>
      <c r="H14" t="s">
        <v>527</v>
      </c>
      <c r="I14" t="s">
        <v>132</v>
      </c>
      <c r="J14" t="s">
        <v>549</v>
      </c>
      <c r="K14" t="s">
        <v>550</v>
      </c>
      <c r="L14" t="s">
        <v>530</v>
      </c>
      <c r="M14" t="s">
        <v>545</v>
      </c>
      <c r="N14" t="s">
        <v>552</v>
      </c>
    </row>
    <row r="15" spans="1:15" x14ac:dyDescent="0.2">
      <c r="A15">
        <v>9</v>
      </c>
      <c r="B15" t="s">
        <v>2541</v>
      </c>
      <c r="C15">
        <v>20190630</v>
      </c>
      <c r="D15" t="s">
        <v>518</v>
      </c>
      <c r="E15" t="s">
        <v>553</v>
      </c>
      <c r="F15" t="s">
        <v>304</v>
      </c>
      <c r="G15">
        <v>3</v>
      </c>
      <c r="H15" t="s">
        <v>527</v>
      </c>
      <c r="I15" t="s">
        <v>303</v>
      </c>
      <c r="J15" t="s">
        <v>554</v>
      </c>
      <c r="L15" t="s">
        <v>530</v>
      </c>
      <c r="M15" t="s">
        <v>545</v>
      </c>
      <c r="N15" t="s">
        <v>555</v>
      </c>
    </row>
    <row r="16" spans="1:15" x14ac:dyDescent="0.2">
      <c r="A16">
        <v>10</v>
      </c>
      <c r="B16" t="s">
        <v>2541</v>
      </c>
      <c r="C16">
        <v>20190630</v>
      </c>
      <c r="D16" t="s">
        <v>518</v>
      </c>
      <c r="E16" t="s">
        <v>304</v>
      </c>
      <c r="F16" t="s">
        <v>307</v>
      </c>
      <c r="G16">
        <v>3</v>
      </c>
      <c r="H16" t="s">
        <v>527</v>
      </c>
      <c r="I16" t="s">
        <v>303</v>
      </c>
      <c r="J16" t="s">
        <v>557</v>
      </c>
      <c r="L16" t="s">
        <v>530</v>
      </c>
      <c r="M16" t="s">
        <v>545</v>
      </c>
      <c r="N16" t="s">
        <v>558</v>
      </c>
    </row>
    <row r="17" spans="1:14" x14ac:dyDescent="0.2">
      <c r="A17">
        <v>10</v>
      </c>
      <c r="B17" t="s">
        <v>2541</v>
      </c>
      <c r="C17">
        <v>20190630</v>
      </c>
      <c r="D17" t="s">
        <v>518</v>
      </c>
      <c r="E17" t="s">
        <v>556</v>
      </c>
      <c r="F17" t="s">
        <v>314</v>
      </c>
      <c r="G17">
        <v>3</v>
      </c>
      <c r="H17" t="s">
        <v>527</v>
      </c>
      <c r="I17" t="s">
        <v>303</v>
      </c>
      <c r="J17" t="s">
        <v>557</v>
      </c>
      <c r="L17" t="s">
        <v>530</v>
      </c>
      <c r="M17" t="s">
        <v>545</v>
      </c>
      <c r="N17" t="s">
        <v>558</v>
      </c>
    </row>
    <row r="18" spans="1:14" x14ac:dyDescent="0.2">
      <c r="A18">
        <v>11</v>
      </c>
      <c r="B18" t="s">
        <v>2541</v>
      </c>
      <c r="C18">
        <v>20190701</v>
      </c>
      <c r="D18" t="s">
        <v>518</v>
      </c>
      <c r="E18" t="s">
        <v>165</v>
      </c>
      <c r="F18" t="s">
        <v>96</v>
      </c>
      <c r="G18">
        <v>3</v>
      </c>
      <c r="H18" t="s">
        <v>527</v>
      </c>
      <c r="I18" t="s">
        <v>303</v>
      </c>
      <c r="J18" t="s">
        <v>557</v>
      </c>
      <c r="K18" t="s">
        <v>559</v>
      </c>
      <c r="L18" t="s">
        <v>530</v>
      </c>
      <c r="M18" t="s">
        <v>545</v>
      </c>
      <c r="N18" t="s">
        <v>560</v>
      </c>
    </row>
    <row r="19" spans="1:14" x14ac:dyDescent="0.2">
      <c r="A19">
        <v>12</v>
      </c>
      <c r="B19" t="s">
        <v>2541</v>
      </c>
      <c r="C19">
        <v>20190701</v>
      </c>
      <c r="D19" t="s">
        <v>518</v>
      </c>
      <c r="E19" t="s">
        <v>561</v>
      </c>
      <c r="F19" t="s">
        <v>547</v>
      </c>
      <c r="G19">
        <v>3</v>
      </c>
      <c r="H19" t="s">
        <v>527</v>
      </c>
      <c r="I19" t="s">
        <v>303</v>
      </c>
      <c r="J19" t="s">
        <v>562</v>
      </c>
      <c r="K19" t="s">
        <v>559</v>
      </c>
      <c r="L19" t="s">
        <v>530</v>
      </c>
      <c r="M19" t="s">
        <v>545</v>
      </c>
      <c r="N19" t="s">
        <v>563</v>
      </c>
    </row>
    <row r="20" spans="1:14" x14ac:dyDescent="0.2">
      <c r="A20">
        <v>13</v>
      </c>
      <c r="B20" t="s">
        <v>2541</v>
      </c>
      <c r="C20">
        <v>20190702</v>
      </c>
      <c r="D20" t="s">
        <v>518</v>
      </c>
      <c r="E20" t="s">
        <v>140</v>
      </c>
      <c r="F20" t="s">
        <v>307</v>
      </c>
      <c r="G20">
        <v>5</v>
      </c>
      <c r="H20" t="s">
        <v>564</v>
      </c>
      <c r="I20" t="s">
        <v>565</v>
      </c>
      <c r="J20" t="s">
        <v>566</v>
      </c>
      <c r="K20" t="s">
        <v>559</v>
      </c>
      <c r="L20" t="s">
        <v>530</v>
      </c>
      <c r="M20" t="s">
        <v>567</v>
      </c>
      <c r="N20" t="s">
        <v>568</v>
      </c>
    </row>
    <row r="21" spans="1:14" x14ac:dyDescent="0.2">
      <c r="A21">
        <v>14</v>
      </c>
      <c r="B21" t="s">
        <v>2541</v>
      </c>
      <c r="C21">
        <v>20190703</v>
      </c>
      <c r="D21" t="s">
        <v>518</v>
      </c>
      <c r="E21" t="s">
        <v>569</v>
      </c>
      <c r="F21" t="s">
        <v>396</v>
      </c>
      <c r="G21">
        <v>3</v>
      </c>
      <c r="H21" t="s">
        <v>527</v>
      </c>
      <c r="I21" t="s">
        <v>303</v>
      </c>
      <c r="J21" t="s">
        <v>554</v>
      </c>
      <c r="K21" t="s">
        <v>559</v>
      </c>
      <c r="L21" t="s">
        <v>530</v>
      </c>
      <c r="M21" t="s">
        <v>534</v>
      </c>
      <c r="N21" t="s">
        <v>570</v>
      </c>
    </row>
    <row r="22" spans="1:14" x14ac:dyDescent="0.2">
      <c r="A22">
        <v>14</v>
      </c>
      <c r="B22" t="s">
        <v>2541</v>
      </c>
      <c r="C22">
        <v>20190703</v>
      </c>
      <c r="D22" t="s">
        <v>518</v>
      </c>
      <c r="E22" t="s">
        <v>398</v>
      </c>
      <c r="F22" t="s">
        <v>430</v>
      </c>
      <c r="G22">
        <v>3</v>
      </c>
      <c r="H22" t="s">
        <v>527</v>
      </c>
      <c r="I22" t="s">
        <v>303</v>
      </c>
      <c r="J22" t="s">
        <v>554</v>
      </c>
      <c r="K22" t="s">
        <v>559</v>
      </c>
      <c r="L22" t="s">
        <v>530</v>
      </c>
      <c r="M22" t="s">
        <v>534</v>
      </c>
      <c r="N22" t="s">
        <v>571</v>
      </c>
    </row>
    <row r="23" spans="1:14" x14ac:dyDescent="0.2">
      <c r="A23">
        <v>15</v>
      </c>
      <c r="B23" t="s">
        <v>2541</v>
      </c>
      <c r="C23">
        <v>20190703</v>
      </c>
      <c r="D23" t="s">
        <v>518</v>
      </c>
      <c r="E23" s="2" t="s">
        <v>198</v>
      </c>
      <c r="F23" s="30" t="s">
        <v>693</v>
      </c>
      <c r="G23">
        <v>4</v>
      </c>
      <c r="H23" t="s">
        <v>572</v>
      </c>
      <c r="I23" t="s">
        <v>565</v>
      </c>
      <c r="J23" t="s">
        <v>573</v>
      </c>
      <c r="K23" t="s">
        <v>544</v>
      </c>
      <c r="L23" t="s">
        <v>530</v>
      </c>
      <c r="M23" t="s">
        <v>574</v>
      </c>
      <c r="N23" t="s">
        <v>575</v>
      </c>
    </row>
    <row r="24" spans="1:14" x14ac:dyDescent="0.2">
      <c r="A24">
        <v>16</v>
      </c>
      <c r="B24" t="s">
        <v>2541</v>
      </c>
      <c r="C24">
        <v>20190707</v>
      </c>
      <c r="D24" t="s">
        <v>518</v>
      </c>
      <c r="E24" t="s">
        <v>576</v>
      </c>
      <c r="F24" t="s">
        <v>577</v>
      </c>
      <c r="G24">
        <v>3</v>
      </c>
      <c r="H24" t="s">
        <v>527</v>
      </c>
      <c r="I24" t="s">
        <v>578</v>
      </c>
      <c r="J24" t="s">
        <v>31</v>
      </c>
      <c r="K24" t="s">
        <v>559</v>
      </c>
      <c r="L24" t="s">
        <v>530</v>
      </c>
      <c r="M24" t="s">
        <v>530</v>
      </c>
      <c r="N24" t="s">
        <v>2654</v>
      </c>
    </row>
    <row r="25" spans="1:14" ht="15" customHeight="1" x14ac:dyDescent="0.2">
      <c r="A25">
        <v>17</v>
      </c>
      <c r="B25" t="s">
        <v>2541</v>
      </c>
      <c r="C25">
        <v>20190708</v>
      </c>
      <c r="D25" t="s">
        <v>518</v>
      </c>
      <c r="E25" t="s">
        <v>579</v>
      </c>
      <c r="F25" t="s">
        <v>263</v>
      </c>
      <c r="G25">
        <v>3</v>
      </c>
      <c r="H25" t="s">
        <v>527</v>
      </c>
      <c r="I25" t="s">
        <v>578</v>
      </c>
      <c r="J25" t="s">
        <v>583</v>
      </c>
      <c r="K25" t="s">
        <v>559</v>
      </c>
      <c r="L25" t="s">
        <v>530</v>
      </c>
      <c r="M25" t="s">
        <v>530</v>
      </c>
      <c r="N25" t="s">
        <v>584</v>
      </c>
    </row>
    <row r="26" spans="1:14" ht="15" customHeight="1" x14ac:dyDescent="0.2">
      <c r="A26">
        <v>18</v>
      </c>
      <c r="B26" t="s">
        <v>2541</v>
      </c>
      <c r="C26">
        <v>20190708</v>
      </c>
      <c r="D26" t="s">
        <v>518</v>
      </c>
      <c r="E26" t="s">
        <v>263</v>
      </c>
      <c r="F26" t="s">
        <v>580</v>
      </c>
      <c r="G26">
        <v>3</v>
      </c>
      <c r="H26" t="s">
        <v>527</v>
      </c>
      <c r="I26" t="s">
        <v>578</v>
      </c>
      <c r="J26" t="s">
        <v>31</v>
      </c>
      <c r="K26" t="s">
        <v>559</v>
      </c>
      <c r="L26" t="s">
        <v>530</v>
      </c>
      <c r="M26" t="s">
        <v>530</v>
      </c>
      <c r="N26" s="31" t="s">
        <v>2482</v>
      </c>
    </row>
    <row r="27" spans="1:14" x14ac:dyDescent="0.2">
      <c r="A27">
        <v>19</v>
      </c>
      <c r="B27" t="s">
        <v>2541</v>
      </c>
      <c r="C27">
        <v>20190708</v>
      </c>
      <c r="D27" t="s">
        <v>518</v>
      </c>
      <c r="E27" t="s">
        <v>581</v>
      </c>
      <c r="F27" t="s">
        <v>582</v>
      </c>
      <c r="G27">
        <v>3</v>
      </c>
      <c r="H27" t="s">
        <v>527</v>
      </c>
      <c r="I27" t="s">
        <v>578</v>
      </c>
      <c r="J27" t="s">
        <v>366</v>
      </c>
      <c r="K27" t="s">
        <v>559</v>
      </c>
      <c r="L27" t="s">
        <v>530</v>
      </c>
      <c r="M27" t="s">
        <v>530</v>
      </c>
      <c r="N27" t="s">
        <v>585</v>
      </c>
    </row>
    <row r="28" spans="1:14" x14ac:dyDescent="0.2">
      <c r="A28">
        <v>20</v>
      </c>
      <c r="B28" t="s">
        <v>2541</v>
      </c>
      <c r="C28">
        <v>20190709</v>
      </c>
      <c r="D28" t="s">
        <v>518</v>
      </c>
      <c r="E28" t="s">
        <v>221</v>
      </c>
      <c r="F28" t="s">
        <v>63</v>
      </c>
      <c r="G28">
        <v>3</v>
      </c>
      <c r="H28" t="s">
        <v>527</v>
      </c>
      <c r="I28" t="s">
        <v>578</v>
      </c>
      <c r="J28" t="s">
        <v>31</v>
      </c>
      <c r="K28" t="s">
        <v>559</v>
      </c>
      <c r="L28" t="s">
        <v>530</v>
      </c>
      <c r="M28" t="s">
        <v>530</v>
      </c>
      <c r="N28" t="s">
        <v>586</v>
      </c>
    </row>
    <row r="29" spans="1:14" x14ac:dyDescent="0.2">
      <c r="A29">
        <v>20</v>
      </c>
      <c r="B29" t="s">
        <v>2541</v>
      </c>
      <c r="C29">
        <v>20190709</v>
      </c>
      <c r="D29" t="s">
        <v>518</v>
      </c>
      <c r="E29" t="s">
        <v>587</v>
      </c>
      <c r="F29" t="s">
        <v>588</v>
      </c>
      <c r="G29">
        <v>3</v>
      </c>
      <c r="H29" t="s">
        <v>527</v>
      </c>
      <c r="I29" t="s">
        <v>578</v>
      </c>
      <c r="J29" t="s">
        <v>31</v>
      </c>
      <c r="K29" t="s">
        <v>559</v>
      </c>
      <c r="L29" t="s">
        <v>530</v>
      </c>
      <c r="M29" t="s">
        <v>530</v>
      </c>
      <c r="N29" t="s">
        <v>586</v>
      </c>
    </row>
    <row r="30" spans="1:14" x14ac:dyDescent="0.2">
      <c r="A30">
        <v>21</v>
      </c>
      <c r="B30" t="s">
        <v>2541</v>
      </c>
      <c r="C30">
        <v>20190709</v>
      </c>
      <c r="D30" t="s">
        <v>518</v>
      </c>
      <c r="E30" t="s">
        <v>589</v>
      </c>
      <c r="F30" t="s">
        <v>128</v>
      </c>
      <c r="G30">
        <v>3</v>
      </c>
      <c r="H30" t="s">
        <v>527</v>
      </c>
      <c r="I30" t="s">
        <v>578</v>
      </c>
      <c r="J30" t="s">
        <v>31</v>
      </c>
      <c r="K30" t="s">
        <v>559</v>
      </c>
      <c r="L30" t="s">
        <v>530</v>
      </c>
      <c r="M30" t="s">
        <v>530</v>
      </c>
      <c r="N30" t="s">
        <v>590</v>
      </c>
    </row>
    <row r="31" spans="1:14" x14ac:dyDescent="0.2">
      <c r="A31">
        <v>22</v>
      </c>
      <c r="B31" t="s">
        <v>2541</v>
      </c>
      <c r="C31">
        <v>20190717</v>
      </c>
      <c r="D31" t="s">
        <v>518</v>
      </c>
      <c r="E31" t="s">
        <v>591</v>
      </c>
      <c r="F31" t="s">
        <v>592</v>
      </c>
      <c r="G31">
        <v>3</v>
      </c>
      <c r="H31" t="s">
        <v>593</v>
      </c>
      <c r="I31" t="s">
        <v>594</v>
      </c>
      <c r="J31" t="s">
        <v>602</v>
      </c>
      <c r="K31" t="s">
        <v>544</v>
      </c>
      <c r="L31" t="s">
        <v>530</v>
      </c>
      <c r="M31" t="s">
        <v>540</v>
      </c>
      <c r="N31" t="s">
        <v>595</v>
      </c>
    </row>
    <row r="32" spans="1:14" x14ac:dyDescent="0.2">
      <c r="A32">
        <v>23</v>
      </c>
      <c r="B32" t="s">
        <v>2541</v>
      </c>
      <c r="C32">
        <v>20190717</v>
      </c>
      <c r="D32" t="s">
        <v>518</v>
      </c>
      <c r="E32" t="s">
        <v>597</v>
      </c>
      <c r="F32" t="s">
        <v>596</v>
      </c>
      <c r="G32">
        <v>3</v>
      </c>
      <c r="H32" t="s">
        <v>593</v>
      </c>
      <c r="I32" t="s">
        <v>599</v>
      </c>
      <c r="J32" t="s">
        <v>583</v>
      </c>
      <c r="K32" t="s">
        <v>544</v>
      </c>
      <c r="L32" t="s">
        <v>530</v>
      </c>
      <c r="M32" t="s">
        <v>540</v>
      </c>
      <c r="N32" t="s">
        <v>598</v>
      </c>
    </row>
    <row r="33" spans="1:14" x14ac:dyDescent="0.2">
      <c r="A33">
        <v>24</v>
      </c>
      <c r="B33" t="s">
        <v>2541</v>
      </c>
      <c r="C33">
        <v>20190718</v>
      </c>
      <c r="D33" t="s">
        <v>518</v>
      </c>
      <c r="E33" t="s">
        <v>600</v>
      </c>
      <c r="F33" t="s">
        <v>601</v>
      </c>
      <c r="G33">
        <v>3</v>
      </c>
      <c r="H33" t="s">
        <v>593</v>
      </c>
      <c r="I33" t="s">
        <v>594</v>
      </c>
      <c r="J33" t="s">
        <v>602</v>
      </c>
      <c r="K33" t="s">
        <v>559</v>
      </c>
      <c r="L33" t="s">
        <v>530</v>
      </c>
      <c r="M33" t="s">
        <v>540</v>
      </c>
      <c r="N33" t="s">
        <v>603</v>
      </c>
    </row>
    <row r="34" spans="1:14" x14ac:dyDescent="0.2">
      <c r="A34">
        <v>25</v>
      </c>
      <c r="B34" t="s">
        <v>2541</v>
      </c>
      <c r="C34">
        <v>20190718</v>
      </c>
      <c r="D34" t="s">
        <v>518</v>
      </c>
      <c r="E34" t="s">
        <v>591</v>
      </c>
      <c r="F34" t="s">
        <v>605</v>
      </c>
      <c r="G34">
        <v>3</v>
      </c>
      <c r="H34" t="s">
        <v>593</v>
      </c>
      <c r="I34" t="s">
        <v>594</v>
      </c>
      <c r="J34" t="s">
        <v>602</v>
      </c>
      <c r="K34" t="s">
        <v>550</v>
      </c>
      <c r="L34" t="s">
        <v>530</v>
      </c>
      <c r="M34" t="s">
        <v>530</v>
      </c>
      <c r="N34" t="s">
        <v>603</v>
      </c>
    </row>
    <row r="35" spans="1:14" x14ac:dyDescent="0.2">
      <c r="A35">
        <v>26</v>
      </c>
      <c r="B35" t="s">
        <v>2541</v>
      </c>
      <c r="C35">
        <v>20190718</v>
      </c>
      <c r="D35" t="s">
        <v>518</v>
      </c>
      <c r="E35" t="s">
        <v>576</v>
      </c>
      <c r="F35" t="s">
        <v>604</v>
      </c>
      <c r="G35">
        <v>3</v>
      </c>
      <c r="H35" t="s">
        <v>593</v>
      </c>
      <c r="I35" t="s">
        <v>594</v>
      </c>
      <c r="J35" t="s">
        <v>366</v>
      </c>
      <c r="K35" t="s">
        <v>550</v>
      </c>
      <c r="L35" t="s">
        <v>530</v>
      </c>
      <c r="M35" t="s">
        <v>530</v>
      </c>
      <c r="N35" t="s">
        <v>583</v>
      </c>
    </row>
    <row r="36" spans="1:14" x14ac:dyDescent="0.2">
      <c r="A36">
        <v>27</v>
      </c>
      <c r="B36" t="s">
        <v>2541</v>
      </c>
      <c r="C36">
        <v>20190719</v>
      </c>
      <c r="D36" t="s">
        <v>518</v>
      </c>
      <c r="E36" t="s">
        <v>685</v>
      </c>
      <c r="F36" t="s">
        <v>140</v>
      </c>
      <c r="G36">
        <v>3</v>
      </c>
      <c r="H36" t="s">
        <v>593</v>
      </c>
      <c r="I36" t="s">
        <v>594</v>
      </c>
      <c r="J36" t="s">
        <v>366</v>
      </c>
      <c r="K36" t="s">
        <v>559</v>
      </c>
      <c r="L36" t="s">
        <v>530</v>
      </c>
      <c r="M36" t="s">
        <v>530</v>
      </c>
      <c r="N36" t="s">
        <v>688</v>
      </c>
    </row>
    <row r="37" spans="1:14" x14ac:dyDescent="0.2">
      <c r="A37">
        <v>28</v>
      </c>
      <c r="B37" t="s">
        <v>2541</v>
      </c>
      <c r="C37">
        <v>20190719</v>
      </c>
      <c r="D37" t="s">
        <v>518</v>
      </c>
      <c r="E37" t="s">
        <v>346</v>
      </c>
      <c r="F37" t="s">
        <v>589</v>
      </c>
      <c r="G37">
        <v>3</v>
      </c>
      <c r="H37" t="s">
        <v>593</v>
      </c>
      <c r="I37" t="s">
        <v>594</v>
      </c>
      <c r="J37" t="s">
        <v>366</v>
      </c>
      <c r="K37" t="s">
        <v>559</v>
      </c>
      <c r="L37" t="s">
        <v>530</v>
      </c>
      <c r="M37" t="s">
        <v>530</v>
      </c>
      <c r="N37" t="s">
        <v>689</v>
      </c>
    </row>
    <row r="38" spans="1:14" x14ac:dyDescent="0.2">
      <c r="A38">
        <v>29</v>
      </c>
      <c r="B38" t="s">
        <v>2541</v>
      </c>
      <c r="C38">
        <v>20190719</v>
      </c>
      <c r="D38" t="s">
        <v>518</v>
      </c>
      <c r="E38" t="s">
        <v>589</v>
      </c>
      <c r="F38" t="s">
        <v>686</v>
      </c>
      <c r="G38">
        <v>3</v>
      </c>
      <c r="H38" t="s">
        <v>593</v>
      </c>
      <c r="I38" t="s">
        <v>594</v>
      </c>
      <c r="J38" t="s">
        <v>687</v>
      </c>
      <c r="K38" t="s">
        <v>559</v>
      </c>
      <c r="L38" t="s">
        <v>530</v>
      </c>
      <c r="M38" t="s">
        <v>530</v>
      </c>
      <c r="N38" t="s">
        <v>690</v>
      </c>
    </row>
    <row r="39" spans="1:14" x14ac:dyDescent="0.2">
      <c r="A39">
        <v>30</v>
      </c>
      <c r="B39" t="s">
        <v>2541</v>
      </c>
      <c r="C39">
        <v>20190721</v>
      </c>
      <c r="D39" t="s">
        <v>518</v>
      </c>
      <c r="E39" t="s">
        <v>741</v>
      </c>
      <c r="F39" t="s">
        <v>742</v>
      </c>
      <c r="G39">
        <v>3</v>
      </c>
      <c r="H39" t="s">
        <v>593</v>
      </c>
      <c r="I39" t="s">
        <v>743</v>
      </c>
      <c r="J39" t="s">
        <v>744</v>
      </c>
      <c r="K39" t="s">
        <v>550</v>
      </c>
      <c r="L39" t="s">
        <v>530</v>
      </c>
      <c r="M39" t="s">
        <v>530</v>
      </c>
      <c r="N39" t="s">
        <v>748</v>
      </c>
    </row>
    <row r="40" spans="1:14" x14ac:dyDescent="0.2">
      <c r="A40">
        <v>30</v>
      </c>
      <c r="B40" t="s">
        <v>2541</v>
      </c>
      <c r="C40">
        <v>20190721</v>
      </c>
      <c r="D40" t="s">
        <v>518</v>
      </c>
      <c r="E40" t="s">
        <v>581</v>
      </c>
      <c r="F40" t="s">
        <v>745</v>
      </c>
      <c r="G40">
        <v>3</v>
      </c>
      <c r="H40" t="s">
        <v>593</v>
      </c>
      <c r="I40" t="s">
        <v>743</v>
      </c>
      <c r="J40" t="s">
        <v>744</v>
      </c>
      <c r="K40" t="s">
        <v>550</v>
      </c>
      <c r="L40" t="s">
        <v>530</v>
      </c>
      <c r="M40" t="s">
        <v>530</v>
      </c>
      <c r="N40" t="s">
        <v>748</v>
      </c>
    </row>
    <row r="41" spans="1:14" x14ac:dyDescent="0.2">
      <c r="A41">
        <v>31</v>
      </c>
      <c r="B41" t="s">
        <v>2541</v>
      </c>
      <c r="C41">
        <v>20190722</v>
      </c>
      <c r="D41" t="s">
        <v>518</v>
      </c>
      <c r="E41" t="s">
        <v>746</v>
      </c>
      <c r="F41" t="s">
        <v>747</v>
      </c>
      <c r="G41">
        <v>3</v>
      </c>
      <c r="H41" t="s">
        <v>593</v>
      </c>
      <c r="I41" t="s">
        <v>743</v>
      </c>
      <c r="J41" t="s">
        <v>744</v>
      </c>
      <c r="K41" t="s">
        <v>559</v>
      </c>
      <c r="L41" t="s">
        <v>530</v>
      </c>
      <c r="M41" t="s">
        <v>530</v>
      </c>
      <c r="N41" t="s">
        <v>749</v>
      </c>
    </row>
    <row r="42" spans="1:14" x14ac:dyDescent="0.2">
      <c r="A42">
        <v>32</v>
      </c>
      <c r="B42" t="s">
        <v>2541</v>
      </c>
      <c r="C42">
        <v>20190722</v>
      </c>
      <c r="D42" t="s">
        <v>518</v>
      </c>
      <c r="E42" t="s">
        <v>591</v>
      </c>
      <c r="F42" t="s">
        <v>152</v>
      </c>
      <c r="G42">
        <v>3</v>
      </c>
      <c r="H42" t="s">
        <v>593</v>
      </c>
      <c r="I42" t="s">
        <v>743</v>
      </c>
      <c r="J42" t="s">
        <v>744</v>
      </c>
      <c r="K42" t="s">
        <v>559</v>
      </c>
      <c r="L42" t="s">
        <v>530</v>
      </c>
      <c r="M42" t="s">
        <v>530</v>
      </c>
      <c r="N42" t="s">
        <v>749</v>
      </c>
    </row>
    <row r="43" spans="1:14" x14ac:dyDescent="0.2">
      <c r="A43">
        <v>32</v>
      </c>
      <c r="B43" t="s">
        <v>2541</v>
      </c>
      <c r="C43">
        <v>20190722</v>
      </c>
      <c r="D43" t="s">
        <v>518</v>
      </c>
      <c r="E43" t="s">
        <v>243</v>
      </c>
      <c r="F43" t="s">
        <v>110</v>
      </c>
      <c r="G43">
        <v>3</v>
      </c>
      <c r="H43" t="s">
        <v>593</v>
      </c>
      <c r="I43" t="s">
        <v>743</v>
      </c>
      <c r="J43" t="s">
        <v>744</v>
      </c>
      <c r="K43" t="s">
        <v>559</v>
      </c>
      <c r="L43" t="s">
        <v>530</v>
      </c>
      <c r="M43" t="s">
        <v>530</v>
      </c>
      <c r="N43" t="s">
        <v>785</v>
      </c>
    </row>
    <row r="44" spans="1:14" x14ac:dyDescent="0.2">
      <c r="A44">
        <v>33</v>
      </c>
      <c r="B44" t="s">
        <v>2541</v>
      </c>
      <c r="C44">
        <v>20190723</v>
      </c>
      <c r="D44" t="s">
        <v>518</v>
      </c>
      <c r="E44" t="s">
        <v>802</v>
      </c>
      <c r="F44" t="s">
        <v>335</v>
      </c>
      <c r="G44">
        <v>3</v>
      </c>
      <c r="H44" t="s">
        <v>593</v>
      </c>
      <c r="I44" t="s">
        <v>743</v>
      </c>
      <c r="J44" t="s">
        <v>31</v>
      </c>
      <c r="K44" t="s">
        <v>559</v>
      </c>
      <c r="L44" t="s">
        <v>530</v>
      </c>
      <c r="M44" t="s">
        <v>530</v>
      </c>
      <c r="N44" t="s">
        <v>803</v>
      </c>
    </row>
    <row r="45" spans="1:14" x14ac:dyDescent="0.2">
      <c r="A45">
        <v>34</v>
      </c>
      <c r="B45" t="s">
        <v>2541</v>
      </c>
      <c r="C45">
        <v>20190723</v>
      </c>
      <c r="D45" t="s">
        <v>518</v>
      </c>
      <c r="E45" t="s">
        <v>454</v>
      </c>
      <c r="F45" t="s">
        <v>806</v>
      </c>
      <c r="G45">
        <v>3</v>
      </c>
      <c r="H45" t="s">
        <v>593</v>
      </c>
      <c r="I45" t="s">
        <v>743</v>
      </c>
      <c r="J45" t="s">
        <v>744</v>
      </c>
      <c r="K45" t="s">
        <v>559</v>
      </c>
      <c r="L45" t="s">
        <v>530</v>
      </c>
      <c r="M45" t="s">
        <v>530</v>
      </c>
      <c r="N45" t="s">
        <v>804</v>
      </c>
    </row>
    <row r="46" spans="1:14" x14ac:dyDescent="0.2">
      <c r="A46">
        <v>34</v>
      </c>
      <c r="B46" t="s">
        <v>2541</v>
      </c>
      <c r="C46">
        <v>20190723</v>
      </c>
      <c r="D46" t="s">
        <v>518</v>
      </c>
      <c r="E46" t="s">
        <v>541</v>
      </c>
      <c r="F46" t="s">
        <v>193</v>
      </c>
      <c r="G46">
        <v>3</v>
      </c>
      <c r="H46" t="s">
        <v>593</v>
      </c>
      <c r="I46" t="s">
        <v>743</v>
      </c>
      <c r="J46" t="s">
        <v>744</v>
      </c>
      <c r="K46" t="s">
        <v>559</v>
      </c>
      <c r="L46" t="s">
        <v>530</v>
      </c>
      <c r="M46" t="s">
        <v>530</v>
      </c>
      <c r="N46" t="s">
        <v>804</v>
      </c>
    </row>
    <row r="47" spans="1:14" x14ac:dyDescent="0.2">
      <c r="A47">
        <v>35</v>
      </c>
      <c r="B47" t="s">
        <v>2541</v>
      </c>
      <c r="C47">
        <v>20190725</v>
      </c>
      <c r="D47" t="s">
        <v>518</v>
      </c>
      <c r="E47" t="s">
        <v>814</v>
      </c>
      <c r="F47" t="s">
        <v>579</v>
      </c>
      <c r="G47">
        <v>3</v>
      </c>
      <c r="H47" t="s">
        <v>593</v>
      </c>
      <c r="I47" t="s">
        <v>743</v>
      </c>
      <c r="J47" t="s">
        <v>31</v>
      </c>
      <c r="K47" t="s">
        <v>559</v>
      </c>
      <c r="L47" t="s">
        <v>530</v>
      </c>
      <c r="M47" t="s">
        <v>530</v>
      </c>
      <c r="N47" t="s">
        <v>815</v>
      </c>
    </row>
    <row r="48" spans="1:14" x14ac:dyDescent="0.2">
      <c r="A48">
        <v>35</v>
      </c>
      <c r="B48" t="s">
        <v>2541</v>
      </c>
      <c r="C48">
        <v>20190725</v>
      </c>
      <c r="D48" t="s">
        <v>518</v>
      </c>
      <c r="E48" t="s">
        <v>357</v>
      </c>
      <c r="F48" t="s">
        <v>304</v>
      </c>
      <c r="G48">
        <v>3</v>
      </c>
      <c r="H48" t="s">
        <v>593</v>
      </c>
      <c r="I48" t="s">
        <v>743</v>
      </c>
      <c r="J48" t="s">
        <v>31</v>
      </c>
      <c r="K48" t="s">
        <v>559</v>
      </c>
      <c r="L48" t="s">
        <v>530</v>
      </c>
      <c r="M48" t="s">
        <v>530</v>
      </c>
      <c r="N48" t="s">
        <v>815</v>
      </c>
    </row>
    <row r="49" spans="1:14" x14ac:dyDescent="0.2">
      <c r="A49">
        <v>35</v>
      </c>
      <c r="B49" t="s">
        <v>2541</v>
      </c>
      <c r="C49">
        <v>20190725</v>
      </c>
      <c r="D49" t="s">
        <v>518</v>
      </c>
      <c r="E49" t="s">
        <v>816</v>
      </c>
      <c r="F49" t="s">
        <v>784</v>
      </c>
      <c r="G49">
        <v>3</v>
      </c>
      <c r="H49" t="s">
        <v>593</v>
      </c>
      <c r="I49" t="s">
        <v>743</v>
      </c>
      <c r="J49" t="s">
        <v>31</v>
      </c>
      <c r="K49" t="s">
        <v>559</v>
      </c>
      <c r="L49" t="s">
        <v>530</v>
      </c>
      <c r="M49" t="s">
        <v>530</v>
      </c>
      <c r="N49" t="s">
        <v>815</v>
      </c>
    </row>
    <row r="50" spans="1:14" x14ac:dyDescent="0.2">
      <c r="A50">
        <v>35</v>
      </c>
      <c r="B50" t="s">
        <v>2541</v>
      </c>
      <c r="C50">
        <v>20190725</v>
      </c>
      <c r="D50" t="s">
        <v>518</v>
      </c>
      <c r="E50" t="s">
        <v>817</v>
      </c>
      <c r="F50" t="s">
        <v>745</v>
      </c>
      <c r="G50">
        <v>3</v>
      </c>
      <c r="H50" t="s">
        <v>593</v>
      </c>
      <c r="I50" t="s">
        <v>743</v>
      </c>
      <c r="J50" t="s">
        <v>31</v>
      </c>
      <c r="K50" t="s">
        <v>559</v>
      </c>
      <c r="L50" t="s">
        <v>530</v>
      </c>
      <c r="M50" t="s">
        <v>530</v>
      </c>
      <c r="N50" t="s">
        <v>815</v>
      </c>
    </row>
    <row r="51" spans="1:14" x14ac:dyDescent="0.2">
      <c r="A51">
        <v>36</v>
      </c>
      <c r="B51" t="s">
        <v>2541</v>
      </c>
      <c r="C51">
        <v>20190725</v>
      </c>
      <c r="D51" t="s">
        <v>518</v>
      </c>
      <c r="E51" t="s">
        <v>280</v>
      </c>
      <c r="F51" t="s">
        <v>818</v>
      </c>
      <c r="G51">
        <v>3</v>
      </c>
      <c r="H51" t="s">
        <v>593</v>
      </c>
      <c r="I51" t="s">
        <v>743</v>
      </c>
      <c r="J51" t="s">
        <v>744</v>
      </c>
      <c r="K51" t="s">
        <v>559</v>
      </c>
      <c r="L51" t="s">
        <v>530</v>
      </c>
      <c r="M51" t="s">
        <v>530</v>
      </c>
      <c r="N51" t="s">
        <v>819</v>
      </c>
    </row>
    <row r="52" spans="1:14" x14ac:dyDescent="0.2">
      <c r="A52">
        <v>37</v>
      </c>
      <c r="B52" t="s">
        <v>2541</v>
      </c>
      <c r="C52">
        <v>20190727</v>
      </c>
      <c r="D52" t="s">
        <v>518</v>
      </c>
      <c r="E52" t="s">
        <v>855</v>
      </c>
      <c r="F52" t="s">
        <v>856</v>
      </c>
      <c r="G52">
        <v>3</v>
      </c>
      <c r="H52" t="s">
        <v>593</v>
      </c>
      <c r="I52" t="s">
        <v>743</v>
      </c>
      <c r="J52" t="s">
        <v>744</v>
      </c>
      <c r="K52" t="s">
        <v>559</v>
      </c>
      <c r="L52" t="s">
        <v>530</v>
      </c>
      <c r="M52" t="s">
        <v>534</v>
      </c>
      <c r="N52" t="s">
        <v>867</v>
      </c>
    </row>
    <row r="53" spans="1:14" x14ac:dyDescent="0.2">
      <c r="A53">
        <v>37</v>
      </c>
      <c r="B53" t="s">
        <v>2541</v>
      </c>
      <c r="C53">
        <v>20190727</v>
      </c>
      <c r="D53" t="s">
        <v>518</v>
      </c>
      <c r="E53" t="s">
        <v>857</v>
      </c>
      <c r="F53" t="s">
        <v>858</v>
      </c>
      <c r="G53">
        <v>3</v>
      </c>
      <c r="H53" t="s">
        <v>593</v>
      </c>
      <c r="I53" t="s">
        <v>743</v>
      </c>
      <c r="J53" t="s">
        <v>744</v>
      </c>
      <c r="K53" t="s">
        <v>559</v>
      </c>
      <c r="L53" t="s">
        <v>530</v>
      </c>
      <c r="M53" t="s">
        <v>534</v>
      </c>
      <c r="N53" t="s">
        <v>867</v>
      </c>
    </row>
    <row r="54" spans="1:14" x14ac:dyDescent="0.2">
      <c r="A54">
        <v>37</v>
      </c>
      <c r="B54" t="s">
        <v>2541</v>
      </c>
      <c r="C54">
        <v>20190727</v>
      </c>
      <c r="D54" t="s">
        <v>518</v>
      </c>
      <c r="E54" t="s">
        <v>859</v>
      </c>
      <c r="F54" t="s">
        <v>860</v>
      </c>
      <c r="G54">
        <v>3</v>
      </c>
      <c r="H54" t="s">
        <v>593</v>
      </c>
      <c r="I54" t="s">
        <v>743</v>
      </c>
      <c r="J54" t="s">
        <v>744</v>
      </c>
      <c r="K54" t="s">
        <v>559</v>
      </c>
      <c r="L54" t="s">
        <v>530</v>
      </c>
      <c r="M54" t="s">
        <v>534</v>
      </c>
      <c r="N54" t="s">
        <v>867</v>
      </c>
    </row>
    <row r="55" spans="1:14" x14ac:dyDescent="0.2">
      <c r="A55">
        <v>37</v>
      </c>
      <c r="B55" t="s">
        <v>2541</v>
      </c>
      <c r="C55">
        <v>20190727</v>
      </c>
      <c r="D55" t="s">
        <v>518</v>
      </c>
      <c r="E55" t="s">
        <v>861</v>
      </c>
      <c r="F55" t="s">
        <v>862</v>
      </c>
      <c r="G55">
        <v>3</v>
      </c>
      <c r="H55" t="s">
        <v>593</v>
      </c>
      <c r="I55" t="s">
        <v>743</v>
      </c>
      <c r="J55" t="s">
        <v>744</v>
      </c>
      <c r="K55" t="s">
        <v>559</v>
      </c>
      <c r="L55" t="s">
        <v>530</v>
      </c>
      <c r="M55" t="s">
        <v>534</v>
      </c>
      <c r="N55" t="s">
        <v>867</v>
      </c>
    </row>
    <row r="56" spans="1:14" x14ac:dyDescent="0.2">
      <c r="A56">
        <v>37</v>
      </c>
      <c r="B56" t="s">
        <v>2541</v>
      </c>
      <c r="C56">
        <v>20190727</v>
      </c>
      <c r="D56" t="s">
        <v>518</v>
      </c>
      <c r="E56" t="s">
        <v>863</v>
      </c>
      <c r="F56" t="s">
        <v>864</v>
      </c>
      <c r="G56">
        <v>3</v>
      </c>
      <c r="H56" t="s">
        <v>593</v>
      </c>
      <c r="I56" t="s">
        <v>743</v>
      </c>
      <c r="J56" t="s">
        <v>744</v>
      </c>
      <c r="K56" t="s">
        <v>559</v>
      </c>
      <c r="L56" t="s">
        <v>530</v>
      </c>
      <c r="M56" t="s">
        <v>534</v>
      </c>
      <c r="N56" t="s">
        <v>867</v>
      </c>
    </row>
    <row r="57" spans="1:14" x14ac:dyDescent="0.2">
      <c r="A57">
        <v>37</v>
      </c>
      <c r="B57" t="s">
        <v>2541</v>
      </c>
      <c r="C57">
        <v>20190727</v>
      </c>
      <c r="D57" t="s">
        <v>518</v>
      </c>
      <c r="E57" t="s">
        <v>865</v>
      </c>
      <c r="F57" t="s">
        <v>866</v>
      </c>
      <c r="G57">
        <v>3</v>
      </c>
      <c r="H57" t="s">
        <v>593</v>
      </c>
      <c r="I57" t="s">
        <v>743</v>
      </c>
      <c r="J57" t="s">
        <v>744</v>
      </c>
      <c r="K57" t="s">
        <v>559</v>
      </c>
      <c r="L57" t="s">
        <v>530</v>
      </c>
      <c r="M57" t="s">
        <v>534</v>
      </c>
      <c r="N57" t="s">
        <v>867</v>
      </c>
    </row>
    <row r="58" spans="1:14" x14ac:dyDescent="0.2">
      <c r="A58">
        <v>38</v>
      </c>
      <c r="B58" t="s">
        <v>2541</v>
      </c>
      <c r="C58">
        <v>20190729</v>
      </c>
      <c r="D58" t="s">
        <v>518</v>
      </c>
      <c r="E58" t="s">
        <v>249</v>
      </c>
      <c r="F58" t="s">
        <v>254</v>
      </c>
      <c r="G58">
        <v>3</v>
      </c>
      <c r="H58" t="s">
        <v>593</v>
      </c>
      <c r="I58" t="s">
        <v>868</v>
      </c>
      <c r="J58" t="s">
        <v>869</v>
      </c>
      <c r="K58" t="s">
        <v>544</v>
      </c>
      <c r="L58" t="s">
        <v>530</v>
      </c>
      <c r="M58" t="s">
        <v>534</v>
      </c>
      <c r="N58" t="s">
        <v>870</v>
      </c>
    </row>
    <row r="59" spans="1:14" x14ac:dyDescent="0.2">
      <c r="A59">
        <v>39</v>
      </c>
      <c r="B59" t="s">
        <v>2541</v>
      </c>
      <c r="C59">
        <v>20190729</v>
      </c>
      <c r="D59" t="s">
        <v>518</v>
      </c>
      <c r="E59" t="s">
        <v>587</v>
      </c>
      <c r="F59" t="s">
        <v>589</v>
      </c>
      <c r="G59">
        <v>3</v>
      </c>
      <c r="H59" t="s">
        <v>593</v>
      </c>
      <c r="I59" t="s">
        <v>868</v>
      </c>
      <c r="J59" t="s">
        <v>871</v>
      </c>
      <c r="K59" t="s">
        <v>544</v>
      </c>
      <c r="L59" t="s">
        <v>530</v>
      </c>
      <c r="M59" t="s">
        <v>534</v>
      </c>
      <c r="N59" t="s">
        <v>872</v>
      </c>
    </row>
    <row r="60" spans="1:14" x14ac:dyDescent="0.2">
      <c r="A60">
        <v>40</v>
      </c>
      <c r="B60" t="s">
        <v>2541</v>
      </c>
      <c r="C60">
        <v>20190730</v>
      </c>
      <c r="D60" t="s">
        <v>518</v>
      </c>
      <c r="E60" t="s">
        <v>174</v>
      </c>
      <c r="F60" t="s">
        <v>873</v>
      </c>
      <c r="G60">
        <v>3</v>
      </c>
      <c r="H60" t="s">
        <v>593</v>
      </c>
      <c r="I60" t="s">
        <v>868</v>
      </c>
      <c r="J60" t="s">
        <v>874</v>
      </c>
      <c r="K60" t="s">
        <v>559</v>
      </c>
      <c r="L60" t="s">
        <v>530</v>
      </c>
      <c r="M60" t="s">
        <v>574</v>
      </c>
      <c r="N60" t="s">
        <v>875</v>
      </c>
    </row>
    <row r="61" spans="1:14" x14ac:dyDescent="0.2">
      <c r="A61">
        <v>40</v>
      </c>
      <c r="B61" t="s">
        <v>2541</v>
      </c>
      <c r="C61">
        <v>20190730</v>
      </c>
      <c r="D61" t="s">
        <v>518</v>
      </c>
      <c r="E61" t="s">
        <v>876</v>
      </c>
      <c r="F61" t="s">
        <v>877</v>
      </c>
      <c r="G61">
        <v>3</v>
      </c>
      <c r="H61" t="s">
        <v>593</v>
      </c>
      <c r="I61" t="s">
        <v>868</v>
      </c>
      <c r="J61" t="s">
        <v>874</v>
      </c>
      <c r="K61" t="s">
        <v>559</v>
      </c>
      <c r="L61" t="s">
        <v>530</v>
      </c>
      <c r="M61" t="s">
        <v>574</v>
      </c>
      <c r="N61" t="s">
        <v>875</v>
      </c>
    </row>
    <row r="62" spans="1:14" x14ac:dyDescent="0.2">
      <c r="A62">
        <v>41</v>
      </c>
      <c r="B62" t="s">
        <v>2541</v>
      </c>
      <c r="C62">
        <v>20190731</v>
      </c>
      <c r="D62" t="s">
        <v>518</v>
      </c>
      <c r="E62" t="s">
        <v>820</v>
      </c>
      <c r="F62" t="s">
        <v>47</v>
      </c>
      <c r="G62">
        <v>3</v>
      </c>
      <c r="H62" t="s">
        <v>593</v>
      </c>
      <c r="I62" t="s">
        <v>868</v>
      </c>
      <c r="J62" t="s">
        <v>879</v>
      </c>
      <c r="K62" t="s">
        <v>524</v>
      </c>
      <c r="L62" t="s">
        <v>530</v>
      </c>
      <c r="M62" t="s">
        <v>574</v>
      </c>
      <c r="N62" t="s">
        <v>880</v>
      </c>
    </row>
    <row r="63" spans="1:14" x14ac:dyDescent="0.2">
      <c r="A63">
        <v>41</v>
      </c>
      <c r="B63" t="s">
        <v>2541</v>
      </c>
      <c r="C63">
        <v>20190731</v>
      </c>
      <c r="D63" t="s">
        <v>518</v>
      </c>
      <c r="E63" t="s">
        <v>878</v>
      </c>
      <c r="F63" t="s">
        <v>360</v>
      </c>
      <c r="G63">
        <v>3</v>
      </c>
      <c r="H63" t="s">
        <v>593</v>
      </c>
      <c r="I63" t="s">
        <v>868</v>
      </c>
      <c r="J63" t="s">
        <v>879</v>
      </c>
      <c r="K63" t="s">
        <v>524</v>
      </c>
      <c r="L63" t="s">
        <v>530</v>
      </c>
      <c r="M63" t="s">
        <v>574</v>
      </c>
      <c r="N63" t="s">
        <v>880</v>
      </c>
    </row>
    <row r="64" spans="1:14" x14ac:dyDescent="0.2">
      <c r="A64">
        <v>42</v>
      </c>
      <c r="B64" t="s">
        <v>2541</v>
      </c>
      <c r="C64">
        <v>20190731</v>
      </c>
      <c r="D64" t="s">
        <v>518</v>
      </c>
      <c r="E64" t="s">
        <v>881</v>
      </c>
      <c r="F64" t="s">
        <v>541</v>
      </c>
      <c r="G64">
        <v>3</v>
      </c>
      <c r="H64" t="s">
        <v>593</v>
      </c>
      <c r="I64" t="s">
        <v>868</v>
      </c>
      <c r="J64" t="s">
        <v>879</v>
      </c>
      <c r="K64" t="s">
        <v>524</v>
      </c>
      <c r="L64" t="s">
        <v>530</v>
      </c>
      <c r="M64" t="s">
        <v>574</v>
      </c>
      <c r="N64" t="s">
        <v>882</v>
      </c>
    </row>
    <row r="65" spans="1:14" x14ac:dyDescent="0.2">
      <c r="A65">
        <v>42</v>
      </c>
      <c r="B65" t="s">
        <v>2541</v>
      </c>
      <c r="C65">
        <v>20190731</v>
      </c>
      <c r="D65" t="s">
        <v>518</v>
      </c>
      <c r="E65" t="s">
        <v>883</v>
      </c>
      <c r="F65" t="s">
        <v>177</v>
      </c>
      <c r="G65">
        <v>3</v>
      </c>
      <c r="H65" t="s">
        <v>593</v>
      </c>
      <c r="I65" t="s">
        <v>868</v>
      </c>
      <c r="J65" t="s">
        <v>869</v>
      </c>
      <c r="K65" t="s">
        <v>524</v>
      </c>
      <c r="L65" t="s">
        <v>530</v>
      </c>
      <c r="M65" t="s">
        <v>574</v>
      </c>
      <c r="N65" t="s">
        <v>870</v>
      </c>
    </row>
    <row r="66" spans="1:14" x14ac:dyDescent="0.2">
      <c r="A66">
        <v>43</v>
      </c>
      <c r="B66" t="s">
        <v>2541</v>
      </c>
      <c r="C66">
        <v>20190731</v>
      </c>
      <c r="D66" t="s">
        <v>518</v>
      </c>
      <c r="E66" t="s">
        <v>1092</v>
      </c>
      <c r="F66" t="s">
        <v>884</v>
      </c>
      <c r="G66">
        <v>3</v>
      </c>
      <c r="H66" t="s">
        <v>593</v>
      </c>
      <c r="I66" t="s">
        <v>868</v>
      </c>
      <c r="J66" t="s">
        <v>871</v>
      </c>
      <c r="K66" t="s">
        <v>524</v>
      </c>
      <c r="L66" t="s">
        <v>530</v>
      </c>
      <c r="M66" t="s">
        <v>574</v>
      </c>
      <c r="N66" t="s">
        <v>885</v>
      </c>
    </row>
    <row r="67" spans="1:14" x14ac:dyDescent="0.2">
      <c r="A67">
        <v>44</v>
      </c>
      <c r="B67" t="s">
        <v>2541</v>
      </c>
      <c r="C67">
        <v>20190806</v>
      </c>
      <c r="D67" t="s">
        <v>518</v>
      </c>
      <c r="E67" t="s">
        <v>152</v>
      </c>
      <c r="F67" t="s">
        <v>751</v>
      </c>
      <c r="G67">
        <v>3</v>
      </c>
      <c r="H67" t="s">
        <v>886</v>
      </c>
      <c r="I67" t="s">
        <v>46</v>
      </c>
      <c r="J67" t="s">
        <v>887</v>
      </c>
      <c r="K67" t="s">
        <v>550</v>
      </c>
      <c r="L67" t="s">
        <v>530</v>
      </c>
      <c r="M67" t="s">
        <v>574</v>
      </c>
      <c r="N67" t="s">
        <v>888</v>
      </c>
    </row>
    <row r="68" spans="1:14" x14ac:dyDescent="0.2">
      <c r="A68">
        <v>45</v>
      </c>
      <c r="B68" t="s">
        <v>2541</v>
      </c>
      <c r="C68">
        <v>20190806</v>
      </c>
      <c r="D68" t="s">
        <v>518</v>
      </c>
      <c r="E68" t="s">
        <v>756</v>
      </c>
      <c r="F68" t="s">
        <v>283</v>
      </c>
      <c r="G68">
        <v>3</v>
      </c>
      <c r="H68" t="s">
        <v>886</v>
      </c>
      <c r="I68" t="s">
        <v>46</v>
      </c>
      <c r="J68" t="s">
        <v>583</v>
      </c>
      <c r="K68" t="s">
        <v>550</v>
      </c>
      <c r="L68" t="s">
        <v>530</v>
      </c>
      <c r="M68" t="s">
        <v>574</v>
      </c>
      <c r="N68" t="s">
        <v>889</v>
      </c>
    </row>
    <row r="69" spans="1:14" x14ac:dyDescent="0.2">
      <c r="A69">
        <v>46</v>
      </c>
      <c r="B69" t="s">
        <v>2541</v>
      </c>
      <c r="C69">
        <v>20190808</v>
      </c>
      <c r="D69" t="s">
        <v>518</v>
      </c>
      <c r="E69" t="s">
        <v>140</v>
      </c>
      <c r="F69" t="s">
        <v>165</v>
      </c>
      <c r="G69">
        <v>3</v>
      </c>
      <c r="H69" t="s">
        <v>886</v>
      </c>
      <c r="I69" t="s">
        <v>46</v>
      </c>
      <c r="J69" t="s">
        <v>890</v>
      </c>
      <c r="K69" t="s">
        <v>530</v>
      </c>
      <c r="L69" t="s">
        <v>530</v>
      </c>
      <c r="M69" t="s">
        <v>574</v>
      </c>
      <c r="N69" t="s">
        <v>900</v>
      </c>
    </row>
    <row r="70" spans="1:14" x14ac:dyDescent="0.2">
      <c r="A70">
        <v>47</v>
      </c>
      <c r="B70" t="s">
        <v>2541</v>
      </c>
      <c r="C70">
        <v>20190808</v>
      </c>
      <c r="D70" t="s">
        <v>518</v>
      </c>
      <c r="E70" t="s">
        <v>165</v>
      </c>
      <c r="F70" t="s">
        <v>891</v>
      </c>
      <c r="G70">
        <v>3</v>
      </c>
      <c r="H70" t="s">
        <v>886</v>
      </c>
      <c r="I70" t="s">
        <v>46</v>
      </c>
      <c r="J70" t="s">
        <v>583</v>
      </c>
      <c r="K70" t="s">
        <v>530</v>
      </c>
      <c r="L70" t="s">
        <v>530</v>
      </c>
      <c r="M70" t="s">
        <v>574</v>
      </c>
      <c r="N70" t="s">
        <v>892</v>
      </c>
    </row>
    <row r="71" spans="1:14" x14ac:dyDescent="0.2">
      <c r="A71">
        <v>48</v>
      </c>
      <c r="B71" t="s">
        <v>2541</v>
      </c>
      <c r="C71">
        <v>20190809</v>
      </c>
      <c r="D71" t="s">
        <v>518</v>
      </c>
      <c r="E71" t="s">
        <v>893</v>
      </c>
      <c r="F71" t="s">
        <v>56</v>
      </c>
      <c r="G71">
        <v>3</v>
      </c>
      <c r="H71" t="s">
        <v>886</v>
      </c>
      <c r="I71" t="s">
        <v>46</v>
      </c>
      <c r="J71" t="s">
        <v>583</v>
      </c>
      <c r="K71" t="s">
        <v>530</v>
      </c>
      <c r="L71" t="s">
        <v>530</v>
      </c>
      <c r="M71" t="s">
        <v>534</v>
      </c>
      <c r="N71" t="s">
        <v>894</v>
      </c>
    </row>
    <row r="72" spans="1:14" x14ac:dyDescent="0.2">
      <c r="A72">
        <v>49</v>
      </c>
      <c r="B72" t="s">
        <v>2541</v>
      </c>
      <c r="C72">
        <v>20190809</v>
      </c>
      <c r="D72" t="s">
        <v>518</v>
      </c>
      <c r="E72" t="s">
        <v>63</v>
      </c>
      <c r="F72" t="s">
        <v>895</v>
      </c>
      <c r="G72">
        <v>3</v>
      </c>
      <c r="H72" t="s">
        <v>886</v>
      </c>
      <c r="I72" t="s">
        <v>46</v>
      </c>
      <c r="J72" t="s">
        <v>583</v>
      </c>
      <c r="K72" t="s">
        <v>530</v>
      </c>
      <c r="L72" t="s">
        <v>530</v>
      </c>
      <c r="M72" t="s">
        <v>534</v>
      </c>
      <c r="N72" t="s">
        <v>896</v>
      </c>
    </row>
    <row r="73" spans="1:14" x14ac:dyDescent="0.2">
      <c r="A73">
        <v>50</v>
      </c>
      <c r="B73" t="s">
        <v>2541</v>
      </c>
      <c r="C73">
        <v>20190812</v>
      </c>
      <c r="D73" t="s">
        <v>518</v>
      </c>
      <c r="E73" t="s">
        <v>93</v>
      </c>
      <c r="F73" t="s">
        <v>104</v>
      </c>
      <c r="G73">
        <v>3</v>
      </c>
      <c r="H73" t="s">
        <v>886</v>
      </c>
      <c r="I73" t="s">
        <v>897</v>
      </c>
      <c r="J73" t="s">
        <v>898</v>
      </c>
      <c r="K73" t="s">
        <v>530</v>
      </c>
      <c r="L73" t="s">
        <v>530</v>
      </c>
      <c r="M73" t="s">
        <v>530</v>
      </c>
      <c r="N73" t="s">
        <v>899</v>
      </c>
    </row>
    <row r="74" spans="1:14" x14ac:dyDescent="0.2">
      <c r="A74">
        <v>51</v>
      </c>
      <c r="B74" t="s">
        <v>2541</v>
      </c>
      <c r="C74">
        <v>20190813</v>
      </c>
      <c r="D74" t="s">
        <v>518</v>
      </c>
      <c r="E74" t="s">
        <v>862</v>
      </c>
      <c r="F74" t="s">
        <v>901</v>
      </c>
      <c r="G74">
        <v>3</v>
      </c>
      <c r="H74" t="s">
        <v>886</v>
      </c>
      <c r="I74" t="s">
        <v>897</v>
      </c>
      <c r="J74" t="s">
        <v>898</v>
      </c>
      <c r="K74" t="s">
        <v>530</v>
      </c>
      <c r="L74" t="s">
        <v>530</v>
      </c>
      <c r="M74" t="s">
        <v>574</v>
      </c>
      <c r="N74" t="s">
        <v>902</v>
      </c>
    </row>
    <row r="75" spans="1:14" x14ac:dyDescent="0.2">
      <c r="A75">
        <v>52</v>
      </c>
      <c r="B75" t="s">
        <v>2541</v>
      </c>
      <c r="C75">
        <v>20190813</v>
      </c>
      <c r="D75" t="s">
        <v>518</v>
      </c>
      <c r="E75" t="s">
        <v>221</v>
      </c>
      <c r="F75" t="s">
        <v>588</v>
      </c>
      <c r="G75">
        <v>3</v>
      </c>
      <c r="H75" t="s">
        <v>886</v>
      </c>
      <c r="I75" t="s">
        <v>897</v>
      </c>
      <c r="J75" t="s">
        <v>898</v>
      </c>
      <c r="K75" t="s">
        <v>530</v>
      </c>
      <c r="L75" t="s">
        <v>530</v>
      </c>
      <c r="M75" t="s">
        <v>530</v>
      </c>
      <c r="N75" t="s">
        <v>902</v>
      </c>
    </row>
    <row r="76" spans="1:14" x14ac:dyDescent="0.2">
      <c r="A76">
        <v>53</v>
      </c>
      <c r="B76" t="s">
        <v>2541</v>
      </c>
      <c r="C76">
        <v>20180815</v>
      </c>
      <c r="D76" t="s">
        <v>518</v>
      </c>
      <c r="E76" t="s">
        <v>96</v>
      </c>
      <c r="F76" t="s">
        <v>597</v>
      </c>
      <c r="G76">
        <v>3</v>
      </c>
      <c r="H76" t="s">
        <v>886</v>
      </c>
      <c r="I76" t="s">
        <v>897</v>
      </c>
      <c r="J76" t="s">
        <v>898</v>
      </c>
      <c r="K76" t="s">
        <v>530</v>
      </c>
      <c r="L76" t="s">
        <v>530</v>
      </c>
      <c r="M76" t="s">
        <v>530</v>
      </c>
      <c r="N76" t="s">
        <v>1172</v>
      </c>
    </row>
    <row r="77" spans="1:14" x14ac:dyDescent="0.2">
      <c r="A77">
        <v>54</v>
      </c>
      <c r="B77" t="s">
        <v>2541</v>
      </c>
      <c r="C77">
        <v>20180818</v>
      </c>
      <c r="D77" t="s">
        <v>518</v>
      </c>
      <c r="E77" t="s">
        <v>165</v>
      </c>
      <c r="F77" t="s">
        <v>587</v>
      </c>
      <c r="G77">
        <v>3</v>
      </c>
      <c r="H77" t="s">
        <v>886</v>
      </c>
      <c r="I77" t="s">
        <v>1173</v>
      </c>
      <c r="J77" t="s">
        <v>898</v>
      </c>
      <c r="K77" t="s">
        <v>530</v>
      </c>
      <c r="L77" t="s">
        <v>530</v>
      </c>
      <c r="M77" t="s">
        <v>534</v>
      </c>
      <c r="N77" t="s">
        <v>1174</v>
      </c>
    </row>
    <row r="78" spans="1:14" x14ac:dyDescent="0.2">
      <c r="A78">
        <v>54</v>
      </c>
      <c r="B78" t="s">
        <v>2541</v>
      </c>
      <c r="C78">
        <v>20180818</v>
      </c>
      <c r="D78" t="s">
        <v>518</v>
      </c>
      <c r="E78" t="s">
        <v>817</v>
      </c>
      <c r="F78" t="s">
        <v>1175</v>
      </c>
      <c r="G78">
        <v>3</v>
      </c>
      <c r="H78" t="s">
        <v>886</v>
      </c>
      <c r="I78" t="s">
        <v>1173</v>
      </c>
      <c r="J78" t="s">
        <v>898</v>
      </c>
      <c r="K78" t="s">
        <v>530</v>
      </c>
      <c r="L78" t="s">
        <v>530</v>
      </c>
      <c r="M78" t="s">
        <v>534</v>
      </c>
      <c r="N78" t="s">
        <v>1174</v>
      </c>
    </row>
    <row r="79" spans="1:14" x14ac:dyDescent="0.2">
      <c r="A79">
        <v>55</v>
      </c>
      <c r="B79" t="s">
        <v>2541</v>
      </c>
      <c r="C79">
        <v>20180819</v>
      </c>
      <c r="D79" t="s">
        <v>518</v>
      </c>
      <c r="E79" t="s">
        <v>1176</v>
      </c>
      <c r="F79" t="s">
        <v>1177</v>
      </c>
      <c r="G79">
        <v>2</v>
      </c>
      <c r="H79" t="s">
        <v>1178</v>
      </c>
      <c r="I79" t="s">
        <v>1173</v>
      </c>
      <c r="J79" t="s">
        <v>1179</v>
      </c>
      <c r="K79" t="s">
        <v>530</v>
      </c>
      <c r="L79" t="s">
        <v>530</v>
      </c>
      <c r="M79" t="s">
        <v>574</v>
      </c>
      <c r="N79" t="s">
        <v>1180</v>
      </c>
    </row>
    <row r="80" spans="1:14" x14ac:dyDescent="0.2">
      <c r="A80">
        <v>56</v>
      </c>
      <c r="B80" t="s">
        <v>2541</v>
      </c>
      <c r="C80">
        <v>20180819</v>
      </c>
      <c r="D80" t="s">
        <v>518</v>
      </c>
      <c r="E80" t="s">
        <v>146</v>
      </c>
      <c r="F80" t="s">
        <v>1099</v>
      </c>
      <c r="G80">
        <v>3</v>
      </c>
      <c r="H80" t="s">
        <v>886</v>
      </c>
      <c r="I80" t="s">
        <v>1173</v>
      </c>
      <c r="J80" t="s">
        <v>898</v>
      </c>
      <c r="K80" t="s">
        <v>530</v>
      </c>
      <c r="L80" t="s">
        <v>530</v>
      </c>
      <c r="M80" t="s">
        <v>530</v>
      </c>
      <c r="N80" t="s">
        <v>1174</v>
      </c>
    </row>
    <row r="81" spans="1:14" x14ac:dyDescent="0.2">
      <c r="A81">
        <v>56</v>
      </c>
      <c r="B81" t="s">
        <v>2541</v>
      </c>
      <c r="C81">
        <v>20180819</v>
      </c>
      <c r="D81" t="s">
        <v>518</v>
      </c>
      <c r="E81" t="s">
        <v>817</v>
      </c>
      <c r="F81" t="s">
        <v>755</v>
      </c>
      <c r="G81">
        <v>3</v>
      </c>
      <c r="H81" t="s">
        <v>886</v>
      </c>
      <c r="I81" t="s">
        <v>1173</v>
      </c>
      <c r="J81" t="s">
        <v>898</v>
      </c>
      <c r="K81" t="s">
        <v>530</v>
      </c>
      <c r="L81" t="s">
        <v>530</v>
      </c>
      <c r="M81" t="s">
        <v>530</v>
      </c>
      <c r="N81" t="s">
        <v>1174</v>
      </c>
    </row>
    <row r="82" spans="1:14" x14ac:dyDescent="0.2">
      <c r="A82">
        <v>57</v>
      </c>
      <c r="B82" t="s">
        <v>2541</v>
      </c>
      <c r="C82">
        <v>20180820</v>
      </c>
      <c r="D82" t="s">
        <v>518</v>
      </c>
      <c r="E82" t="s">
        <v>579</v>
      </c>
      <c r="F82" t="s">
        <v>101</v>
      </c>
      <c r="G82">
        <v>3</v>
      </c>
      <c r="H82" t="s">
        <v>886</v>
      </c>
      <c r="I82" t="s">
        <v>1173</v>
      </c>
      <c r="J82" t="s">
        <v>898</v>
      </c>
      <c r="K82" t="s">
        <v>550</v>
      </c>
      <c r="L82" t="s">
        <v>530</v>
      </c>
      <c r="M82" t="s">
        <v>534</v>
      </c>
      <c r="N82" t="s">
        <v>1181</v>
      </c>
    </row>
    <row r="83" spans="1:14" x14ac:dyDescent="0.2">
      <c r="A83">
        <v>58</v>
      </c>
      <c r="B83" t="s">
        <v>2541</v>
      </c>
      <c r="C83">
        <v>20180822</v>
      </c>
      <c r="D83" t="s">
        <v>518</v>
      </c>
      <c r="E83" t="s">
        <v>328</v>
      </c>
      <c r="F83" t="s">
        <v>304</v>
      </c>
      <c r="G83">
        <v>3</v>
      </c>
      <c r="H83" t="s">
        <v>886</v>
      </c>
      <c r="I83" t="s">
        <v>1173</v>
      </c>
      <c r="J83" t="s">
        <v>898</v>
      </c>
      <c r="K83" t="s">
        <v>530</v>
      </c>
      <c r="L83" t="s">
        <v>530</v>
      </c>
      <c r="M83" t="s">
        <v>530</v>
      </c>
      <c r="N83" t="s">
        <v>1182</v>
      </c>
    </row>
    <row r="84" spans="1:14" x14ac:dyDescent="0.2">
      <c r="A84">
        <v>58</v>
      </c>
      <c r="B84" t="s">
        <v>2541</v>
      </c>
      <c r="C84">
        <v>20180822</v>
      </c>
      <c r="D84" t="s">
        <v>518</v>
      </c>
      <c r="E84" t="s">
        <v>811</v>
      </c>
      <c r="F84" t="s">
        <v>1102</v>
      </c>
      <c r="G84">
        <v>3</v>
      </c>
      <c r="H84" t="s">
        <v>886</v>
      </c>
      <c r="I84" t="s">
        <v>1173</v>
      </c>
      <c r="J84" t="s">
        <v>898</v>
      </c>
      <c r="K84" t="s">
        <v>530</v>
      </c>
      <c r="L84" t="s">
        <v>530</v>
      </c>
      <c r="M84" t="s">
        <v>530</v>
      </c>
      <c r="N84" t="s">
        <v>1182</v>
      </c>
    </row>
    <row r="85" spans="1:14" x14ac:dyDescent="0.2">
      <c r="A85">
        <v>59</v>
      </c>
      <c r="B85" t="s">
        <v>2541</v>
      </c>
      <c r="C85">
        <v>20180823</v>
      </c>
      <c r="D85" t="s">
        <v>518</v>
      </c>
      <c r="E85" t="s">
        <v>152</v>
      </c>
      <c r="F85" t="s">
        <v>693</v>
      </c>
      <c r="G85">
        <v>3</v>
      </c>
      <c r="H85" t="s">
        <v>886</v>
      </c>
      <c r="I85" t="s">
        <v>1173</v>
      </c>
      <c r="J85" t="s">
        <v>898</v>
      </c>
      <c r="K85" t="s">
        <v>530</v>
      </c>
      <c r="L85" t="s">
        <v>530</v>
      </c>
      <c r="M85" t="s">
        <v>530</v>
      </c>
      <c r="N85" t="s">
        <v>1314</v>
      </c>
    </row>
    <row r="86" spans="1:14" x14ac:dyDescent="0.2">
      <c r="A86">
        <v>60</v>
      </c>
      <c r="B86" t="s">
        <v>2541</v>
      </c>
      <c r="C86">
        <v>20180826</v>
      </c>
      <c r="D86" t="s">
        <v>518</v>
      </c>
      <c r="E86" t="s">
        <v>149</v>
      </c>
      <c r="F86" t="s">
        <v>1315</v>
      </c>
      <c r="G86">
        <v>3</v>
      </c>
      <c r="H86" t="s">
        <v>886</v>
      </c>
      <c r="I86" t="s">
        <v>1316</v>
      </c>
      <c r="J86" t="s">
        <v>31</v>
      </c>
      <c r="K86" t="s">
        <v>550</v>
      </c>
      <c r="L86" t="s">
        <v>530</v>
      </c>
      <c r="M86" t="s">
        <v>545</v>
      </c>
      <c r="N86" t="s">
        <v>1317</v>
      </c>
    </row>
    <row r="87" spans="1:14" x14ac:dyDescent="0.2">
      <c r="A87">
        <v>61</v>
      </c>
      <c r="B87" t="s">
        <v>2541</v>
      </c>
      <c r="C87">
        <v>20180827</v>
      </c>
      <c r="D87" t="s">
        <v>518</v>
      </c>
      <c r="E87" t="s">
        <v>146</v>
      </c>
      <c r="F87" t="s">
        <v>733</v>
      </c>
      <c r="G87">
        <v>3</v>
      </c>
      <c r="H87" t="s">
        <v>886</v>
      </c>
      <c r="I87" t="s">
        <v>1316</v>
      </c>
      <c r="J87" t="s">
        <v>31</v>
      </c>
      <c r="K87" t="s">
        <v>550</v>
      </c>
      <c r="L87" t="s">
        <v>530</v>
      </c>
      <c r="M87" t="s">
        <v>545</v>
      </c>
      <c r="N87" t="s">
        <v>1317</v>
      </c>
    </row>
    <row r="88" spans="1:14" x14ac:dyDescent="0.2">
      <c r="A88">
        <v>62</v>
      </c>
      <c r="B88" t="s">
        <v>2541</v>
      </c>
      <c r="C88">
        <v>20180902</v>
      </c>
      <c r="D88" t="s">
        <v>518</v>
      </c>
      <c r="E88" t="s">
        <v>893</v>
      </c>
      <c r="F88" t="s">
        <v>1105</v>
      </c>
      <c r="G88">
        <v>3</v>
      </c>
      <c r="H88" t="s">
        <v>1318</v>
      </c>
      <c r="I88" t="s">
        <v>1319</v>
      </c>
      <c r="J88" t="s">
        <v>898</v>
      </c>
      <c r="K88" t="s">
        <v>530</v>
      </c>
      <c r="L88" t="s">
        <v>530</v>
      </c>
      <c r="M88" t="s">
        <v>534</v>
      </c>
      <c r="N88" t="s">
        <v>1320</v>
      </c>
    </row>
    <row r="89" spans="1:14" x14ac:dyDescent="0.2">
      <c r="A89">
        <v>63</v>
      </c>
      <c r="B89" t="s">
        <v>2541</v>
      </c>
      <c r="C89">
        <v>20180903</v>
      </c>
      <c r="D89" t="s">
        <v>518</v>
      </c>
      <c r="E89" t="s">
        <v>1106</v>
      </c>
      <c r="F89" t="s">
        <v>809</v>
      </c>
      <c r="G89">
        <v>3</v>
      </c>
      <c r="H89" t="s">
        <v>1318</v>
      </c>
      <c r="I89" t="s">
        <v>1319</v>
      </c>
      <c r="J89" t="s">
        <v>898</v>
      </c>
      <c r="K89" t="s">
        <v>530</v>
      </c>
      <c r="L89" t="s">
        <v>530</v>
      </c>
      <c r="M89" t="s">
        <v>530</v>
      </c>
      <c r="N89" t="s">
        <v>1321</v>
      </c>
    </row>
    <row r="90" spans="1:14" x14ac:dyDescent="0.2">
      <c r="A90">
        <v>64</v>
      </c>
      <c r="B90" t="s">
        <v>2541</v>
      </c>
      <c r="C90">
        <v>20180904</v>
      </c>
      <c r="D90" t="s">
        <v>518</v>
      </c>
      <c r="E90" t="s">
        <v>328</v>
      </c>
      <c r="F90" t="s">
        <v>168</v>
      </c>
      <c r="G90">
        <v>3</v>
      </c>
      <c r="H90" t="s">
        <v>1318</v>
      </c>
      <c r="I90" t="s">
        <v>1319</v>
      </c>
      <c r="J90" t="s">
        <v>583</v>
      </c>
      <c r="K90" t="s">
        <v>524</v>
      </c>
      <c r="L90" t="s">
        <v>530</v>
      </c>
      <c r="M90" t="s">
        <v>574</v>
      </c>
      <c r="N90" t="s">
        <v>1322</v>
      </c>
    </row>
    <row r="91" spans="1:14" x14ac:dyDescent="0.2">
      <c r="A91">
        <v>65</v>
      </c>
      <c r="B91" t="s">
        <v>2541</v>
      </c>
      <c r="C91">
        <v>20180904</v>
      </c>
      <c r="D91" t="s">
        <v>518</v>
      </c>
      <c r="E91" t="s">
        <v>171</v>
      </c>
      <c r="F91" t="s">
        <v>93</v>
      </c>
      <c r="G91">
        <v>3</v>
      </c>
      <c r="H91" t="s">
        <v>1318</v>
      </c>
      <c r="I91" t="s">
        <v>1319</v>
      </c>
      <c r="J91" t="s">
        <v>1323</v>
      </c>
      <c r="K91" t="s">
        <v>524</v>
      </c>
      <c r="L91" t="s">
        <v>530</v>
      </c>
      <c r="M91" t="s">
        <v>574</v>
      </c>
      <c r="N91" t="s">
        <v>1324</v>
      </c>
    </row>
    <row r="92" spans="1:14" x14ac:dyDescent="0.2">
      <c r="A92">
        <v>66</v>
      </c>
      <c r="B92" t="s">
        <v>2541</v>
      </c>
      <c r="C92">
        <v>20180904</v>
      </c>
      <c r="D92" t="s">
        <v>518</v>
      </c>
      <c r="E92" t="s">
        <v>96</v>
      </c>
      <c r="F92" t="s">
        <v>694</v>
      </c>
      <c r="G92">
        <v>3</v>
      </c>
      <c r="H92" t="s">
        <v>1318</v>
      </c>
      <c r="I92" t="s">
        <v>1319</v>
      </c>
      <c r="J92" t="s">
        <v>583</v>
      </c>
      <c r="K92" t="s">
        <v>524</v>
      </c>
      <c r="L92" t="s">
        <v>530</v>
      </c>
      <c r="M92" t="s">
        <v>574</v>
      </c>
      <c r="N92" t="s">
        <v>1325</v>
      </c>
    </row>
    <row r="93" spans="1:14" x14ac:dyDescent="0.2">
      <c r="A93">
        <v>67</v>
      </c>
      <c r="B93" t="s">
        <v>2541</v>
      </c>
      <c r="C93">
        <v>20180905</v>
      </c>
      <c r="D93" t="s">
        <v>518</v>
      </c>
      <c r="E93" t="s">
        <v>591</v>
      </c>
      <c r="F93" t="s">
        <v>263</v>
      </c>
      <c r="G93">
        <v>3</v>
      </c>
      <c r="H93" t="s">
        <v>1318</v>
      </c>
      <c r="I93" t="s">
        <v>1326</v>
      </c>
      <c r="J93" t="s">
        <v>31</v>
      </c>
      <c r="K93" t="s">
        <v>530</v>
      </c>
      <c r="L93" t="s">
        <v>530</v>
      </c>
      <c r="M93" t="s">
        <v>534</v>
      </c>
      <c r="N93" t="s">
        <v>1327</v>
      </c>
    </row>
    <row r="94" spans="1:14" x14ac:dyDescent="0.2">
      <c r="A94">
        <v>68</v>
      </c>
      <c r="B94" t="s">
        <v>2541</v>
      </c>
      <c r="C94">
        <v>20180908</v>
      </c>
      <c r="D94" t="s">
        <v>518</v>
      </c>
      <c r="E94" t="s">
        <v>221</v>
      </c>
      <c r="F94" t="s">
        <v>753</v>
      </c>
      <c r="G94">
        <v>2</v>
      </c>
      <c r="H94" t="s">
        <v>1328</v>
      </c>
      <c r="I94" t="s">
        <v>897</v>
      </c>
      <c r="J94" t="s">
        <v>898</v>
      </c>
      <c r="K94" t="s">
        <v>530</v>
      </c>
      <c r="L94" t="s">
        <v>530</v>
      </c>
      <c r="M94" t="s">
        <v>574</v>
      </c>
      <c r="N94" t="s">
        <v>1172</v>
      </c>
    </row>
    <row r="95" spans="1:14" x14ac:dyDescent="0.2">
      <c r="A95">
        <v>69</v>
      </c>
      <c r="B95" t="s">
        <v>2541</v>
      </c>
      <c r="C95">
        <v>20180909</v>
      </c>
      <c r="D95" t="s">
        <v>518</v>
      </c>
      <c r="E95" t="s">
        <v>891</v>
      </c>
      <c r="F95" t="s">
        <v>1086</v>
      </c>
      <c r="G95">
        <v>2</v>
      </c>
      <c r="H95" t="s">
        <v>1328</v>
      </c>
      <c r="I95" t="s">
        <v>897</v>
      </c>
      <c r="J95" t="s">
        <v>898</v>
      </c>
      <c r="K95" t="s">
        <v>550</v>
      </c>
      <c r="L95" t="s">
        <v>530</v>
      </c>
      <c r="M95" t="s">
        <v>534</v>
      </c>
      <c r="N95" t="s">
        <v>899</v>
      </c>
    </row>
    <row r="96" spans="1:14" x14ac:dyDescent="0.2">
      <c r="A96">
        <v>70</v>
      </c>
      <c r="B96" t="s">
        <v>2541</v>
      </c>
      <c r="C96">
        <v>20180911</v>
      </c>
      <c r="D96" t="s">
        <v>518</v>
      </c>
      <c r="E96" t="s">
        <v>149</v>
      </c>
      <c r="F96" t="s">
        <v>754</v>
      </c>
      <c r="G96">
        <v>2</v>
      </c>
      <c r="H96" t="s">
        <v>1328</v>
      </c>
      <c r="I96" t="s">
        <v>897</v>
      </c>
      <c r="J96" t="s">
        <v>898</v>
      </c>
      <c r="K96" t="s">
        <v>530</v>
      </c>
      <c r="L96" t="s">
        <v>530</v>
      </c>
      <c r="M96" t="s">
        <v>534</v>
      </c>
      <c r="N96" t="s">
        <v>902</v>
      </c>
    </row>
    <row r="97" spans="1:14" x14ac:dyDescent="0.2">
      <c r="A97">
        <v>71</v>
      </c>
      <c r="B97" t="s">
        <v>2541</v>
      </c>
      <c r="C97">
        <v>20180912</v>
      </c>
      <c r="D97" t="s">
        <v>518</v>
      </c>
      <c r="E97" t="s">
        <v>198</v>
      </c>
      <c r="F97" t="s">
        <v>353</v>
      </c>
      <c r="G97">
        <v>2</v>
      </c>
      <c r="H97" t="s">
        <v>1328</v>
      </c>
      <c r="I97" t="s">
        <v>897</v>
      </c>
      <c r="J97" t="s">
        <v>898</v>
      </c>
      <c r="K97" t="s">
        <v>530</v>
      </c>
      <c r="L97" t="s">
        <v>530</v>
      </c>
      <c r="M97" t="s">
        <v>574</v>
      </c>
      <c r="N97" t="s">
        <v>1329</v>
      </c>
    </row>
    <row r="98" spans="1:14" x14ac:dyDescent="0.2">
      <c r="A98">
        <v>72</v>
      </c>
      <c r="B98" t="s">
        <v>2541</v>
      </c>
      <c r="C98">
        <v>20180914</v>
      </c>
      <c r="D98" t="s">
        <v>518</v>
      </c>
      <c r="E98" t="s">
        <v>1330</v>
      </c>
      <c r="F98" t="s">
        <v>1331</v>
      </c>
      <c r="G98">
        <v>2</v>
      </c>
      <c r="H98" t="s">
        <v>1328</v>
      </c>
      <c r="I98" t="s">
        <v>1319</v>
      </c>
      <c r="J98" t="s">
        <v>898</v>
      </c>
      <c r="K98" t="s">
        <v>530</v>
      </c>
      <c r="L98" t="s">
        <v>530</v>
      </c>
      <c r="M98" t="s">
        <v>530</v>
      </c>
      <c r="N98" t="s">
        <v>1332</v>
      </c>
    </row>
    <row r="99" spans="1:14" x14ac:dyDescent="0.2">
      <c r="A99">
        <v>73</v>
      </c>
      <c r="B99" t="s">
        <v>2541</v>
      </c>
      <c r="C99">
        <v>20180914</v>
      </c>
      <c r="D99" t="s">
        <v>518</v>
      </c>
      <c r="E99" t="s">
        <v>1333</v>
      </c>
      <c r="F99" t="s">
        <v>218</v>
      </c>
      <c r="G99">
        <v>2</v>
      </c>
      <c r="H99" t="s">
        <v>1328</v>
      </c>
      <c r="I99" t="s">
        <v>1319</v>
      </c>
      <c r="J99" t="s">
        <v>898</v>
      </c>
      <c r="K99" t="s">
        <v>530</v>
      </c>
      <c r="L99" t="s">
        <v>530</v>
      </c>
      <c r="M99" t="s">
        <v>530</v>
      </c>
      <c r="N99" t="s">
        <v>1320</v>
      </c>
    </row>
    <row r="100" spans="1:14" x14ac:dyDescent="0.2">
      <c r="A100">
        <v>74</v>
      </c>
      <c r="B100" t="s">
        <v>2541</v>
      </c>
      <c r="C100">
        <v>20180915</v>
      </c>
      <c r="D100" t="s">
        <v>518</v>
      </c>
      <c r="E100" t="s">
        <v>1334</v>
      </c>
      <c r="F100" t="s">
        <v>1333</v>
      </c>
      <c r="G100">
        <v>2</v>
      </c>
      <c r="H100" t="s">
        <v>1328</v>
      </c>
      <c r="I100" t="s">
        <v>1326</v>
      </c>
      <c r="J100" t="s">
        <v>31</v>
      </c>
      <c r="K100" t="s">
        <v>544</v>
      </c>
      <c r="L100" t="s">
        <v>530</v>
      </c>
      <c r="M100" t="s">
        <v>1335</v>
      </c>
      <c r="N100" t="s">
        <v>1336</v>
      </c>
    </row>
    <row r="101" spans="1:14" x14ac:dyDescent="0.2">
      <c r="A101">
        <v>74</v>
      </c>
      <c r="B101" t="s">
        <v>2541</v>
      </c>
      <c r="C101">
        <v>20180915</v>
      </c>
      <c r="D101" t="s">
        <v>518</v>
      </c>
      <c r="E101" t="s">
        <v>1088</v>
      </c>
      <c r="F101" t="s">
        <v>696</v>
      </c>
      <c r="G101">
        <v>2</v>
      </c>
      <c r="H101" t="s">
        <v>1328</v>
      </c>
      <c r="I101" t="s">
        <v>1326</v>
      </c>
      <c r="J101" t="s">
        <v>31</v>
      </c>
      <c r="K101" t="s">
        <v>544</v>
      </c>
      <c r="L101" t="s">
        <v>530</v>
      </c>
      <c r="M101" t="s">
        <v>1335</v>
      </c>
      <c r="N101" t="s">
        <v>1336</v>
      </c>
    </row>
    <row r="102" spans="1:14" x14ac:dyDescent="0.2">
      <c r="A102">
        <v>75</v>
      </c>
      <c r="B102" t="s">
        <v>2541</v>
      </c>
      <c r="C102">
        <v>20191122</v>
      </c>
      <c r="D102" t="s">
        <v>518</v>
      </c>
      <c r="E102" t="s">
        <v>236</v>
      </c>
      <c r="F102" t="s">
        <v>754</v>
      </c>
      <c r="G102">
        <v>3</v>
      </c>
      <c r="H102" t="s">
        <v>1924</v>
      </c>
      <c r="I102" t="s">
        <v>897</v>
      </c>
      <c r="J102" t="s">
        <v>898</v>
      </c>
      <c r="K102" t="s">
        <v>530</v>
      </c>
      <c r="L102" t="s">
        <v>530</v>
      </c>
      <c r="M102" t="s">
        <v>1925</v>
      </c>
      <c r="N102" t="s">
        <v>1926</v>
      </c>
    </row>
    <row r="103" spans="1:14" x14ac:dyDescent="0.2">
      <c r="A103">
        <v>75</v>
      </c>
      <c r="B103" t="s">
        <v>2541</v>
      </c>
      <c r="C103">
        <v>20191122</v>
      </c>
      <c r="D103" t="s">
        <v>518</v>
      </c>
      <c r="E103" t="s">
        <v>816</v>
      </c>
      <c r="F103" t="s">
        <v>1109</v>
      </c>
      <c r="G103">
        <v>3</v>
      </c>
      <c r="H103" t="s">
        <v>1924</v>
      </c>
      <c r="I103" t="s">
        <v>897</v>
      </c>
      <c r="J103" t="s">
        <v>898</v>
      </c>
      <c r="K103" t="s">
        <v>530</v>
      </c>
      <c r="L103" t="s">
        <v>530</v>
      </c>
      <c r="M103" t="s">
        <v>1925</v>
      </c>
      <c r="N103" t="s">
        <v>1926</v>
      </c>
    </row>
    <row r="104" spans="1:14" x14ac:dyDescent="0.2">
      <c r="A104">
        <v>76</v>
      </c>
      <c r="B104" t="s">
        <v>2541</v>
      </c>
      <c r="C104">
        <v>20191123</v>
      </c>
      <c r="D104" t="s">
        <v>518</v>
      </c>
      <c r="E104" t="s">
        <v>1927</v>
      </c>
      <c r="F104" t="s">
        <v>1928</v>
      </c>
      <c r="G104">
        <v>2</v>
      </c>
      <c r="H104" t="s">
        <v>1933</v>
      </c>
      <c r="I104" t="s">
        <v>1934</v>
      </c>
      <c r="J104" t="s">
        <v>898</v>
      </c>
      <c r="L104" t="s">
        <v>530</v>
      </c>
      <c r="M104" t="s">
        <v>1335</v>
      </c>
      <c r="N104" t="s">
        <v>1935</v>
      </c>
    </row>
    <row r="105" spans="1:14" x14ac:dyDescent="0.2">
      <c r="A105">
        <v>76</v>
      </c>
      <c r="B105" t="s">
        <v>2541</v>
      </c>
      <c r="C105">
        <v>20191123</v>
      </c>
      <c r="D105" t="s">
        <v>518</v>
      </c>
      <c r="E105" t="s">
        <v>1929</v>
      </c>
      <c r="F105" t="s">
        <v>1930</v>
      </c>
      <c r="G105">
        <v>2</v>
      </c>
      <c r="H105" t="s">
        <v>1933</v>
      </c>
      <c r="I105" t="s">
        <v>1934</v>
      </c>
      <c r="J105" t="s">
        <v>898</v>
      </c>
      <c r="L105" t="s">
        <v>530</v>
      </c>
      <c r="M105" t="s">
        <v>1335</v>
      </c>
      <c r="N105" t="s">
        <v>1935</v>
      </c>
    </row>
    <row r="106" spans="1:14" x14ac:dyDescent="0.2">
      <c r="A106">
        <v>76</v>
      </c>
      <c r="B106" t="s">
        <v>2541</v>
      </c>
      <c r="C106">
        <v>20191123</v>
      </c>
      <c r="D106" t="s">
        <v>518</v>
      </c>
      <c r="E106" t="s">
        <v>1931</v>
      </c>
      <c r="F106" t="s">
        <v>1932</v>
      </c>
      <c r="G106">
        <v>2</v>
      </c>
      <c r="H106" t="s">
        <v>1933</v>
      </c>
      <c r="I106" t="s">
        <v>1934</v>
      </c>
      <c r="J106" t="s">
        <v>898</v>
      </c>
      <c r="L106" t="s">
        <v>530</v>
      </c>
      <c r="M106" t="s">
        <v>1335</v>
      </c>
      <c r="N106" t="s">
        <v>1935</v>
      </c>
    </row>
    <row r="107" spans="1:14" x14ac:dyDescent="0.2">
      <c r="A107">
        <v>77</v>
      </c>
      <c r="B107" t="s">
        <v>2541</v>
      </c>
      <c r="C107">
        <v>20191123</v>
      </c>
      <c r="D107" t="s">
        <v>518</v>
      </c>
      <c r="E107" t="s">
        <v>1936</v>
      </c>
      <c r="F107" t="s">
        <v>1937</v>
      </c>
      <c r="G107">
        <v>2</v>
      </c>
      <c r="H107" t="s">
        <v>1933</v>
      </c>
      <c r="I107" t="s">
        <v>1934</v>
      </c>
      <c r="J107" t="s">
        <v>898</v>
      </c>
      <c r="L107" t="s">
        <v>530</v>
      </c>
      <c r="M107" t="s">
        <v>1335</v>
      </c>
      <c r="N107" t="s">
        <v>1938</v>
      </c>
    </row>
    <row r="108" spans="1:14" x14ac:dyDescent="0.2">
      <c r="A108">
        <v>78</v>
      </c>
      <c r="B108" t="s">
        <v>2541</v>
      </c>
      <c r="C108">
        <v>20191124</v>
      </c>
      <c r="D108" t="s">
        <v>518</v>
      </c>
      <c r="E108" t="s">
        <v>1939</v>
      </c>
      <c r="F108" t="s">
        <v>1940</v>
      </c>
      <c r="G108">
        <v>3</v>
      </c>
      <c r="H108" t="s">
        <v>1924</v>
      </c>
      <c r="I108" t="s">
        <v>1941</v>
      </c>
      <c r="J108" t="s">
        <v>898</v>
      </c>
      <c r="K108" t="s">
        <v>544</v>
      </c>
      <c r="L108" t="s">
        <v>530</v>
      </c>
      <c r="M108" t="s">
        <v>534</v>
      </c>
      <c r="N108" t="s">
        <v>1947</v>
      </c>
    </row>
    <row r="109" spans="1:14" x14ac:dyDescent="0.2">
      <c r="A109">
        <v>79</v>
      </c>
      <c r="B109" t="s">
        <v>2541</v>
      </c>
      <c r="C109">
        <v>20191124</v>
      </c>
      <c r="D109" t="s">
        <v>518</v>
      </c>
      <c r="E109" t="s">
        <v>1942</v>
      </c>
      <c r="F109" t="s">
        <v>1943</v>
      </c>
      <c r="G109">
        <v>3</v>
      </c>
      <c r="H109" t="s">
        <v>1924</v>
      </c>
      <c r="I109" t="s">
        <v>1941</v>
      </c>
      <c r="J109" t="s">
        <v>898</v>
      </c>
      <c r="K109" t="s">
        <v>544</v>
      </c>
      <c r="L109" t="s">
        <v>530</v>
      </c>
      <c r="M109" t="s">
        <v>534</v>
      </c>
      <c r="N109" t="s">
        <v>1948</v>
      </c>
    </row>
    <row r="110" spans="1:14" x14ac:dyDescent="0.2">
      <c r="A110">
        <v>80</v>
      </c>
      <c r="B110" t="s">
        <v>2541</v>
      </c>
      <c r="C110">
        <v>20191124</v>
      </c>
      <c r="D110" t="s">
        <v>518</v>
      </c>
      <c r="E110" t="s">
        <v>1944</v>
      </c>
      <c r="F110" t="s">
        <v>1945</v>
      </c>
      <c r="G110">
        <v>3</v>
      </c>
      <c r="H110" t="s">
        <v>1924</v>
      </c>
      <c r="I110" t="s">
        <v>1941</v>
      </c>
      <c r="J110" t="s">
        <v>898</v>
      </c>
      <c r="K110" t="s">
        <v>544</v>
      </c>
      <c r="L110" t="s">
        <v>530</v>
      </c>
      <c r="M110" t="s">
        <v>534</v>
      </c>
      <c r="N110" t="s">
        <v>1949</v>
      </c>
    </row>
    <row r="111" spans="1:14" x14ac:dyDescent="0.2">
      <c r="A111">
        <v>81</v>
      </c>
      <c r="B111" t="s">
        <v>2541</v>
      </c>
      <c r="C111">
        <v>20191125</v>
      </c>
      <c r="D111" t="s">
        <v>518</v>
      </c>
      <c r="E111" t="s">
        <v>1946</v>
      </c>
      <c r="F111" t="s">
        <v>159</v>
      </c>
      <c r="G111">
        <v>2</v>
      </c>
      <c r="H111" t="s">
        <v>1933</v>
      </c>
      <c r="I111" t="s">
        <v>897</v>
      </c>
      <c r="J111" t="s">
        <v>898</v>
      </c>
      <c r="K111" t="s">
        <v>530</v>
      </c>
      <c r="L111" t="s">
        <v>530</v>
      </c>
      <c r="M111" t="s">
        <v>1335</v>
      </c>
      <c r="N111" t="s">
        <v>1329</v>
      </c>
    </row>
    <row r="112" spans="1:14" x14ac:dyDescent="0.2">
      <c r="A112">
        <v>82</v>
      </c>
      <c r="B112" t="s">
        <v>2175</v>
      </c>
      <c r="C112">
        <v>20200125</v>
      </c>
      <c r="D112" t="s">
        <v>2176</v>
      </c>
      <c r="E112" s="33" t="s">
        <v>2177</v>
      </c>
      <c r="F112" s="33" t="s">
        <v>2178</v>
      </c>
      <c r="G112">
        <v>6</v>
      </c>
      <c r="H112" t="s">
        <v>2179</v>
      </c>
      <c r="I112" t="s">
        <v>897</v>
      </c>
      <c r="J112" t="s">
        <v>898</v>
      </c>
      <c r="N112" s="31" t="s">
        <v>2207</v>
      </c>
    </row>
    <row r="113" spans="1:15" x14ac:dyDescent="0.2">
      <c r="A113">
        <v>83</v>
      </c>
      <c r="B113" t="s">
        <v>2175</v>
      </c>
      <c r="C113">
        <v>20200125</v>
      </c>
      <c r="D113" t="s">
        <v>2176</v>
      </c>
      <c r="E113" s="33" t="s">
        <v>1082</v>
      </c>
      <c r="F113" s="33" t="s">
        <v>2181</v>
      </c>
      <c r="G113">
        <v>6</v>
      </c>
      <c r="H113" t="s">
        <v>2179</v>
      </c>
      <c r="I113" t="s">
        <v>897</v>
      </c>
      <c r="J113" t="s">
        <v>898</v>
      </c>
      <c r="N113" s="31" t="s">
        <v>2202</v>
      </c>
    </row>
    <row r="114" spans="1:15" x14ac:dyDescent="0.2">
      <c r="A114">
        <v>84</v>
      </c>
      <c r="B114" t="s">
        <v>2175</v>
      </c>
      <c r="C114">
        <v>20200125</v>
      </c>
      <c r="D114" t="s">
        <v>2176</v>
      </c>
      <c r="E114" s="33" t="s">
        <v>2182</v>
      </c>
      <c r="F114" s="31"/>
      <c r="G114">
        <v>6</v>
      </c>
      <c r="H114" t="s">
        <v>2179</v>
      </c>
      <c r="I114" t="s">
        <v>897</v>
      </c>
      <c r="J114" t="s">
        <v>898</v>
      </c>
      <c r="N114" s="31" t="s">
        <v>2203</v>
      </c>
    </row>
    <row r="115" spans="1:15" x14ac:dyDescent="0.2">
      <c r="A115">
        <v>85</v>
      </c>
      <c r="B115" t="s">
        <v>2175</v>
      </c>
      <c r="C115">
        <v>20200126</v>
      </c>
      <c r="D115" t="s">
        <v>2176</v>
      </c>
      <c r="E115" s="33" t="s">
        <v>2183</v>
      </c>
      <c r="F115" s="33" t="s">
        <v>2184</v>
      </c>
      <c r="G115">
        <v>6</v>
      </c>
      <c r="H115" t="s">
        <v>2179</v>
      </c>
      <c r="I115" t="s">
        <v>1934</v>
      </c>
      <c r="J115" t="s">
        <v>898</v>
      </c>
      <c r="N115" s="31" t="s">
        <v>2162</v>
      </c>
    </row>
    <row r="116" spans="1:15" x14ac:dyDescent="0.2">
      <c r="A116">
        <v>86</v>
      </c>
      <c r="B116" t="s">
        <v>2175</v>
      </c>
      <c r="C116">
        <v>20200126</v>
      </c>
      <c r="D116" t="s">
        <v>2176</v>
      </c>
      <c r="E116" s="33" t="s">
        <v>2185</v>
      </c>
      <c r="F116" s="33" t="s">
        <v>2186</v>
      </c>
      <c r="G116">
        <v>6</v>
      </c>
      <c r="H116" t="s">
        <v>2179</v>
      </c>
      <c r="I116" t="s">
        <v>1934</v>
      </c>
      <c r="J116" t="s">
        <v>898</v>
      </c>
      <c r="N116" s="31" t="s">
        <v>2204</v>
      </c>
    </row>
    <row r="117" spans="1:15" x14ac:dyDescent="0.2">
      <c r="A117">
        <v>87</v>
      </c>
      <c r="B117" t="s">
        <v>2175</v>
      </c>
      <c r="C117">
        <v>20200126</v>
      </c>
      <c r="D117" t="s">
        <v>2176</v>
      </c>
      <c r="E117" s="33" t="s">
        <v>1084</v>
      </c>
      <c r="F117" s="33" t="s">
        <v>2187</v>
      </c>
      <c r="G117">
        <v>6</v>
      </c>
      <c r="H117" t="s">
        <v>2179</v>
      </c>
      <c r="I117" t="s">
        <v>1934</v>
      </c>
      <c r="J117" t="s">
        <v>898</v>
      </c>
      <c r="N117" s="31" t="s">
        <v>1938</v>
      </c>
    </row>
    <row r="118" spans="1:15" x14ac:dyDescent="0.2">
      <c r="A118">
        <v>88</v>
      </c>
      <c r="B118" t="s">
        <v>2175</v>
      </c>
      <c r="C118">
        <v>20200127</v>
      </c>
      <c r="D118" t="s">
        <v>2176</v>
      </c>
      <c r="E118" s="33" t="s">
        <v>2188</v>
      </c>
      <c r="F118" s="33" t="s">
        <v>2189</v>
      </c>
      <c r="G118">
        <v>6</v>
      </c>
      <c r="H118" t="s">
        <v>2179</v>
      </c>
      <c r="I118" t="s">
        <v>1934</v>
      </c>
      <c r="J118" t="s">
        <v>898</v>
      </c>
      <c r="N118" s="31" t="s">
        <v>1935</v>
      </c>
    </row>
    <row r="119" spans="1:15" x14ac:dyDescent="0.2">
      <c r="A119">
        <v>89</v>
      </c>
      <c r="B119" t="s">
        <v>2175</v>
      </c>
      <c r="C119">
        <v>20200127</v>
      </c>
      <c r="D119" t="s">
        <v>2176</v>
      </c>
      <c r="E119" s="33" t="s">
        <v>2190</v>
      </c>
      <c r="F119" s="33" t="s">
        <v>2186</v>
      </c>
      <c r="G119">
        <v>5</v>
      </c>
      <c r="H119" t="s">
        <v>2180</v>
      </c>
      <c r="I119" t="s">
        <v>1941</v>
      </c>
      <c r="J119" t="s">
        <v>898</v>
      </c>
      <c r="N119" s="31" t="s">
        <v>2165</v>
      </c>
    </row>
    <row r="120" spans="1:15" x14ac:dyDescent="0.2">
      <c r="A120">
        <v>90</v>
      </c>
      <c r="B120" t="s">
        <v>2175</v>
      </c>
      <c r="C120">
        <v>20200127</v>
      </c>
      <c r="D120" t="s">
        <v>2176</v>
      </c>
      <c r="E120" s="33" t="s">
        <v>2191</v>
      </c>
      <c r="F120" s="33" t="s">
        <v>2192</v>
      </c>
      <c r="G120">
        <v>5</v>
      </c>
      <c r="H120" t="s">
        <v>2180</v>
      </c>
      <c r="I120" t="s">
        <v>1941</v>
      </c>
      <c r="J120" t="s">
        <v>898</v>
      </c>
      <c r="N120" s="31" t="s">
        <v>2205</v>
      </c>
    </row>
    <row r="121" spans="1:15" x14ac:dyDescent="0.2">
      <c r="A121">
        <v>91</v>
      </c>
      <c r="B121" t="s">
        <v>2175</v>
      </c>
      <c r="C121">
        <v>20200128</v>
      </c>
      <c r="D121" t="s">
        <v>2176</v>
      </c>
      <c r="E121" s="33" t="s">
        <v>2193</v>
      </c>
      <c r="F121" s="33" t="s">
        <v>2194</v>
      </c>
      <c r="G121">
        <v>5</v>
      </c>
      <c r="H121" t="s">
        <v>2180</v>
      </c>
      <c r="I121" t="s">
        <v>1941</v>
      </c>
      <c r="J121" t="s">
        <v>898</v>
      </c>
      <c r="N121" s="31" t="s">
        <v>2169</v>
      </c>
    </row>
    <row r="122" spans="1:15" x14ac:dyDescent="0.2">
      <c r="A122">
        <v>92</v>
      </c>
      <c r="B122" t="s">
        <v>2175</v>
      </c>
      <c r="C122">
        <v>20200128</v>
      </c>
      <c r="D122" t="s">
        <v>2176</v>
      </c>
      <c r="E122" s="33" t="s">
        <v>2195</v>
      </c>
      <c r="F122" s="33" t="s">
        <v>2196</v>
      </c>
      <c r="G122">
        <v>5</v>
      </c>
      <c r="H122" t="s">
        <v>2180</v>
      </c>
      <c r="I122" s="31" t="s">
        <v>2170</v>
      </c>
      <c r="J122" t="s">
        <v>898</v>
      </c>
      <c r="K122" t="s">
        <v>524</v>
      </c>
      <c r="L122" t="s">
        <v>537</v>
      </c>
      <c r="N122" s="31" t="s">
        <v>2171</v>
      </c>
    </row>
    <row r="123" spans="1:15" x14ac:dyDescent="0.2">
      <c r="A123">
        <v>93</v>
      </c>
      <c r="B123" t="s">
        <v>2175</v>
      </c>
      <c r="C123">
        <v>20200128</v>
      </c>
      <c r="D123" t="s">
        <v>2176</v>
      </c>
      <c r="E123" s="33" t="s">
        <v>2197</v>
      </c>
      <c r="F123" s="33" t="s">
        <v>2198</v>
      </c>
      <c r="G123">
        <v>5</v>
      </c>
      <c r="H123" t="s">
        <v>2180</v>
      </c>
      <c r="I123" s="31" t="s">
        <v>2170</v>
      </c>
      <c r="J123" t="s">
        <v>898</v>
      </c>
      <c r="N123" s="31" t="s">
        <v>2173</v>
      </c>
    </row>
    <row r="124" spans="1:15" x14ac:dyDescent="0.2">
      <c r="A124">
        <v>94</v>
      </c>
      <c r="B124" t="s">
        <v>2175</v>
      </c>
      <c r="C124">
        <v>20200128</v>
      </c>
      <c r="D124" t="s">
        <v>2176</v>
      </c>
      <c r="E124" s="33" t="s">
        <v>2199</v>
      </c>
      <c r="F124" s="33" t="s">
        <v>1930</v>
      </c>
      <c r="G124">
        <v>5</v>
      </c>
      <c r="H124" t="s">
        <v>2180</v>
      </c>
      <c r="I124" s="31" t="s">
        <v>2170</v>
      </c>
      <c r="J124" t="s">
        <v>898</v>
      </c>
      <c r="N124" s="31" t="s">
        <v>2174</v>
      </c>
    </row>
    <row r="125" spans="1:15" x14ac:dyDescent="0.2">
      <c r="A125">
        <v>95</v>
      </c>
      <c r="B125" t="s">
        <v>2175</v>
      </c>
      <c r="C125">
        <v>20200128</v>
      </c>
      <c r="D125" t="s">
        <v>2176</v>
      </c>
      <c r="E125" s="33" t="s">
        <v>2200</v>
      </c>
      <c r="F125" s="33" t="s">
        <v>2201</v>
      </c>
      <c r="G125">
        <v>5</v>
      </c>
      <c r="H125" t="s">
        <v>2180</v>
      </c>
      <c r="I125" s="31" t="s">
        <v>2170</v>
      </c>
      <c r="J125" t="s">
        <v>898</v>
      </c>
      <c r="N125" s="31" t="s">
        <v>2206</v>
      </c>
    </row>
    <row r="126" spans="1:15" x14ac:dyDescent="0.2">
      <c r="A126">
        <v>96</v>
      </c>
      <c r="B126" t="s">
        <v>2541</v>
      </c>
      <c r="C126">
        <v>20200129</v>
      </c>
      <c r="D126" t="s">
        <v>518</v>
      </c>
      <c r="E126" s="31" t="s">
        <v>2450</v>
      </c>
      <c r="F126" s="33" t="s">
        <v>2428</v>
      </c>
      <c r="G126">
        <v>2</v>
      </c>
      <c r="H126" s="31" t="s">
        <v>1933</v>
      </c>
      <c r="I126" s="31" t="s">
        <v>897</v>
      </c>
      <c r="J126" s="31" t="s">
        <v>898</v>
      </c>
      <c r="K126" s="31" t="s">
        <v>2452</v>
      </c>
      <c r="L126" s="31" t="s">
        <v>530</v>
      </c>
      <c r="M126" s="31" t="s">
        <v>530</v>
      </c>
      <c r="N126" s="31" t="s">
        <v>1172</v>
      </c>
      <c r="O126" s="31" t="s">
        <v>2471</v>
      </c>
    </row>
    <row r="127" spans="1:15" x14ac:dyDescent="0.2">
      <c r="A127">
        <v>96</v>
      </c>
      <c r="B127" t="s">
        <v>2541</v>
      </c>
      <c r="C127">
        <v>20200129</v>
      </c>
      <c r="D127" t="s">
        <v>518</v>
      </c>
      <c r="E127" s="33" t="s">
        <v>2451</v>
      </c>
      <c r="F127" s="33" t="s">
        <v>2392</v>
      </c>
      <c r="G127">
        <v>2</v>
      </c>
      <c r="H127" s="31" t="s">
        <v>1933</v>
      </c>
      <c r="I127" s="31" t="s">
        <v>897</v>
      </c>
      <c r="J127" s="31" t="s">
        <v>898</v>
      </c>
      <c r="K127" s="31" t="s">
        <v>2452</v>
      </c>
      <c r="L127" s="31" t="s">
        <v>530</v>
      </c>
      <c r="M127" s="31" t="s">
        <v>530</v>
      </c>
      <c r="N127" s="31" t="s">
        <v>1172</v>
      </c>
    </row>
    <row r="128" spans="1:15" x14ac:dyDescent="0.2">
      <c r="A128">
        <v>97</v>
      </c>
      <c r="B128" t="s">
        <v>2541</v>
      </c>
      <c r="C128">
        <v>20200129</v>
      </c>
      <c r="D128" t="s">
        <v>518</v>
      </c>
      <c r="E128" s="33" t="s">
        <v>2453</v>
      </c>
      <c r="F128" s="33" t="s">
        <v>2454</v>
      </c>
      <c r="G128">
        <v>2</v>
      </c>
      <c r="H128" s="31" t="s">
        <v>1933</v>
      </c>
      <c r="I128" s="31" t="s">
        <v>897</v>
      </c>
      <c r="J128" s="31" t="s">
        <v>898</v>
      </c>
      <c r="K128" s="31" t="s">
        <v>2452</v>
      </c>
      <c r="L128" s="31" t="s">
        <v>530</v>
      </c>
      <c r="M128" s="31" t="s">
        <v>530</v>
      </c>
      <c r="N128" s="31" t="s">
        <v>1329</v>
      </c>
    </row>
    <row r="129" spans="1:15" x14ac:dyDescent="0.2">
      <c r="A129">
        <v>98</v>
      </c>
      <c r="B129" t="s">
        <v>2541</v>
      </c>
      <c r="C129">
        <v>20200130</v>
      </c>
      <c r="D129" t="s">
        <v>518</v>
      </c>
      <c r="E129" s="33" t="s">
        <v>2424</v>
      </c>
      <c r="F129" s="33" t="s">
        <v>2455</v>
      </c>
      <c r="G129">
        <v>2</v>
      </c>
      <c r="H129" s="31" t="s">
        <v>1933</v>
      </c>
      <c r="I129" s="31" t="s">
        <v>2456</v>
      </c>
      <c r="J129" s="31" t="s">
        <v>31</v>
      </c>
      <c r="K129" s="31" t="s">
        <v>550</v>
      </c>
      <c r="L129" s="31" t="s">
        <v>530</v>
      </c>
      <c r="M129" s="31" t="s">
        <v>574</v>
      </c>
      <c r="N129" s="31" t="s">
        <v>2457</v>
      </c>
    </row>
    <row r="130" spans="1:15" x14ac:dyDescent="0.2">
      <c r="A130">
        <v>99</v>
      </c>
      <c r="B130" t="s">
        <v>2541</v>
      </c>
      <c r="C130">
        <v>20200130</v>
      </c>
      <c r="D130" t="s">
        <v>518</v>
      </c>
      <c r="E130" s="33" t="s">
        <v>2458</v>
      </c>
      <c r="F130" s="33" t="s">
        <v>532</v>
      </c>
      <c r="G130">
        <v>2</v>
      </c>
      <c r="H130" s="31" t="s">
        <v>1933</v>
      </c>
      <c r="I130" s="31" t="s">
        <v>2456</v>
      </c>
      <c r="J130" s="31" t="s">
        <v>583</v>
      </c>
      <c r="K130" s="31" t="s">
        <v>550</v>
      </c>
      <c r="L130" s="31" t="s">
        <v>530</v>
      </c>
      <c r="M130" s="31" t="s">
        <v>574</v>
      </c>
      <c r="N130" s="31" t="s">
        <v>2459</v>
      </c>
    </row>
    <row r="131" spans="1:15" x14ac:dyDescent="0.2">
      <c r="A131">
        <v>100</v>
      </c>
      <c r="B131" t="s">
        <v>2541</v>
      </c>
      <c r="C131">
        <v>20200130</v>
      </c>
      <c r="D131" t="s">
        <v>518</v>
      </c>
      <c r="E131" s="33" t="s">
        <v>532</v>
      </c>
      <c r="F131" s="33" t="s">
        <v>171</v>
      </c>
      <c r="G131">
        <v>2</v>
      </c>
      <c r="H131" s="31" t="s">
        <v>1933</v>
      </c>
      <c r="I131" s="31" t="s">
        <v>2456</v>
      </c>
      <c r="J131" s="31" t="s">
        <v>31</v>
      </c>
      <c r="K131" s="31" t="s">
        <v>550</v>
      </c>
      <c r="L131" s="31" t="s">
        <v>530</v>
      </c>
      <c r="M131" s="31" t="s">
        <v>574</v>
      </c>
      <c r="N131" s="31" t="s">
        <v>2460</v>
      </c>
    </row>
    <row r="132" spans="1:15" x14ac:dyDescent="0.2">
      <c r="A132">
        <v>101</v>
      </c>
      <c r="B132" t="s">
        <v>2541</v>
      </c>
      <c r="C132">
        <v>20200130</v>
      </c>
      <c r="D132" t="s">
        <v>518</v>
      </c>
      <c r="E132" s="33" t="s">
        <v>171</v>
      </c>
      <c r="F132" s="33" t="s">
        <v>246</v>
      </c>
      <c r="G132">
        <v>2</v>
      </c>
      <c r="H132" s="31" t="s">
        <v>1933</v>
      </c>
      <c r="I132" s="31" t="s">
        <v>2456</v>
      </c>
      <c r="J132" s="31" t="s">
        <v>583</v>
      </c>
      <c r="K132" s="31" t="s">
        <v>550</v>
      </c>
      <c r="L132" s="31" t="s">
        <v>530</v>
      </c>
      <c r="M132" s="31" t="s">
        <v>574</v>
      </c>
      <c r="N132" s="31" t="s">
        <v>2461</v>
      </c>
    </row>
    <row r="133" spans="1:15" x14ac:dyDescent="0.2">
      <c r="A133">
        <v>102</v>
      </c>
      <c r="B133" t="s">
        <v>2541</v>
      </c>
      <c r="C133">
        <v>20200131</v>
      </c>
      <c r="D133" t="s">
        <v>518</v>
      </c>
      <c r="E133" s="33" t="s">
        <v>2197</v>
      </c>
      <c r="F133" s="33" t="s">
        <v>2462</v>
      </c>
      <c r="G133">
        <v>2</v>
      </c>
      <c r="H133" s="31" t="s">
        <v>1933</v>
      </c>
      <c r="I133" s="31" t="s">
        <v>2456</v>
      </c>
      <c r="J133" s="31" t="s">
        <v>583</v>
      </c>
      <c r="N133" s="31" t="s">
        <v>2463</v>
      </c>
    </row>
    <row r="134" spans="1:15" x14ac:dyDescent="0.2">
      <c r="A134">
        <v>103</v>
      </c>
      <c r="B134" t="s">
        <v>2541</v>
      </c>
      <c r="C134">
        <v>20200131</v>
      </c>
      <c r="D134" t="s">
        <v>518</v>
      </c>
      <c r="E134" s="33" t="s">
        <v>2462</v>
      </c>
      <c r="F134" s="33" t="s">
        <v>860</v>
      </c>
      <c r="G134">
        <v>2</v>
      </c>
      <c r="H134" s="31" t="s">
        <v>1933</v>
      </c>
      <c r="I134" s="31" t="s">
        <v>2456</v>
      </c>
      <c r="J134" s="31" t="s">
        <v>869</v>
      </c>
      <c r="N134" s="31" t="s">
        <v>2464</v>
      </c>
    </row>
    <row r="135" spans="1:15" x14ac:dyDescent="0.2">
      <c r="A135">
        <v>104</v>
      </c>
      <c r="B135" t="s">
        <v>2541</v>
      </c>
      <c r="C135">
        <v>20200131</v>
      </c>
      <c r="D135" t="s">
        <v>518</v>
      </c>
      <c r="E135" s="33" t="s">
        <v>2465</v>
      </c>
      <c r="F135" s="33" t="s">
        <v>2466</v>
      </c>
      <c r="G135">
        <v>2</v>
      </c>
      <c r="H135" s="31" t="s">
        <v>1933</v>
      </c>
      <c r="I135" s="31" t="s">
        <v>2456</v>
      </c>
      <c r="J135" s="31" t="s">
        <v>31</v>
      </c>
      <c r="N135" s="31" t="s">
        <v>2470</v>
      </c>
    </row>
    <row r="136" spans="1:15" x14ac:dyDescent="0.2">
      <c r="A136">
        <v>105</v>
      </c>
      <c r="B136" t="s">
        <v>2541</v>
      </c>
      <c r="C136">
        <v>20200131</v>
      </c>
      <c r="D136" t="s">
        <v>518</v>
      </c>
      <c r="E136" s="33" t="s">
        <v>2467</v>
      </c>
      <c r="F136" s="1" t="s">
        <v>2439</v>
      </c>
      <c r="G136">
        <v>2</v>
      </c>
      <c r="H136" s="31" t="s">
        <v>1933</v>
      </c>
      <c r="I136" s="31" t="s">
        <v>2456</v>
      </c>
      <c r="J136" s="31" t="s">
        <v>583</v>
      </c>
      <c r="N136" s="31" t="s">
        <v>2463</v>
      </c>
    </row>
    <row r="137" spans="1:15" x14ac:dyDescent="0.2">
      <c r="A137">
        <v>106</v>
      </c>
      <c r="B137" t="s">
        <v>2541</v>
      </c>
      <c r="C137">
        <v>20200131</v>
      </c>
      <c r="D137" t="s">
        <v>518</v>
      </c>
      <c r="E137" s="33" t="s">
        <v>2439</v>
      </c>
      <c r="F137" s="33" t="s">
        <v>1620</v>
      </c>
      <c r="G137">
        <v>2</v>
      </c>
      <c r="H137" s="31" t="s">
        <v>1933</v>
      </c>
      <c r="I137" s="31" t="s">
        <v>2456</v>
      </c>
      <c r="J137" s="31" t="s">
        <v>869</v>
      </c>
      <c r="N137" s="31" t="s">
        <v>2464</v>
      </c>
      <c r="O137" t="s">
        <v>2469</v>
      </c>
    </row>
    <row r="138" spans="1:15" x14ac:dyDescent="0.2">
      <c r="A138">
        <v>107</v>
      </c>
      <c r="B138" t="s">
        <v>2541</v>
      </c>
      <c r="C138">
        <v>20200202</v>
      </c>
      <c r="D138" t="s">
        <v>518</v>
      </c>
      <c r="E138" s="33" t="s">
        <v>2472</v>
      </c>
      <c r="F138" s="33" t="s">
        <v>2473</v>
      </c>
      <c r="G138">
        <v>2</v>
      </c>
      <c r="H138" s="31" t="s">
        <v>1933</v>
      </c>
      <c r="I138" s="31" t="s">
        <v>1319</v>
      </c>
      <c r="J138" s="31" t="s">
        <v>898</v>
      </c>
      <c r="K138" s="31" t="s">
        <v>544</v>
      </c>
      <c r="L138" s="31" t="s">
        <v>530</v>
      </c>
      <c r="M138" s="31" t="s">
        <v>530</v>
      </c>
      <c r="N138" s="31" t="s">
        <v>2474</v>
      </c>
      <c r="O138" s="31" t="s">
        <v>2475</v>
      </c>
    </row>
    <row r="139" spans="1:15" x14ac:dyDescent="0.2">
      <c r="A139">
        <v>108</v>
      </c>
      <c r="B139" t="s">
        <v>2541</v>
      </c>
      <c r="C139">
        <v>20200202</v>
      </c>
      <c r="D139" t="s">
        <v>518</v>
      </c>
      <c r="E139" s="33" t="s">
        <v>2414</v>
      </c>
      <c r="F139" s="33" t="s">
        <v>685</v>
      </c>
      <c r="G139">
        <v>2</v>
      </c>
      <c r="H139" s="31" t="s">
        <v>1933</v>
      </c>
      <c r="I139" s="31" t="s">
        <v>1319</v>
      </c>
      <c r="J139" s="31" t="s">
        <v>898</v>
      </c>
      <c r="K139" s="31" t="s">
        <v>544</v>
      </c>
      <c r="L139" s="31" t="s">
        <v>530</v>
      </c>
      <c r="M139" s="31" t="s">
        <v>530</v>
      </c>
      <c r="N139" s="31" t="s">
        <v>1321</v>
      </c>
      <c r="O139" t="s">
        <v>2476</v>
      </c>
    </row>
    <row r="140" spans="1:15" x14ac:dyDescent="0.2">
      <c r="A140">
        <v>109</v>
      </c>
      <c r="B140" t="s">
        <v>2541</v>
      </c>
      <c r="C140">
        <v>20200202</v>
      </c>
      <c r="D140" t="s">
        <v>518</v>
      </c>
      <c r="E140" s="33" t="s">
        <v>263</v>
      </c>
      <c r="F140" s="33" t="s">
        <v>360</v>
      </c>
      <c r="G140">
        <v>2</v>
      </c>
      <c r="H140" s="31" t="s">
        <v>1933</v>
      </c>
      <c r="I140" s="31" t="s">
        <v>1319</v>
      </c>
      <c r="J140" s="31" t="s">
        <v>898</v>
      </c>
      <c r="K140" s="31" t="s">
        <v>544</v>
      </c>
      <c r="L140" s="31" t="s">
        <v>530</v>
      </c>
      <c r="M140" s="31" t="s">
        <v>530</v>
      </c>
      <c r="N140" s="31" t="s">
        <v>1320</v>
      </c>
      <c r="O140" s="31" t="s">
        <v>2477</v>
      </c>
    </row>
    <row r="141" spans="1:15" x14ac:dyDescent="0.2">
      <c r="A141">
        <v>110</v>
      </c>
      <c r="B141" t="s">
        <v>2541</v>
      </c>
      <c r="C141">
        <v>20200202</v>
      </c>
      <c r="D141" t="s">
        <v>518</v>
      </c>
      <c r="E141" s="33" t="s">
        <v>2478</v>
      </c>
      <c r="F141" s="33" t="s">
        <v>2408</v>
      </c>
      <c r="G141">
        <v>2</v>
      </c>
      <c r="H141" s="31" t="s">
        <v>1933</v>
      </c>
      <c r="I141" s="31" t="s">
        <v>1319</v>
      </c>
      <c r="J141" s="31" t="s">
        <v>898</v>
      </c>
      <c r="N141" s="31" t="s">
        <v>1320</v>
      </c>
    </row>
    <row r="142" spans="1:15" x14ac:dyDescent="0.2">
      <c r="A142">
        <v>110</v>
      </c>
      <c r="B142" t="s">
        <v>2541</v>
      </c>
      <c r="C142">
        <v>20200202</v>
      </c>
      <c r="D142" t="s">
        <v>518</v>
      </c>
      <c r="E142" s="33" t="s">
        <v>2479</v>
      </c>
      <c r="F142" s="33" t="s">
        <v>2397</v>
      </c>
      <c r="G142">
        <v>2</v>
      </c>
      <c r="H142" s="31" t="s">
        <v>1933</v>
      </c>
      <c r="I142" s="31" t="s">
        <v>1319</v>
      </c>
      <c r="J142" s="31" t="s">
        <v>898</v>
      </c>
      <c r="N142" s="31" t="s">
        <v>1320</v>
      </c>
    </row>
    <row r="143" spans="1:15" x14ac:dyDescent="0.2">
      <c r="A143">
        <v>111</v>
      </c>
      <c r="B143" t="s">
        <v>2541</v>
      </c>
      <c r="C143">
        <v>20200205</v>
      </c>
      <c r="D143" t="s">
        <v>518</v>
      </c>
      <c r="E143" s="33" t="s">
        <v>2419</v>
      </c>
      <c r="F143" s="33" t="s">
        <v>2480</v>
      </c>
      <c r="G143">
        <v>2</v>
      </c>
      <c r="H143" s="31" t="s">
        <v>1933</v>
      </c>
      <c r="I143" s="31" t="s">
        <v>578</v>
      </c>
      <c r="J143" s="31" t="s">
        <v>31</v>
      </c>
      <c r="N143" s="31" t="s">
        <v>2654</v>
      </c>
    </row>
    <row r="144" spans="1:15" x14ac:dyDescent="0.2">
      <c r="A144">
        <v>112</v>
      </c>
      <c r="B144" t="s">
        <v>2541</v>
      </c>
      <c r="C144">
        <v>20200205</v>
      </c>
      <c r="D144" t="s">
        <v>518</v>
      </c>
      <c r="E144" s="33" t="s">
        <v>2412</v>
      </c>
      <c r="F144" s="33" t="s">
        <v>591</v>
      </c>
      <c r="G144">
        <v>2</v>
      </c>
      <c r="H144" s="31" t="s">
        <v>1933</v>
      </c>
      <c r="I144" s="31" t="s">
        <v>578</v>
      </c>
      <c r="J144" s="31" t="s">
        <v>31</v>
      </c>
      <c r="N144" s="31" t="s">
        <v>2481</v>
      </c>
    </row>
    <row r="145" spans="1:15" x14ac:dyDescent="0.2">
      <c r="A145">
        <v>113</v>
      </c>
      <c r="B145" t="s">
        <v>2541</v>
      </c>
      <c r="C145">
        <v>20200205</v>
      </c>
      <c r="D145" t="s">
        <v>518</v>
      </c>
      <c r="E145" s="33" t="s">
        <v>893</v>
      </c>
      <c r="F145" s="33" t="s">
        <v>96</v>
      </c>
      <c r="G145">
        <v>2</v>
      </c>
      <c r="H145" s="31" t="s">
        <v>1933</v>
      </c>
      <c r="I145" s="31" t="s">
        <v>578</v>
      </c>
      <c r="J145" s="31" t="s">
        <v>31</v>
      </c>
      <c r="N145" s="31" t="s">
        <v>2482</v>
      </c>
    </row>
    <row r="146" spans="1:15" x14ac:dyDescent="0.2">
      <c r="A146">
        <v>114</v>
      </c>
      <c r="B146" t="s">
        <v>2541</v>
      </c>
      <c r="C146">
        <v>20200206</v>
      </c>
      <c r="D146" t="s">
        <v>518</v>
      </c>
      <c r="E146" s="33" t="s">
        <v>2424</v>
      </c>
      <c r="F146" s="33" t="s">
        <v>2455</v>
      </c>
      <c r="G146">
        <v>2</v>
      </c>
      <c r="H146" s="31" t="s">
        <v>1933</v>
      </c>
      <c r="I146" s="31" t="s">
        <v>578</v>
      </c>
      <c r="J146" s="31" t="s">
        <v>31</v>
      </c>
      <c r="N146" s="31" t="s">
        <v>2483</v>
      </c>
    </row>
    <row r="147" spans="1:15" x14ac:dyDescent="0.2">
      <c r="A147">
        <v>115</v>
      </c>
      <c r="B147" t="s">
        <v>2541</v>
      </c>
      <c r="C147">
        <v>20200208</v>
      </c>
      <c r="D147" t="s">
        <v>518</v>
      </c>
      <c r="E147" s="33" t="s">
        <v>2472</v>
      </c>
      <c r="F147" s="33" t="s">
        <v>2415</v>
      </c>
      <c r="G147">
        <v>2</v>
      </c>
      <c r="H147" s="31" t="s">
        <v>1933</v>
      </c>
      <c r="I147" s="31" t="s">
        <v>29</v>
      </c>
      <c r="J147" s="31" t="s">
        <v>31</v>
      </c>
      <c r="N147" s="31" t="s">
        <v>2484</v>
      </c>
    </row>
    <row r="148" spans="1:15" x14ac:dyDescent="0.2">
      <c r="A148">
        <v>116</v>
      </c>
      <c r="B148" t="s">
        <v>2541</v>
      </c>
      <c r="C148">
        <v>20200209</v>
      </c>
      <c r="D148" t="s">
        <v>518</v>
      </c>
      <c r="E148" s="33" t="s">
        <v>2485</v>
      </c>
      <c r="F148" s="33" t="s">
        <v>2414</v>
      </c>
      <c r="G148">
        <v>2</v>
      </c>
      <c r="H148" s="31" t="s">
        <v>1933</v>
      </c>
      <c r="I148" s="31" t="s">
        <v>29</v>
      </c>
      <c r="J148" s="31" t="s">
        <v>31</v>
      </c>
      <c r="K148" s="31" t="s">
        <v>524</v>
      </c>
      <c r="L148" s="31" t="s">
        <v>2488</v>
      </c>
      <c r="M148" s="31" t="s">
        <v>530</v>
      </c>
      <c r="N148" s="31" t="s">
        <v>2486</v>
      </c>
      <c r="O148" t="s">
        <v>2487</v>
      </c>
    </row>
    <row r="149" spans="1:15" x14ac:dyDescent="0.2">
      <c r="A149">
        <v>117</v>
      </c>
      <c r="B149" t="s">
        <v>2541</v>
      </c>
      <c r="C149">
        <v>20200212</v>
      </c>
      <c r="D149" t="s">
        <v>518</v>
      </c>
      <c r="E149" s="33" t="s">
        <v>2421</v>
      </c>
      <c r="F149" s="33" t="s">
        <v>2489</v>
      </c>
      <c r="G149">
        <v>4</v>
      </c>
      <c r="H149" s="31" t="s">
        <v>2494</v>
      </c>
      <c r="I149" s="31" t="s">
        <v>46</v>
      </c>
      <c r="J149" s="31" t="s">
        <v>557</v>
      </c>
      <c r="K149" s="31" t="s">
        <v>530</v>
      </c>
      <c r="L149" s="31" t="s">
        <v>530</v>
      </c>
      <c r="M149" s="31" t="s">
        <v>530</v>
      </c>
      <c r="N149" s="31" t="s">
        <v>888</v>
      </c>
    </row>
    <row r="150" spans="1:15" x14ac:dyDescent="0.2">
      <c r="A150">
        <v>118</v>
      </c>
      <c r="B150" t="s">
        <v>2541</v>
      </c>
      <c r="C150">
        <v>20200212</v>
      </c>
      <c r="D150" t="s">
        <v>518</v>
      </c>
      <c r="E150" s="33" t="s">
        <v>171</v>
      </c>
      <c r="F150" s="33" t="s">
        <v>1113</v>
      </c>
      <c r="G150">
        <v>4</v>
      </c>
      <c r="H150" s="31" t="s">
        <v>2494</v>
      </c>
      <c r="I150" s="31" t="s">
        <v>46</v>
      </c>
      <c r="J150" s="31" t="s">
        <v>898</v>
      </c>
      <c r="K150" s="31" t="s">
        <v>530</v>
      </c>
      <c r="L150" s="31" t="s">
        <v>530</v>
      </c>
      <c r="M150" s="31" t="s">
        <v>530</v>
      </c>
      <c r="N150" s="31" t="s">
        <v>2490</v>
      </c>
      <c r="O150" s="31" t="s">
        <v>2491</v>
      </c>
    </row>
    <row r="151" spans="1:15" x14ac:dyDescent="0.2">
      <c r="A151">
        <v>119</v>
      </c>
      <c r="B151" t="s">
        <v>2541</v>
      </c>
      <c r="C151">
        <v>20200213</v>
      </c>
      <c r="D151" t="s">
        <v>518</v>
      </c>
      <c r="E151" s="33" t="s">
        <v>2492</v>
      </c>
      <c r="F151" s="33" t="s">
        <v>2403</v>
      </c>
      <c r="G151">
        <v>4</v>
      </c>
      <c r="H151" s="31" t="s">
        <v>2493</v>
      </c>
      <c r="I151" s="31" t="s">
        <v>46</v>
      </c>
      <c r="J151" s="31" t="s">
        <v>898</v>
      </c>
      <c r="K151" s="31" t="s">
        <v>530</v>
      </c>
      <c r="L151" s="31" t="s">
        <v>530</v>
      </c>
      <c r="M151" s="31" t="s">
        <v>530</v>
      </c>
      <c r="N151" s="31" t="s">
        <v>2490</v>
      </c>
    </row>
    <row r="152" spans="1:15" x14ac:dyDescent="0.2">
      <c r="A152">
        <v>120</v>
      </c>
      <c r="B152" t="s">
        <v>2541</v>
      </c>
      <c r="C152">
        <v>20200213</v>
      </c>
      <c r="D152" t="s">
        <v>518</v>
      </c>
      <c r="E152" s="33" t="s">
        <v>756</v>
      </c>
      <c r="F152" s="33" t="s">
        <v>756</v>
      </c>
      <c r="G152">
        <v>4</v>
      </c>
      <c r="H152" s="31" t="s">
        <v>2493</v>
      </c>
      <c r="I152" s="31" t="s">
        <v>46</v>
      </c>
      <c r="J152" s="31" t="s">
        <v>2324</v>
      </c>
      <c r="K152" s="31" t="s">
        <v>530</v>
      </c>
      <c r="L152" s="31" t="s">
        <v>530</v>
      </c>
      <c r="M152" s="31" t="s">
        <v>530</v>
      </c>
      <c r="N152" s="31" t="s">
        <v>2495</v>
      </c>
    </row>
    <row r="153" spans="1:15" x14ac:dyDescent="0.2">
      <c r="A153">
        <v>121</v>
      </c>
      <c r="B153" t="s">
        <v>2540</v>
      </c>
      <c r="C153">
        <v>20200306</v>
      </c>
      <c r="D153" t="s">
        <v>518</v>
      </c>
      <c r="E153" s="33" t="s">
        <v>2535</v>
      </c>
      <c r="F153" t="s">
        <v>1603</v>
      </c>
      <c r="G153">
        <v>2</v>
      </c>
      <c r="H153" s="31" t="s">
        <v>1933</v>
      </c>
      <c r="I153" s="31" t="s">
        <v>897</v>
      </c>
      <c r="J153" s="31" t="s">
        <v>898</v>
      </c>
      <c r="K153" s="31" t="s">
        <v>524</v>
      </c>
      <c r="L153" s="31" t="s">
        <v>530</v>
      </c>
      <c r="M153" s="31" t="s">
        <v>574</v>
      </c>
      <c r="N153" s="31" t="s">
        <v>1172</v>
      </c>
      <c r="O153" s="31" t="s">
        <v>2536</v>
      </c>
    </row>
    <row r="154" spans="1:15" x14ac:dyDescent="0.2">
      <c r="A154">
        <v>122</v>
      </c>
      <c r="B154" t="s">
        <v>2540</v>
      </c>
      <c r="C154">
        <v>20200307</v>
      </c>
      <c r="D154" t="s">
        <v>518</v>
      </c>
      <c r="E154" s="33" t="s">
        <v>2537</v>
      </c>
      <c r="F154" s="33" t="s">
        <v>2401</v>
      </c>
      <c r="G154">
        <v>2</v>
      </c>
      <c r="H154" s="31" t="s">
        <v>1933</v>
      </c>
      <c r="I154" s="31" t="s">
        <v>897</v>
      </c>
      <c r="J154" s="31" t="s">
        <v>898</v>
      </c>
      <c r="K154" s="31" t="s">
        <v>524</v>
      </c>
      <c r="L154" s="31" t="s">
        <v>2554</v>
      </c>
      <c r="M154" s="31" t="s">
        <v>2538</v>
      </c>
      <c r="N154" s="31" t="s">
        <v>1329</v>
      </c>
      <c r="O154" s="31" t="s">
        <v>2539</v>
      </c>
    </row>
    <row r="155" spans="1:15" x14ac:dyDescent="0.2">
      <c r="A155">
        <v>123</v>
      </c>
      <c r="B155" t="s">
        <v>2540</v>
      </c>
      <c r="C155">
        <v>20200307</v>
      </c>
      <c r="D155" t="s">
        <v>518</v>
      </c>
      <c r="E155" s="33" t="s">
        <v>809</v>
      </c>
      <c r="F155" s="33" t="s">
        <v>1096</v>
      </c>
      <c r="G155">
        <v>2</v>
      </c>
      <c r="H155" s="31" t="s">
        <v>1933</v>
      </c>
      <c r="I155" s="31" t="s">
        <v>897</v>
      </c>
      <c r="J155" s="31" t="s">
        <v>898</v>
      </c>
      <c r="K155" s="31" t="s">
        <v>524</v>
      </c>
      <c r="L155" s="31" t="s">
        <v>2542</v>
      </c>
      <c r="M155" s="31" t="s">
        <v>2538</v>
      </c>
      <c r="N155" s="31" t="s">
        <v>899</v>
      </c>
    </row>
    <row r="156" spans="1:15" x14ac:dyDescent="0.2">
      <c r="A156">
        <v>124</v>
      </c>
      <c r="B156" t="s">
        <v>2540</v>
      </c>
      <c r="C156">
        <v>20200308</v>
      </c>
      <c r="D156" t="s">
        <v>518</v>
      </c>
      <c r="E156" s="33" t="s">
        <v>2411</v>
      </c>
      <c r="F156" s="33" t="s">
        <v>2543</v>
      </c>
      <c r="G156">
        <v>2</v>
      </c>
      <c r="H156" s="31" t="s">
        <v>1933</v>
      </c>
      <c r="I156" s="31" t="s">
        <v>1319</v>
      </c>
      <c r="J156" s="31" t="s">
        <v>898</v>
      </c>
      <c r="K156" s="31" t="s">
        <v>524</v>
      </c>
      <c r="L156" s="31" t="s">
        <v>530</v>
      </c>
      <c r="M156" s="31" t="s">
        <v>530</v>
      </c>
      <c r="N156" s="31" t="s">
        <v>1321</v>
      </c>
      <c r="O156" s="31" t="s">
        <v>2544</v>
      </c>
    </row>
    <row r="157" spans="1:15" x14ac:dyDescent="0.2">
      <c r="A157">
        <v>125</v>
      </c>
      <c r="B157" t="s">
        <v>2540</v>
      </c>
      <c r="C157">
        <v>20200308</v>
      </c>
      <c r="D157" t="s">
        <v>518</v>
      </c>
      <c r="E157" s="33" t="s">
        <v>1621</v>
      </c>
      <c r="F157" s="33" t="s">
        <v>1605</v>
      </c>
      <c r="G157">
        <v>2</v>
      </c>
      <c r="H157" s="31" t="s">
        <v>1933</v>
      </c>
      <c r="I157" s="31" t="s">
        <v>1319</v>
      </c>
      <c r="J157" s="31" t="s">
        <v>2545</v>
      </c>
      <c r="K157" s="31" t="s">
        <v>524</v>
      </c>
      <c r="L157" s="31" t="s">
        <v>530</v>
      </c>
      <c r="M157" s="31" t="s">
        <v>530</v>
      </c>
      <c r="N157" s="31" t="s">
        <v>2474</v>
      </c>
      <c r="O157" s="31" t="s">
        <v>2546</v>
      </c>
    </row>
    <row r="158" spans="1:15" x14ac:dyDescent="0.2">
      <c r="A158">
        <v>125</v>
      </c>
      <c r="B158" t="s">
        <v>2540</v>
      </c>
      <c r="C158">
        <v>20200308</v>
      </c>
      <c r="D158" t="s">
        <v>518</v>
      </c>
      <c r="E158" s="33" t="s">
        <v>532</v>
      </c>
      <c r="F158" s="33" t="s">
        <v>802</v>
      </c>
      <c r="G158">
        <v>2</v>
      </c>
      <c r="H158" s="31" t="s">
        <v>1933</v>
      </c>
      <c r="I158" s="31" t="s">
        <v>1319</v>
      </c>
      <c r="J158" s="31" t="s">
        <v>898</v>
      </c>
      <c r="K158" s="31" t="s">
        <v>524</v>
      </c>
      <c r="L158" s="31" t="s">
        <v>530</v>
      </c>
      <c r="M158" s="31" t="s">
        <v>530</v>
      </c>
      <c r="N158" s="31" t="s">
        <v>2474</v>
      </c>
      <c r="O158" s="31" t="s">
        <v>2547</v>
      </c>
    </row>
    <row r="159" spans="1:15" x14ac:dyDescent="0.2">
      <c r="A159">
        <v>126</v>
      </c>
      <c r="B159" t="s">
        <v>2540</v>
      </c>
      <c r="C159">
        <v>20200308</v>
      </c>
      <c r="D159" t="s">
        <v>518</v>
      </c>
      <c r="E159" s="33" t="s">
        <v>1598</v>
      </c>
      <c r="F159" s="33" t="s">
        <v>2548</v>
      </c>
      <c r="G159">
        <v>2</v>
      </c>
      <c r="H159" s="31" t="s">
        <v>1933</v>
      </c>
      <c r="I159" s="31" t="s">
        <v>1319</v>
      </c>
      <c r="J159" s="31" t="s">
        <v>898</v>
      </c>
      <c r="K159" s="31" t="s">
        <v>524</v>
      </c>
      <c r="L159" s="31" t="s">
        <v>530</v>
      </c>
      <c r="M159" s="31" t="s">
        <v>530</v>
      </c>
      <c r="N159" s="31" t="s">
        <v>1320</v>
      </c>
      <c r="O159" s="31" t="s">
        <v>2549</v>
      </c>
    </row>
    <row r="160" spans="1:15" x14ac:dyDescent="0.2">
      <c r="A160">
        <v>127</v>
      </c>
      <c r="B160" t="s">
        <v>2540</v>
      </c>
      <c r="C160">
        <v>20200309</v>
      </c>
      <c r="D160" t="s">
        <v>518</v>
      </c>
      <c r="E160" s="33" t="s">
        <v>2550</v>
      </c>
      <c r="F160" s="33" t="s">
        <v>2401</v>
      </c>
      <c r="G160">
        <v>2</v>
      </c>
      <c r="H160" s="31" t="s">
        <v>1933</v>
      </c>
      <c r="I160" s="31" t="s">
        <v>1326</v>
      </c>
      <c r="J160" s="31" t="s">
        <v>2015</v>
      </c>
      <c r="K160" s="31" t="s">
        <v>530</v>
      </c>
      <c r="L160" s="31" t="s">
        <v>530</v>
      </c>
      <c r="M160" s="31" t="s">
        <v>574</v>
      </c>
      <c r="N160" s="31" t="s">
        <v>2551</v>
      </c>
      <c r="O160" s="31" t="s">
        <v>2552</v>
      </c>
    </row>
    <row r="161" spans="1:15" x14ac:dyDescent="0.2">
      <c r="A161">
        <v>128</v>
      </c>
      <c r="B161" t="s">
        <v>2540</v>
      </c>
      <c r="C161">
        <v>20200309</v>
      </c>
      <c r="D161" t="s">
        <v>518</v>
      </c>
      <c r="E161" s="33" t="s">
        <v>357</v>
      </c>
      <c r="F161" s="33" t="s">
        <v>1089</v>
      </c>
      <c r="G161">
        <v>2</v>
      </c>
      <c r="H161" s="31" t="s">
        <v>1933</v>
      </c>
      <c r="I161" s="31" t="s">
        <v>1326</v>
      </c>
      <c r="J161" s="31" t="s">
        <v>2015</v>
      </c>
      <c r="K161" s="31" t="s">
        <v>2553</v>
      </c>
      <c r="L161" s="31" t="s">
        <v>530</v>
      </c>
      <c r="M161" s="31" t="s">
        <v>540</v>
      </c>
      <c r="N161" s="31" t="s">
        <v>2555</v>
      </c>
      <c r="O161" s="31" t="s">
        <v>2556</v>
      </c>
    </row>
    <row r="162" spans="1:15" x14ac:dyDescent="0.2">
      <c r="A162">
        <v>129</v>
      </c>
      <c r="B162" t="s">
        <v>2540</v>
      </c>
      <c r="C162">
        <v>20200311</v>
      </c>
      <c r="D162" t="s">
        <v>518</v>
      </c>
      <c r="E162" s="33" t="s">
        <v>2444</v>
      </c>
      <c r="F162" s="33" t="s">
        <v>2447</v>
      </c>
      <c r="G162">
        <v>2</v>
      </c>
      <c r="H162" s="31" t="s">
        <v>1933</v>
      </c>
      <c r="I162" s="31" t="s">
        <v>578</v>
      </c>
      <c r="J162" s="31" t="s">
        <v>2015</v>
      </c>
      <c r="K162" s="31" t="s">
        <v>524</v>
      </c>
      <c r="L162" s="31" t="s">
        <v>530</v>
      </c>
      <c r="M162" s="31" t="s">
        <v>530</v>
      </c>
      <c r="N162" s="31" t="s">
        <v>2654</v>
      </c>
      <c r="O162" s="31" t="s">
        <v>2655</v>
      </c>
    </row>
    <row r="163" spans="1:15" x14ac:dyDescent="0.2">
      <c r="A163">
        <v>130</v>
      </c>
      <c r="B163" t="s">
        <v>2540</v>
      </c>
      <c r="C163">
        <v>20200311</v>
      </c>
      <c r="D163" t="s">
        <v>518</v>
      </c>
      <c r="E163" s="33" t="s">
        <v>1946</v>
      </c>
      <c r="F163" s="33" t="s">
        <v>1333</v>
      </c>
      <c r="G163">
        <v>2</v>
      </c>
      <c r="H163" s="31" t="s">
        <v>1933</v>
      </c>
      <c r="I163" s="31" t="s">
        <v>578</v>
      </c>
      <c r="J163" s="31" t="s">
        <v>898</v>
      </c>
      <c r="K163" s="31" t="s">
        <v>524</v>
      </c>
      <c r="L163" s="31" t="s">
        <v>530</v>
      </c>
      <c r="M163" s="31" t="s">
        <v>530</v>
      </c>
      <c r="N163" s="31" t="s">
        <v>2656</v>
      </c>
      <c r="O163" s="31" t="s">
        <v>2657</v>
      </c>
    </row>
    <row r="164" spans="1:15" x14ac:dyDescent="0.2">
      <c r="A164">
        <v>131</v>
      </c>
      <c r="B164" t="s">
        <v>2540</v>
      </c>
      <c r="C164">
        <v>20200311</v>
      </c>
      <c r="D164" t="s">
        <v>518</v>
      </c>
      <c r="E164" s="33" t="s">
        <v>587</v>
      </c>
      <c r="F164" s="33" t="s">
        <v>280</v>
      </c>
      <c r="G164">
        <v>2</v>
      </c>
      <c r="H164" s="31" t="s">
        <v>1933</v>
      </c>
      <c r="I164" s="31" t="s">
        <v>578</v>
      </c>
      <c r="J164" s="31" t="s">
        <v>366</v>
      </c>
      <c r="K164" s="31" t="s">
        <v>524</v>
      </c>
      <c r="L164" s="31" t="s">
        <v>530</v>
      </c>
      <c r="M164" s="31" t="s">
        <v>530</v>
      </c>
      <c r="N164" s="31" t="s">
        <v>2658</v>
      </c>
      <c r="O164" s="31" t="s">
        <v>2659</v>
      </c>
    </row>
    <row r="165" spans="1:15" x14ac:dyDescent="0.2">
      <c r="A165">
        <v>132</v>
      </c>
      <c r="B165" t="s">
        <v>2540</v>
      </c>
      <c r="C165">
        <v>20200313</v>
      </c>
      <c r="D165" t="s">
        <v>518</v>
      </c>
      <c r="E165" s="33" t="s">
        <v>2660</v>
      </c>
      <c r="F165" s="33" t="s">
        <v>820</v>
      </c>
      <c r="G165">
        <v>3</v>
      </c>
      <c r="H165" s="31" t="s">
        <v>2661</v>
      </c>
      <c r="I165" s="31" t="s">
        <v>29</v>
      </c>
      <c r="J165" s="31" t="s">
        <v>2015</v>
      </c>
      <c r="K165" s="31" t="s">
        <v>524</v>
      </c>
      <c r="L165" s="31" t="s">
        <v>2662</v>
      </c>
      <c r="M165" s="31" t="s">
        <v>530</v>
      </c>
      <c r="N165" s="31" t="s">
        <v>2486</v>
      </c>
    </row>
    <row r="166" spans="1:15" x14ac:dyDescent="0.2">
      <c r="A166">
        <v>133</v>
      </c>
      <c r="B166" t="s">
        <v>2540</v>
      </c>
      <c r="C166">
        <v>20200314</v>
      </c>
      <c r="D166" t="s">
        <v>518</v>
      </c>
      <c r="E166" s="33" t="s">
        <v>2399</v>
      </c>
      <c r="F166" s="33" t="s">
        <v>2663</v>
      </c>
      <c r="G166">
        <v>3</v>
      </c>
      <c r="H166" s="31" t="s">
        <v>2664</v>
      </c>
      <c r="I166" s="31" t="s">
        <v>29</v>
      </c>
      <c r="J166" s="31" t="s">
        <v>2015</v>
      </c>
      <c r="K166" s="31" t="s">
        <v>524</v>
      </c>
      <c r="L166" s="31" t="s">
        <v>530</v>
      </c>
      <c r="M166" s="31" t="s">
        <v>530</v>
      </c>
      <c r="N166" s="31" t="s">
        <v>2484</v>
      </c>
      <c r="O166" s="31" t="s">
        <v>2665</v>
      </c>
    </row>
    <row r="167" spans="1:15" x14ac:dyDescent="0.2">
      <c r="A167">
        <v>134</v>
      </c>
      <c r="B167" t="s">
        <v>2540</v>
      </c>
      <c r="C167">
        <v>20200315</v>
      </c>
      <c r="D167" t="s">
        <v>518</v>
      </c>
      <c r="E167" s="33" t="s">
        <v>2409</v>
      </c>
      <c r="F167" s="33" t="s">
        <v>2666</v>
      </c>
      <c r="G167">
        <v>3</v>
      </c>
      <c r="H167" s="31" t="s">
        <v>1318</v>
      </c>
      <c r="I167" s="31" t="s">
        <v>46</v>
      </c>
      <c r="J167" s="31" t="s">
        <v>557</v>
      </c>
      <c r="K167" s="31" t="s">
        <v>524</v>
      </c>
      <c r="L167" s="31" t="s">
        <v>2662</v>
      </c>
      <c r="M167" s="31" t="s">
        <v>574</v>
      </c>
      <c r="N167" s="31" t="s">
        <v>888</v>
      </c>
    </row>
    <row r="168" spans="1:15" x14ac:dyDescent="0.2">
      <c r="A168">
        <v>135</v>
      </c>
      <c r="B168" t="s">
        <v>2540</v>
      </c>
      <c r="C168">
        <v>20200315</v>
      </c>
      <c r="D168" t="s">
        <v>518</v>
      </c>
      <c r="E168" s="33" t="s">
        <v>2420</v>
      </c>
      <c r="F168" s="33" t="s">
        <v>1621</v>
      </c>
      <c r="G168">
        <v>3</v>
      </c>
      <c r="H168" s="31" t="s">
        <v>1318</v>
      </c>
      <c r="I168" s="31" t="s">
        <v>46</v>
      </c>
      <c r="J168" s="31" t="s">
        <v>898</v>
      </c>
      <c r="K168" s="31" t="s">
        <v>524</v>
      </c>
      <c r="L168" s="31" t="s">
        <v>2662</v>
      </c>
      <c r="M168" s="31" t="s">
        <v>574</v>
      </c>
      <c r="N168" s="31" t="s">
        <v>2490</v>
      </c>
      <c r="O168" s="31" t="s">
        <v>2667</v>
      </c>
    </row>
    <row r="169" spans="1:15" x14ac:dyDescent="0.2">
      <c r="A169">
        <v>136</v>
      </c>
      <c r="B169" t="s">
        <v>2540</v>
      </c>
      <c r="C169">
        <v>20200717</v>
      </c>
      <c r="D169" t="s">
        <v>518</v>
      </c>
      <c r="E169" s="33" t="s">
        <v>140</v>
      </c>
      <c r="F169" s="33" t="s">
        <v>328</v>
      </c>
      <c r="G169">
        <v>3</v>
      </c>
      <c r="H169" s="31" t="s">
        <v>527</v>
      </c>
      <c r="I169" s="31" t="s">
        <v>578</v>
      </c>
      <c r="J169" s="31" t="s">
        <v>2015</v>
      </c>
      <c r="K169" s="31" t="s">
        <v>530</v>
      </c>
      <c r="L169" s="31" t="s">
        <v>530</v>
      </c>
      <c r="M169" s="31" t="s">
        <v>530</v>
      </c>
      <c r="N169" s="31" t="s">
        <v>2794</v>
      </c>
      <c r="O169" s="31" t="s">
        <v>2792</v>
      </c>
    </row>
    <row r="170" spans="1:15" x14ac:dyDescent="0.2">
      <c r="A170">
        <v>137</v>
      </c>
      <c r="B170" t="s">
        <v>2540</v>
      </c>
      <c r="C170">
        <v>20200718</v>
      </c>
      <c r="D170" t="s">
        <v>518</v>
      </c>
      <c r="E170" s="33" t="s">
        <v>1088</v>
      </c>
      <c r="F170" s="33" t="s">
        <v>1089</v>
      </c>
      <c r="G170">
        <v>3</v>
      </c>
      <c r="H170" s="31" t="s">
        <v>527</v>
      </c>
      <c r="I170" s="31" t="s">
        <v>578</v>
      </c>
      <c r="J170" s="31" t="s">
        <v>2795</v>
      </c>
      <c r="K170" s="31" t="s">
        <v>530</v>
      </c>
      <c r="L170" s="31" t="s">
        <v>530</v>
      </c>
      <c r="M170" s="31" t="s">
        <v>530</v>
      </c>
      <c r="N170" s="31" t="s">
        <v>2796</v>
      </c>
    </row>
    <row r="171" spans="1:15" x14ac:dyDescent="0.2">
      <c r="A171">
        <v>138</v>
      </c>
      <c r="B171" t="s">
        <v>2540</v>
      </c>
      <c r="C171">
        <v>20200718</v>
      </c>
      <c r="D171" t="s">
        <v>518</v>
      </c>
      <c r="E171" s="33" t="s">
        <v>1086</v>
      </c>
      <c r="F171" s="33" t="s">
        <v>2793</v>
      </c>
      <c r="G171">
        <v>3</v>
      </c>
      <c r="H171" s="31" t="s">
        <v>527</v>
      </c>
      <c r="I171" s="31" t="s">
        <v>578</v>
      </c>
      <c r="J171" s="31" t="s">
        <v>583</v>
      </c>
      <c r="K171" s="31" t="s">
        <v>530</v>
      </c>
      <c r="L171" s="31" t="s">
        <v>530</v>
      </c>
      <c r="M171" s="31" t="s">
        <v>530</v>
      </c>
      <c r="N171" s="31" t="s">
        <v>2797</v>
      </c>
      <c r="O171" s="31" t="s">
        <v>2798</v>
      </c>
    </row>
    <row r="172" spans="1:15" x14ac:dyDescent="0.2">
      <c r="A172">
        <v>139</v>
      </c>
      <c r="B172" t="s">
        <v>2540</v>
      </c>
      <c r="C172">
        <v>20200719</v>
      </c>
      <c r="D172" t="s">
        <v>518</v>
      </c>
      <c r="E172" s="33" t="s">
        <v>226</v>
      </c>
      <c r="F172" s="33" t="s">
        <v>784</v>
      </c>
      <c r="G172">
        <v>3</v>
      </c>
      <c r="H172" s="31" t="s">
        <v>527</v>
      </c>
      <c r="I172" s="31" t="s">
        <v>578</v>
      </c>
      <c r="J172" s="31" t="s">
        <v>2015</v>
      </c>
      <c r="K172" s="31" t="s">
        <v>530</v>
      </c>
      <c r="L172" s="31" t="s">
        <v>530</v>
      </c>
      <c r="M172" s="31" t="s">
        <v>530</v>
      </c>
      <c r="N172" s="31" t="s">
        <v>2794</v>
      </c>
      <c r="O172" s="31" t="s">
        <v>2799</v>
      </c>
    </row>
    <row r="173" spans="1:15" x14ac:dyDescent="0.2">
      <c r="A173">
        <v>140</v>
      </c>
      <c r="B173" t="s">
        <v>2540</v>
      </c>
      <c r="C173">
        <v>20200719</v>
      </c>
      <c r="D173" t="s">
        <v>518</v>
      </c>
      <c r="E173" s="33" t="s">
        <v>873</v>
      </c>
      <c r="F173" s="33" t="s">
        <v>1599</v>
      </c>
      <c r="G173">
        <v>3</v>
      </c>
      <c r="H173" s="31" t="s">
        <v>527</v>
      </c>
      <c r="I173" s="31" t="s">
        <v>578</v>
      </c>
      <c r="J173" s="31" t="s">
        <v>2324</v>
      </c>
      <c r="K173" s="31" t="s">
        <v>530</v>
      </c>
      <c r="L173" s="31" t="s">
        <v>530</v>
      </c>
      <c r="M173" s="31" t="s">
        <v>530</v>
      </c>
      <c r="N173" s="31" t="s">
        <v>2800</v>
      </c>
    </row>
    <row r="174" spans="1:15" x14ac:dyDescent="0.2">
      <c r="A174">
        <v>141</v>
      </c>
      <c r="B174" t="s">
        <v>2540</v>
      </c>
      <c r="C174">
        <v>20200721</v>
      </c>
      <c r="D174" t="s">
        <v>518</v>
      </c>
      <c r="E174" s="33" t="s">
        <v>579</v>
      </c>
      <c r="F174" s="33" t="s">
        <v>56</v>
      </c>
      <c r="G174">
        <v>3</v>
      </c>
      <c r="H174" s="31" t="s">
        <v>527</v>
      </c>
      <c r="I174" s="31" t="s">
        <v>1319</v>
      </c>
      <c r="J174" s="31" t="s">
        <v>898</v>
      </c>
      <c r="K174" s="31" t="s">
        <v>530</v>
      </c>
      <c r="L174" s="31" t="s">
        <v>530</v>
      </c>
      <c r="M174" s="31" t="s">
        <v>574</v>
      </c>
      <c r="N174" s="31" t="s">
        <v>1321</v>
      </c>
      <c r="O174" s="31" t="s">
        <v>2801</v>
      </c>
    </row>
    <row r="175" spans="1:15" x14ac:dyDescent="0.2">
      <c r="A175">
        <v>142</v>
      </c>
      <c r="B175" t="s">
        <v>2540</v>
      </c>
      <c r="C175">
        <v>20200721</v>
      </c>
      <c r="D175" t="s">
        <v>518</v>
      </c>
      <c r="E175" s="33" t="s">
        <v>363</v>
      </c>
      <c r="F175" s="33" t="s">
        <v>750</v>
      </c>
      <c r="G175">
        <v>3</v>
      </c>
      <c r="H175" s="31" t="s">
        <v>527</v>
      </c>
      <c r="I175" s="31" t="s">
        <v>1319</v>
      </c>
      <c r="J175" s="31" t="s">
        <v>898</v>
      </c>
      <c r="K175" s="31" t="s">
        <v>530</v>
      </c>
      <c r="L175" s="31" t="s">
        <v>530</v>
      </c>
      <c r="M175" s="31" t="s">
        <v>574</v>
      </c>
      <c r="N175" s="31" t="s">
        <v>2474</v>
      </c>
      <c r="O175" s="31" t="s">
        <v>2801</v>
      </c>
    </row>
    <row r="176" spans="1:15" x14ac:dyDescent="0.2">
      <c r="A176">
        <v>143</v>
      </c>
      <c r="B176" t="s">
        <v>2540</v>
      </c>
      <c r="C176">
        <v>20200721</v>
      </c>
      <c r="D176" t="s">
        <v>518</v>
      </c>
      <c r="E176" s="33" t="s">
        <v>2802</v>
      </c>
      <c r="F176" s="33" t="s">
        <v>1600</v>
      </c>
      <c r="G176">
        <v>3</v>
      </c>
      <c r="H176" s="31" t="s">
        <v>527</v>
      </c>
      <c r="I176" s="31" t="s">
        <v>1319</v>
      </c>
      <c r="J176" s="31" t="s">
        <v>898</v>
      </c>
      <c r="K176" s="31" t="s">
        <v>530</v>
      </c>
      <c r="L176" s="31" t="s">
        <v>530</v>
      </c>
      <c r="M176" s="31" t="s">
        <v>574</v>
      </c>
      <c r="N176" s="31" t="s">
        <v>1320</v>
      </c>
      <c r="O176" s="31" t="s">
        <v>2803</v>
      </c>
    </row>
    <row r="177" spans="1:15" x14ac:dyDescent="0.2">
      <c r="A177">
        <v>143</v>
      </c>
      <c r="B177" t="s">
        <v>2540</v>
      </c>
      <c r="C177">
        <v>20200721</v>
      </c>
      <c r="D177" t="s">
        <v>518</v>
      </c>
      <c r="E177" s="33" t="s">
        <v>817</v>
      </c>
      <c r="F177" s="33" t="s">
        <v>535</v>
      </c>
      <c r="G177">
        <v>3</v>
      </c>
      <c r="H177" s="31" t="s">
        <v>527</v>
      </c>
      <c r="I177" s="31" t="s">
        <v>1319</v>
      </c>
      <c r="J177" s="31" t="s">
        <v>898</v>
      </c>
      <c r="K177" s="31" t="s">
        <v>530</v>
      </c>
      <c r="L177" s="31" t="s">
        <v>530</v>
      </c>
      <c r="M177" s="31" t="s">
        <v>574</v>
      </c>
      <c r="N177" s="31" t="s">
        <v>1320</v>
      </c>
      <c r="O177" s="31" t="s">
        <v>2803</v>
      </c>
    </row>
    <row r="178" spans="1:15" x14ac:dyDescent="0.2">
      <c r="A178">
        <v>144</v>
      </c>
      <c r="B178" t="s">
        <v>2540</v>
      </c>
      <c r="C178">
        <v>20200722</v>
      </c>
      <c r="D178" t="s">
        <v>518</v>
      </c>
      <c r="E178" s="33" t="s">
        <v>447</v>
      </c>
      <c r="F178" s="33" t="s">
        <v>263</v>
      </c>
      <c r="G178">
        <v>3</v>
      </c>
      <c r="H178" s="31" t="s">
        <v>527</v>
      </c>
      <c r="I178" s="31" t="s">
        <v>1319</v>
      </c>
      <c r="J178" s="31" t="s">
        <v>898</v>
      </c>
      <c r="K178" s="31" t="s">
        <v>530</v>
      </c>
      <c r="L178" s="31" t="s">
        <v>530</v>
      </c>
      <c r="M178" s="31" t="s">
        <v>574</v>
      </c>
      <c r="N178" s="31" t="s">
        <v>1320</v>
      </c>
      <c r="O178" s="31" t="s">
        <v>2804</v>
      </c>
    </row>
    <row r="179" spans="1:15" x14ac:dyDescent="0.2">
      <c r="A179">
        <v>145</v>
      </c>
      <c r="B179" t="s">
        <v>2540</v>
      </c>
      <c r="C179">
        <v>20200722</v>
      </c>
      <c r="D179" t="s">
        <v>518</v>
      </c>
      <c r="E179" s="33" t="s">
        <v>733</v>
      </c>
      <c r="F179" s="33" t="s">
        <v>587</v>
      </c>
      <c r="G179">
        <v>3</v>
      </c>
      <c r="H179" s="31" t="s">
        <v>527</v>
      </c>
      <c r="I179" s="31" t="s">
        <v>1319</v>
      </c>
      <c r="J179" s="31" t="s">
        <v>898</v>
      </c>
      <c r="K179" s="31" t="s">
        <v>530</v>
      </c>
      <c r="L179" s="31" t="s">
        <v>530</v>
      </c>
      <c r="M179" s="31" t="s">
        <v>574</v>
      </c>
      <c r="N179" s="31" t="s">
        <v>2474</v>
      </c>
      <c r="O179" s="31" t="s">
        <v>2801</v>
      </c>
    </row>
    <row r="180" spans="1:15" x14ac:dyDescent="0.2">
      <c r="A180">
        <v>146</v>
      </c>
      <c r="B180" t="s">
        <v>2540</v>
      </c>
      <c r="C180">
        <v>20200722</v>
      </c>
      <c r="D180" t="s">
        <v>518</v>
      </c>
      <c r="E180" s="33" t="s">
        <v>697</v>
      </c>
      <c r="F180" s="33" t="s">
        <v>1119</v>
      </c>
      <c r="G180">
        <v>3</v>
      </c>
      <c r="H180" s="31" t="s">
        <v>527</v>
      </c>
      <c r="I180" s="31" t="s">
        <v>1319</v>
      </c>
      <c r="J180" s="31" t="s">
        <v>898</v>
      </c>
      <c r="K180" s="31" t="s">
        <v>530</v>
      </c>
      <c r="L180" s="31" t="s">
        <v>530</v>
      </c>
      <c r="M180" s="31" t="s">
        <v>574</v>
      </c>
      <c r="N180" s="31" t="s">
        <v>1321</v>
      </c>
      <c r="O180" s="31" t="s">
        <v>2801</v>
      </c>
    </row>
    <row r="181" spans="1:15" x14ac:dyDescent="0.2">
      <c r="A181">
        <v>147</v>
      </c>
      <c r="B181" t="s">
        <v>2540</v>
      </c>
      <c r="C181">
        <v>20200723</v>
      </c>
      <c r="D181" t="s">
        <v>518</v>
      </c>
      <c r="E181" s="33" t="s">
        <v>2489</v>
      </c>
      <c r="F181" s="33" t="s">
        <v>2805</v>
      </c>
      <c r="G181">
        <v>3</v>
      </c>
      <c r="H181" s="31" t="s">
        <v>527</v>
      </c>
      <c r="I181" s="31" t="s">
        <v>1326</v>
      </c>
      <c r="J181" s="31" t="s">
        <v>2015</v>
      </c>
      <c r="K181" s="31" t="s">
        <v>2806</v>
      </c>
      <c r="L181" s="31" t="s">
        <v>530</v>
      </c>
      <c r="M181" s="31" t="s">
        <v>534</v>
      </c>
      <c r="N181" s="31" t="s">
        <v>2551</v>
      </c>
    </row>
    <row r="182" spans="1:15" x14ac:dyDescent="0.2">
      <c r="A182">
        <v>147</v>
      </c>
      <c r="B182" t="s">
        <v>2540</v>
      </c>
      <c r="C182">
        <v>20200723</v>
      </c>
      <c r="D182" t="s">
        <v>518</v>
      </c>
      <c r="E182" s="33" t="s">
        <v>236</v>
      </c>
      <c r="F182" s="33" t="s">
        <v>1098</v>
      </c>
      <c r="G182">
        <v>3</v>
      </c>
      <c r="H182" s="31" t="s">
        <v>527</v>
      </c>
      <c r="I182" s="31" t="s">
        <v>1326</v>
      </c>
      <c r="J182" s="31" t="s">
        <v>2015</v>
      </c>
      <c r="K182" s="31" t="s">
        <v>2806</v>
      </c>
      <c r="L182" s="31" t="s">
        <v>530</v>
      </c>
      <c r="M182" s="31" t="s">
        <v>534</v>
      </c>
      <c r="N182" s="31" t="s">
        <v>2551</v>
      </c>
      <c r="O182" s="31" t="s">
        <v>2807</v>
      </c>
    </row>
    <row r="183" spans="1:15" x14ac:dyDescent="0.2">
      <c r="A183">
        <v>148</v>
      </c>
      <c r="B183" t="s">
        <v>2540</v>
      </c>
      <c r="C183">
        <v>20200723</v>
      </c>
      <c r="D183" t="s">
        <v>518</v>
      </c>
      <c r="E183" s="33" t="s">
        <v>751</v>
      </c>
      <c r="F183" s="33" t="s">
        <v>742</v>
      </c>
      <c r="G183">
        <v>3</v>
      </c>
      <c r="H183" s="31" t="s">
        <v>527</v>
      </c>
      <c r="I183" s="31" t="s">
        <v>1326</v>
      </c>
      <c r="J183" s="31" t="s">
        <v>2015</v>
      </c>
      <c r="K183" s="31" t="s">
        <v>2806</v>
      </c>
      <c r="L183" s="31" t="s">
        <v>530</v>
      </c>
      <c r="M183" s="31" t="s">
        <v>534</v>
      </c>
      <c r="N183" s="31" t="s">
        <v>1336</v>
      </c>
      <c r="O183" s="31" t="s">
        <v>2801</v>
      </c>
    </row>
    <row r="184" spans="1:15" x14ac:dyDescent="0.2">
      <c r="A184">
        <v>149</v>
      </c>
      <c r="B184" t="s">
        <v>2540</v>
      </c>
      <c r="C184">
        <v>20200726</v>
      </c>
      <c r="D184" t="s">
        <v>518</v>
      </c>
      <c r="E184" s="33" t="s">
        <v>1622</v>
      </c>
      <c r="F184" s="33" t="s">
        <v>751</v>
      </c>
      <c r="G184">
        <v>3</v>
      </c>
      <c r="H184" s="31" t="s">
        <v>527</v>
      </c>
      <c r="I184" s="31" t="s">
        <v>2456</v>
      </c>
      <c r="J184" s="31" t="s">
        <v>31</v>
      </c>
      <c r="K184" s="31" t="s">
        <v>530</v>
      </c>
      <c r="L184" s="31" t="s">
        <v>530</v>
      </c>
      <c r="M184" s="31" t="s">
        <v>530</v>
      </c>
      <c r="N184" s="31" t="s">
        <v>2811</v>
      </c>
    </row>
    <row r="185" spans="1:15" x14ac:dyDescent="0.2">
      <c r="A185">
        <v>149</v>
      </c>
      <c r="B185" t="s">
        <v>2540</v>
      </c>
      <c r="C185">
        <v>20200726</v>
      </c>
      <c r="D185" t="s">
        <v>518</v>
      </c>
      <c r="E185" s="33" t="s">
        <v>597</v>
      </c>
      <c r="F185" s="33" t="s">
        <v>577</v>
      </c>
      <c r="G185">
        <v>3</v>
      </c>
      <c r="H185" s="31" t="s">
        <v>527</v>
      </c>
      <c r="I185" s="31" t="s">
        <v>2456</v>
      </c>
      <c r="J185" s="31" t="s">
        <v>31</v>
      </c>
      <c r="K185" s="31" t="s">
        <v>530</v>
      </c>
      <c r="L185" s="31" t="s">
        <v>530</v>
      </c>
      <c r="M185" s="31" t="s">
        <v>530</v>
      </c>
      <c r="N185" s="31" t="s">
        <v>2811</v>
      </c>
    </row>
    <row r="186" spans="1:15" x14ac:dyDescent="0.2">
      <c r="A186">
        <v>149</v>
      </c>
      <c r="B186" t="s">
        <v>2540</v>
      </c>
      <c r="C186">
        <v>20200726</v>
      </c>
      <c r="D186" t="s">
        <v>518</v>
      </c>
      <c r="E186" s="33" t="s">
        <v>2808</v>
      </c>
      <c r="F186" s="33" t="s">
        <v>2809</v>
      </c>
      <c r="G186">
        <v>3</v>
      </c>
      <c r="H186" s="31" t="s">
        <v>527</v>
      </c>
      <c r="I186" s="31" t="s">
        <v>2456</v>
      </c>
      <c r="J186" s="31" t="s">
        <v>31</v>
      </c>
      <c r="K186" s="31" t="s">
        <v>530</v>
      </c>
      <c r="L186" s="31" t="s">
        <v>530</v>
      </c>
      <c r="M186" s="31" t="s">
        <v>530</v>
      </c>
      <c r="N186" s="31" t="s">
        <v>2811</v>
      </c>
    </row>
    <row r="187" spans="1:15" x14ac:dyDescent="0.2">
      <c r="A187">
        <v>149</v>
      </c>
      <c r="B187" t="s">
        <v>2540</v>
      </c>
      <c r="C187">
        <v>20200726</v>
      </c>
      <c r="D187" t="s">
        <v>518</v>
      </c>
      <c r="E187" s="33" t="s">
        <v>828</v>
      </c>
      <c r="F187" s="33" t="s">
        <v>2810</v>
      </c>
      <c r="G187">
        <v>3</v>
      </c>
      <c r="H187" s="31" t="s">
        <v>527</v>
      </c>
      <c r="I187" s="31" t="s">
        <v>2456</v>
      </c>
      <c r="J187" s="31" t="s">
        <v>31</v>
      </c>
      <c r="K187" s="31" t="s">
        <v>530</v>
      </c>
      <c r="L187" s="31" t="s">
        <v>530</v>
      </c>
      <c r="M187" s="31" t="s">
        <v>530</v>
      </c>
      <c r="N187" s="31" t="s">
        <v>2811</v>
      </c>
    </row>
    <row r="188" spans="1:15" x14ac:dyDescent="0.2">
      <c r="A188">
        <v>150</v>
      </c>
      <c r="B188" t="s">
        <v>2540</v>
      </c>
      <c r="C188">
        <v>20200727</v>
      </c>
      <c r="D188" t="s">
        <v>518</v>
      </c>
      <c r="E188" s="33" t="s">
        <v>2812</v>
      </c>
      <c r="F188" s="33" t="s">
        <v>2813</v>
      </c>
      <c r="G188">
        <v>3</v>
      </c>
      <c r="H188" s="31" t="s">
        <v>527</v>
      </c>
      <c r="I188" s="31" t="s">
        <v>2456</v>
      </c>
      <c r="J188" s="31" t="s">
        <v>31</v>
      </c>
      <c r="K188" s="31" t="s">
        <v>530</v>
      </c>
      <c r="L188" s="31" t="s">
        <v>530</v>
      </c>
      <c r="M188" s="31" t="s">
        <v>530</v>
      </c>
      <c r="N188" s="31" t="s">
        <v>2457</v>
      </c>
      <c r="O188" s="31" t="s">
        <v>2820</v>
      </c>
    </row>
    <row r="189" spans="1:15" x14ac:dyDescent="0.2">
      <c r="A189">
        <v>150</v>
      </c>
      <c r="B189" t="s">
        <v>2540</v>
      </c>
      <c r="C189">
        <v>20200727</v>
      </c>
      <c r="D189" t="s">
        <v>518</v>
      </c>
      <c r="E189" s="33" t="s">
        <v>858</v>
      </c>
      <c r="F189" s="33" t="s">
        <v>2814</v>
      </c>
      <c r="G189">
        <v>3</v>
      </c>
      <c r="H189" s="31" t="s">
        <v>527</v>
      </c>
      <c r="I189" s="31" t="s">
        <v>2456</v>
      </c>
      <c r="J189" s="31" t="s">
        <v>31</v>
      </c>
      <c r="K189" s="31" t="s">
        <v>530</v>
      </c>
      <c r="L189" s="31" t="s">
        <v>530</v>
      </c>
      <c r="M189" s="31" t="s">
        <v>530</v>
      </c>
      <c r="N189" s="31" t="s">
        <v>2457</v>
      </c>
    </row>
    <row r="190" spans="1:15" x14ac:dyDescent="0.2">
      <c r="A190">
        <v>150</v>
      </c>
      <c r="B190" t="s">
        <v>2540</v>
      </c>
      <c r="C190">
        <v>20200727</v>
      </c>
      <c r="D190" t="s">
        <v>518</v>
      </c>
      <c r="E190" s="33" t="s">
        <v>860</v>
      </c>
      <c r="F190" s="33" t="s">
        <v>2815</v>
      </c>
      <c r="G190">
        <v>3</v>
      </c>
      <c r="H190" s="31" t="s">
        <v>527</v>
      </c>
      <c r="I190" s="31" t="s">
        <v>2456</v>
      </c>
      <c r="J190" s="31" t="s">
        <v>31</v>
      </c>
      <c r="K190" s="31" t="s">
        <v>530</v>
      </c>
      <c r="L190" s="31" t="s">
        <v>530</v>
      </c>
      <c r="M190" s="31" t="s">
        <v>530</v>
      </c>
      <c r="N190" s="31" t="s">
        <v>2457</v>
      </c>
      <c r="O190" s="31" t="s">
        <v>2821</v>
      </c>
    </row>
    <row r="191" spans="1:15" x14ac:dyDescent="0.2">
      <c r="A191">
        <v>150</v>
      </c>
      <c r="B191" t="s">
        <v>2540</v>
      </c>
      <c r="C191">
        <v>20200727</v>
      </c>
      <c r="D191" t="s">
        <v>518</v>
      </c>
      <c r="E191" s="33" t="s">
        <v>2816</v>
      </c>
      <c r="F191" s="33" t="s">
        <v>2817</v>
      </c>
      <c r="G191">
        <v>3</v>
      </c>
      <c r="H191" s="31" t="s">
        <v>527</v>
      </c>
      <c r="I191" s="31" t="s">
        <v>2456</v>
      </c>
      <c r="J191" s="31" t="s">
        <v>31</v>
      </c>
      <c r="K191" s="31" t="s">
        <v>530</v>
      </c>
      <c r="L191" s="31" t="s">
        <v>530</v>
      </c>
      <c r="M191" s="31" t="s">
        <v>530</v>
      </c>
      <c r="N191" s="31" t="s">
        <v>2457</v>
      </c>
      <c r="O191" s="31" t="s">
        <v>2822</v>
      </c>
    </row>
    <row r="192" spans="1:15" x14ac:dyDescent="0.2">
      <c r="A192">
        <v>150</v>
      </c>
      <c r="B192" t="s">
        <v>2540</v>
      </c>
      <c r="C192">
        <v>20200727</v>
      </c>
      <c r="D192" t="s">
        <v>518</v>
      </c>
      <c r="E192" s="33" t="s">
        <v>2818</v>
      </c>
      <c r="F192" s="33" t="s">
        <v>2819</v>
      </c>
      <c r="G192">
        <v>3</v>
      </c>
      <c r="H192" s="31" t="s">
        <v>527</v>
      </c>
      <c r="I192" s="31" t="s">
        <v>2456</v>
      </c>
      <c r="J192" s="31" t="s">
        <v>31</v>
      </c>
      <c r="K192" s="31" t="s">
        <v>530</v>
      </c>
      <c r="L192" s="31" t="s">
        <v>530</v>
      </c>
      <c r="M192" s="31" t="s">
        <v>530</v>
      </c>
      <c r="N192" s="31" t="s">
        <v>2457</v>
      </c>
    </row>
    <row r="193" spans="1:15" x14ac:dyDescent="0.2">
      <c r="A193">
        <v>151</v>
      </c>
      <c r="B193" t="s">
        <v>2540</v>
      </c>
      <c r="C193">
        <v>20200728</v>
      </c>
      <c r="D193" t="s">
        <v>518</v>
      </c>
      <c r="E193" s="33" t="s">
        <v>243</v>
      </c>
      <c r="F193" s="33" t="s">
        <v>755</v>
      </c>
      <c r="G193">
        <v>3</v>
      </c>
      <c r="H193" s="31" t="s">
        <v>527</v>
      </c>
      <c r="I193" s="31" t="s">
        <v>2456</v>
      </c>
      <c r="J193" s="31" t="s">
        <v>744</v>
      </c>
      <c r="K193" s="31" t="s">
        <v>530</v>
      </c>
      <c r="L193" s="31" t="s">
        <v>530</v>
      </c>
      <c r="M193" s="31" t="s">
        <v>530</v>
      </c>
      <c r="N193" s="32" t="s">
        <v>2823</v>
      </c>
      <c r="O193" s="31" t="s">
        <v>2825</v>
      </c>
    </row>
    <row r="194" spans="1:15" x14ac:dyDescent="0.2">
      <c r="A194">
        <v>151</v>
      </c>
      <c r="B194" t="s">
        <v>2540</v>
      </c>
      <c r="C194">
        <v>20200728</v>
      </c>
      <c r="D194" t="s">
        <v>518</v>
      </c>
      <c r="E194" s="33" t="s">
        <v>877</v>
      </c>
      <c r="F194" s="33" t="s">
        <v>2824</v>
      </c>
      <c r="G194">
        <v>3</v>
      </c>
      <c r="H194" s="31" t="s">
        <v>527</v>
      </c>
      <c r="I194" s="31" t="s">
        <v>2456</v>
      </c>
      <c r="J194" s="31" t="s">
        <v>744</v>
      </c>
      <c r="K194" s="31" t="s">
        <v>530</v>
      </c>
      <c r="L194" s="31" t="s">
        <v>530</v>
      </c>
      <c r="M194" s="31" t="s">
        <v>530</v>
      </c>
      <c r="N194" s="32" t="s">
        <v>2823</v>
      </c>
    </row>
    <row r="195" spans="1:15" x14ac:dyDescent="0.2">
      <c r="A195">
        <v>152</v>
      </c>
      <c r="B195" t="s">
        <v>2540</v>
      </c>
      <c r="C195">
        <v>20200729</v>
      </c>
      <c r="D195" t="s">
        <v>518</v>
      </c>
      <c r="E195" s="33" t="s">
        <v>2827</v>
      </c>
      <c r="F195" s="33" t="s">
        <v>2826</v>
      </c>
      <c r="G195">
        <v>3</v>
      </c>
      <c r="H195" s="31" t="s">
        <v>527</v>
      </c>
      <c r="I195" s="31" t="s">
        <v>2456</v>
      </c>
      <c r="J195" s="31" t="s">
        <v>31</v>
      </c>
      <c r="K195" s="31" t="s">
        <v>530</v>
      </c>
      <c r="L195" s="31" t="s">
        <v>530</v>
      </c>
      <c r="M195" s="31" t="s">
        <v>530</v>
      </c>
      <c r="N195" s="31" t="s">
        <v>2830</v>
      </c>
      <c r="O195" s="31" t="s">
        <v>2831</v>
      </c>
    </row>
    <row r="196" spans="1:15" x14ac:dyDescent="0.2">
      <c r="A196">
        <v>152</v>
      </c>
      <c r="B196" t="s">
        <v>2540</v>
      </c>
      <c r="C196">
        <v>20200729</v>
      </c>
      <c r="D196" t="s">
        <v>518</v>
      </c>
      <c r="E196" s="33" t="s">
        <v>2828</v>
      </c>
      <c r="F196" s="33" t="s">
        <v>2829</v>
      </c>
      <c r="G196">
        <v>3</v>
      </c>
      <c r="H196" s="31" t="s">
        <v>527</v>
      </c>
      <c r="I196" s="31" t="s">
        <v>2456</v>
      </c>
      <c r="J196" s="31" t="s">
        <v>31</v>
      </c>
      <c r="K196" s="31" t="s">
        <v>530</v>
      </c>
      <c r="L196" s="31" t="s">
        <v>530</v>
      </c>
      <c r="M196" s="31" t="s">
        <v>530</v>
      </c>
      <c r="N196" s="31" t="s">
        <v>2830</v>
      </c>
    </row>
    <row r="197" spans="1:15" x14ac:dyDescent="0.2">
      <c r="A197">
        <v>153</v>
      </c>
      <c r="B197" t="s">
        <v>2540</v>
      </c>
      <c r="C197">
        <v>20200729</v>
      </c>
      <c r="D197" t="s">
        <v>518</v>
      </c>
      <c r="E197" s="33" t="s">
        <v>685</v>
      </c>
      <c r="F197" s="33" t="s">
        <v>591</v>
      </c>
      <c r="G197">
        <v>3</v>
      </c>
      <c r="H197" s="31" t="s">
        <v>527</v>
      </c>
      <c r="I197" s="31" t="s">
        <v>2456</v>
      </c>
      <c r="J197" s="31" t="s">
        <v>31</v>
      </c>
      <c r="K197" s="31" t="s">
        <v>530</v>
      </c>
      <c r="L197" s="31" t="s">
        <v>530</v>
      </c>
      <c r="M197" s="31" t="s">
        <v>530</v>
      </c>
      <c r="N197" s="31" t="s">
        <v>2830</v>
      </c>
      <c r="O197" s="31" t="s">
        <v>2832</v>
      </c>
    </row>
    <row r="198" spans="1:15" x14ac:dyDescent="0.2">
      <c r="A198">
        <v>153</v>
      </c>
      <c r="B198" t="s">
        <v>2540</v>
      </c>
      <c r="C198">
        <v>20200729</v>
      </c>
      <c r="D198" t="s">
        <v>518</v>
      </c>
      <c r="E198" s="33" t="s">
        <v>820</v>
      </c>
      <c r="F198" s="33" t="s">
        <v>221</v>
      </c>
      <c r="G198">
        <v>3</v>
      </c>
      <c r="H198" s="31" t="s">
        <v>527</v>
      </c>
      <c r="I198" s="31" t="s">
        <v>2456</v>
      </c>
      <c r="J198" s="31" t="s">
        <v>31</v>
      </c>
      <c r="K198" s="31" t="s">
        <v>530</v>
      </c>
      <c r="L198" s="31" t="s">
        <v>530</v>
      </c>
      <c r="M198" s="31" t="s">
        <v>530</v>
      </c>
      <c r="N198" s="31" t="s">
        <v>2830</v>
      </c>
    </row>
    <row r="199" spans="1:15" x14ac:dyDescent="0.2">
      <c r="A199">
        <v>154</v>
      </c>
      <c r="B199" t="s">
        <v>2540</v>
      </c>
      <c r="C199">
        <v>20200729</v>
      </c>
      <c r="D199" t="s">
        <v>518</v>
      </c>
      <c r="E199" s="33" t="s">
        <v>2685</v>
      </c>
      <c r="F199" s="33" t="s">
        <v>2833</v>
      </c>
      <c r="G199">
        <v>3</v>
      </c>
      <c r="H199" s="31" t="s">
        <v>527</v>
      </c>
      <c r="I199" s="31" t="s">
        <v>2456</v>
      </c>
      <c r="J199" s="31" t="s">
        <v>2015</v>
      </c>
      <c r="K199" s="31" t="s">
        <v>530</v>
      </c>
      <c r="L199" s="31" t="s">
        <v>530</v>
      </c>
      <c r="M199" s="31" t="s">
        <v>530</v>
      </c>
      <c r="N199" s="31" t="s">
        <v>2835</v>
      </c>
    </row>
    <row r="200" spans="1:15" x14ac:dyDescent="0.2">
      <c r="A200">
        <v>154</v>
      </c>
      <c r="B200" t="s">
        <v>2540</v>
      </c>
      <c r="C200">
        <v>20200729</v>
      </c>
      <c r="D200" t="s">
        <v>518</v>
      </c>
      <c r="E200" s="33" t="s">
        <v>581</v>
      </c>
      <c r="F200" s="33" t="s">
        <v>2834</v>
      </c>
      <c r="G200">
        <v>3</v>
      </c>
      <c r="H200" s="31" t="s">
        <v>527</v>
      </c>
      <c r="I200" s="31" t="s">
        <v>2456</v>
      </c>
      <c r="J200" s="31" t="s">
        <v>2015</v>
      </c>
      <c r="K200" s="31" t="s">
        <v>530</v>
      </c>
      <c r="L200" s="31" t="s">
        <v>530</v>
      </c>
      <c r="M200" s="31" t="s">
        <v>530</v>
      </c>
      <c r="N200" s="31" t="s">
        <v>2835</v>
      </c>
    </row>
    <row r="201" spans="1:15" x14ac:dyDescent="0.2">
      <c r="A201">
        <v>154</v>
      </c>
      <c r="B201" t="s">
        <v>2540</v>
      </c>
      <c r="C201">
        <v>20200729</v>
      </c>
      <c r="D201" t="s">
        <v>518</v>
      </c>
      <c r="E201" s="33" t="s">
        <v>280</v>
      </c>
      <c r="F201" s="33" t="s">
        <v>280</v>
      </c>
      <c r="G201">
        <v>3</v>
      </c>
      <c r="H201" s="31" t="s">
        <v>527</v>
      </c>
      <c r="I201" s="31" t="s">
        <v>2456</v>
      </c>
      <c r="J201" s="31" t="s">
        <v>2015</v>
      </c>
      <c r="K201" s="31" t="s">
        <v>530</v>
      </c>
      <c r="L201" s="31" t="s">
        <v>530</v>
      </c>
      <c r="M201" s="31" t="s">
        <v>530</v>
      </c>
      <c r="N201" s="31" t="s">
        <v>2835</v>
      </c>
    </row>
    <row r="202" spans="1:15" x14ac:dyDescent="0.2">
      <c r="A202">
        <v>155</v>
      </c>
      <c r="B202" t="s">
        <v>2540</v>
      </c>
      <c r="C202">
        <v>20200731</v>
      </c>
      <c r="D202" t="s">
        <v>518</v>
      </c>
      <c r="E202" s="33" t="s">
        <v>2684</v>
      </c>
      <c r="F202" s="33" t="s">
        <v>1114</v>
      </c>
      <c r="G202">
        <v>3</v>
      </c>
      <c r="H202" s="31" t="s">
        <v>527</v>
      </c>
      <c r="I202" s="31" t="s">
        <v>897</v>
      </c>
      <c r="J202" s="31" t="s">
        <v>898</v>
      </c>
      <c r="K202" s="31" t="s">
        <v>530</v>
      </c>
      <c r="L202" s="31" t="s">
        <v>530</v>
      </c>
      <c r="M202" s="31" t="s">
        <v>534</v>
      </c>
      <c r="N202" s="31" t="s">
        <v>1329</v>
      </c>
    </row>
    <row r="203" spans="1:15" x14ac:dyDescent="0.2">
      <c r="A203">
        <v>156</v>
      </c>
      <c r="B203" t="s">
        <v>2540</v>
      </c>
      <c r="C203">
        <v>20200731</v>
      </c>
      <c r="D203" t="s">
        <v>518</v>
      </c>
      <c r="E203" s="33" t="s">
        <v>827</v>
      </c>
      <c r="F203" s="33" t="s">
        <v>2836</v>
      </c>
      <c r="G203">
        <v>3</v>
      </c>
      <c r="H203" s="31" t="s">
        <v>527</v>
      </c>
      <c r="I203" s="31" t="s">
        <v>897</v>
      </c>
      <c r="J203" s="31" t="s">
        <v>898</v>
      </c>
      <c r="K203" s="31" t="s">
        <v>530</v>
      </c>
      <c r="L203" s="31" t="s">
        <v>530</v>
      </c>
      <c r="M203" s="31" t="s">
        <v>534</v>
      </c>
      <c r="N203" s="31" t="s">
        <v>1172</v>
      </c>
    </row>
    <row r="204" spans="1:15" x14ac:dyDescent="0.2">
      <c r="A204">
        <v>157</v>
      </c>
      <c r="B204" t="s">
        <v>2540</v>
      </c>
      <c r="C204">
        <v>20200801</v>
      </c>
      <c r="D204" t="s">
        <v>518</v>
      </c>
      <c r="E204" s="33" t="s">
        <v>878</v>
      </c>
      <c r="F204" s="33" t="s">
        <v>70</v>
      </c>
      <c r="G204">
        <v>3</v>
      </c>
      <c r="H204" s="31" t="s">
        <v>527</v>
      </c>
      <c r="I204" s="31" t="s">
        <v>897</v>
      </c>
      <c r="J204" s="31" t="s">
        <v>898</v>
      </c>
      <c r="K204" s="31" t="s">
        <v>530</v>
      </c>
      <c r="L204" s="31" t="s">
        <v>530</v>
      </c>
      <c r="M204" s="31" t="s">
        <v>530</v>
      </c>
      <c r="N204" s="31" t="s">
        <v>899</v>
      </c>
    </row>
    <row r="205" spans="1:15" x14ac:dyDescent="0.2">
      <c r="A205">
        <v>158</v>
      </c>
      <c r="B205" t="s">
        <v>2540</v>
      </c>
      <c r="C205">
        <v>20200802</v>
      </c>
      <c r="D205" t="s">
        <v>518</v>
      </c>
      <c r="E205" s="33" t="s">
        <v>236</v>
      </c>
      <c r="F205" s="33" t="s">
        <v>84</v>
      </c>
      <c r="G205">
        <v>3</v>
      </c>
      <c r="H205" s="31" t="s">
        <v>527</v>
      </c>
      <c r="I205" s="31" t="s">
        <v>897</v>
      </c>
      <c r="J205" s="31" t="s">
        <v>898</v>
      </c>
      <c r="K205" s="31" t="s">
        <v>530</v>
      </c>
      <c r="L205" s="31" t="s">
        <v>530</v>
      </c>
      <c r="M205" s="31" t="s">
        <v>534</v>
      </c>
      <c r="N205" s="31" t="s">
        <v>902</v>
      </c>
      <c r="O205" s="31" t="s">
        <v>2837</v>
      </c>
    </row>
    <row r="206" spans="1:15" x14ac:dyDescent="0.2">
      <c r="A206">
        <v>159</v>
      </c>
      <c r="B206" t="s">
        <v>2540</v>
      </c>
      <c r="C206">
        <v>20200804</v>
      </c>
      <c r="D206" t="s">
        <v>518</v>
      </c>
      <c r="E206" s="33" t="s">
        <v>165</v>
      </c>
      <c r="F206" s="33" t="s">
        <v>254</v>
      </c>
      <c r="G206">
        <v>3</v>
      </c>
      <c r="H206" s="31" t="s">
        <v>527</v>
      </c>
      <c r="I206" s="31" t="s">
        <v>46</v>
      </c>
      <c r="J206" s="31" t="s">
        <v>2838</v>
      </c>
      <c r="K206" s="31" t="s">
        <v>530</v>
      </c>
      <c r="L206" s="31" t="s">
        <v>530</v>
      </c>
      <c r="M206" s="31" t="s">
        <v>530</v>
      </c>
      <c r="N206" s="31" t="s">
        <v>2839</v>
      </c>
    </row>
    <row r="207" spans="1:15" x14ac:dyDescent="0.2">
      <c r="A207">
        <v>160</v>
      </c>
      <c r="B207" t="s">
        <v>2540</v>
      </c>
      <c r="C207">
        <v>20200805</v>
      </c>
      <c r="D207" t="s">
        <v>518</v>
      </c>
      <c r="E207" s="33" t="s">
        <v>133</v>
      </c>
      <c r="F207" s="33" t="s">
        <v>353</v>
      </c>
      <c r="G207">
        <v>3</v>
      </c>
      <c r="H207" s="31" t="s">
        <v>527</v>
      </c>
      <c r="I207" s="31" t="s">
        <v>46</v>
      </c>
      <c r="J207" s="31" t="s">
        <v>2840</v>
      </c>
      <c r="K207" s="31" t="s">
        <v>530</v>
      </c>
      <c r="L207" s="31" t="s">
        <v>530</v>
      </c>
      <c r="M207" s="31" t="s">
        <v>534</v>
      </c>
      <c r="N207" s="31" t="s">
        <v>2841</v>
      </c>
      <c r="O207" s="31" t="s">
        <v>2842</v>
      </c>
    </row>
    <row r="208" spans="1:15" x14ac:dyDescent="0.2">
      <c r="A208">
        <v>161</v>
      </c>
      <c r="B208" t="s">
        <v>2540</v>
      </c>
      <c r="C208">
        <v>20200805</v>
      </c>
      <c r="D208" t="s">
        <v>518</v>
      </c>
      <c r="E208" s="33" t="s">
        <v>579</v>
      </c>
      <c r="F208" s="33" t="s">
        <v>263</v>
      </c>
      <c r="G208">
        <v>3</v>
      </c>
      <c r="H208" s="31" t="s">
        <v>527</v>
      </c>
      <c r="I208" s="31" t="s">
        <v>46</v>
      </c>
      <c r="J208" s="31" t="s">
        <v>887</v>
      </c>
      <c r="K208" s="31" t="s">
        <v>530</v>
      </c>
      <c r="L208" s="31" t="s">
        <v>530</v>
      </c>
      <c r="M208" s="31" t="s">
        <v>534</v>
      </c>
      <c r="N208" s="31" t="s">
        <v>2843</v>
      </c>
    </row>
    <row r="209" spans="1:15" x14ac:dyDescent="0.2">
      <c r="A209">
        <v>161</v>
      </c>
      <c r="B209" t="s">
        <v>2540</v>
      </c>
      <c r="C209">
        <v>20200805</v>
      </c>
      <c r="D209" t="s">
        <v>518</v>
      </c>
      <c r="E209" s="33" t="s">
        <v>1115</v>
      </c>
      <c r="F209" s="33" t="s">
        <v>65</v>
      </c>
      <c r="G209">
        <v>3</v>
      </c>
      <c r="H209" s="31" t="s">
        <v>527</v>
      </c>
      <c r="I209" s="31" t="s">
        <v>46</v>
      </c>
      <c r="J209" s="31" t="s">
        <v>887</v>
      </c>
      <c r="K209" s="31" t="s">
        <v>530</v>
      </c>
      <c r="L209" s="31" t="s">
        <v>530</v>
      </c>
      <c r="M209" s="31" t="s">
        <v>534</v>
      </c>
      <c r="N209" s="31" t="s">
        <v>2843</v>
      </c>
    </row>
    <row r="210" spans="1:15" x14ac:dyDescent="0.2">
      <c r="A210">
        <v>162</v>
      </c>
      <c r="B210" t="s">
        <v>2540</v>
      </c>
      <c r="C210">
        <v>20201018</v>
      </c>
      <c r="D210" t="s">
        <v>518</v>
      </c>
      <c r="E210" s="33" t="s">
        <v>2415</v>
      </c>
      <c r="F210" s="33" t="s">
        <v>257</v>
      </c>
      <c r="G210">
        <v>2</v>
      </c>
      <c r="H210" s="31" t="s">
        <v>1178</v>
      </c>
      <c r="I210" s="31" t="s">
        <v>2456</v>
      </c>
      <c r="J210" s="31" t="s">
        <v>31</v>
      </c>
      <c r="K210" s="31" t="s">
        <v>530</v>
      </c>
      <c r="L210" s="31" t="s">
        <v>530</v>
      </c>
      <c r="M210" s="31" t="s">
        <v>530</v>
      </c>
      <c r="N210" s="31" t="s">
        <v>2811</v>
      </c>
    </row>
    <row r="211" spans="1:15" x14ac:dyDescent="0.2">
      <c r="A211">
        <v>163</v>
      </c>
      <c r="B211" t="s">
        <v>2540</v>
      </c>
      <c r="C211">
        <v>20201018</v>
      </c>
      <c r="D211" t="s">
        <v>518</v>
      </c>
      <c r="E211" s="33" t="s">
        <v>576</v>
      </c>
      <c r="F211" s="33" t="s">
        <v>1090</v>
      </c>
      <c r="G211">
        <v>2</v>
      </c>
      <c r="H211" s="31" t="s">
        <v>1178</v>
      </c>
      <c r="I211" s="31" t="s">
        <v>2456</v>
      </c>
      <c r="J211" s="31" t="s">
        <v>31</v>
      </c>
      <c r="K211" s="31" t="s">
        <v>530</v>
      </c>
      <c r="L211" s="31" t="s">
        <v>530</v>
      </c>
      <c r="M211" s="31" t="s">
        <v>530</v>
      </c>
      <c r="N211" s="31" t="s">
        <v>2811</v>
      </c>
      <c r="O211" s="31" t="s">
        <v>3129</v>
      </c>
    </row>
    <row r="212" spans="1:15" x14ac:dyDescent="0.2">
      <c r="A212">
        <v>163</v>
      </c>
      <c r="B212" t="s">
        <v>2540</v>
      </c>
      <c r="C212">
        <v>20201018</v>
      </c>
      <c r="D212" t="s">
        <v>518</v>
      </c>
      <c r="E212" s="33" t="s">
        <v>808</v>
      </c>
      <c r="F212" s="33" t="s">
        <v>288</v>
      </c>
      <c r="G212">
        <v>2</v>
      </c>
      <c r="H212" s="31" t="s">
        <v>1178</v>
      </c>
      <c r="I212" s="31" t="s">
        <v>2456</v>
      </c>
      <c r="J212" s="31" t="s">
        <v>31</v>
      </c>
      <c r="K212" s="31" t="s">
        <v>530</v>
      </c>
      <c r="L212" s="31" t="s">
        <v>530</v>
      </c>
      <c r="M212" s="31" t="s">
        <v>530</v>
      </c>
      <c r="N212" s="31" t="s">
        <v>2811</v>
      </c>
    </row>
    <row r="213" spans="1:15" x14ac:dyDescent="0.2">
      <c r="A213">
        <v>164</v>
      </c>
      <c r="B213" t="s">
        <v>2540</v>
      </c>
      <c r="C213">
        <v>20201019</v>
      </c>
      <c r="D213" t="s">
        <v>518</v>
      </c>
      <c r="E213" s="33" t="s">
        <v>2666</v>
      </c>
      <c r="F213" s="33" t="s">
        <v>171</v>
      </c>
      <c r="G213">
        <v>2</v>
      </c>
      <c r="H213" s="31" t="s">
        <v>1178</v>
      </c>
      <c r="I213" s="31" t="s">
        <v>2456</v>
      </c>
      <c r="J213" s="31" t="s">
        <v>31</v>
      </c>
      <c r="K213" s="31" t="s">
        <v>530</v>
      </c>
      <c r="L213" s="31" t="s">
        <v>530</v>
      </c>
      <c r="M213" s="31" t="s">
        <v>530</v>
      </c>
      <c r="N213" s="31" t="s">
        <v>2457</v>
      </c>
      <c r="O213" t="s">
        <v>3130</v>
      </c>
    </row>
    <row r="214" spans="1:15" x14ac:dyDescent="0.2">
      <c r="A214">
        <v>164</v>
      </c>
      <c r="B214" t="s">
        <v>2540</v>
      </c>
      <c r="C214">
        <v>20201019</v>
      </c>
      <c r="D214" t="s">
        <v>518</v>
      </c>
      <c r="E214" s="33" t="s">
        <v>236</v>
      </c>
      <c r="F214" s="33" t="s">
        <v>1111</v>
      </c>
      <c r="G214">
        <v>2</v>
      </c>
      <c r="H214" s="31" t="s">
        <v>1178</v>
      </c>
      <c r="I214" s="31" t="s">
        <v>2456</v>
      </c>
      <c r="J214" s="31" t="s">
        <v>31</v>
      </c>
      <c r="K214" s="31" t="s">
        <v>530</v>
      </c>
      <c r="L214" s="31" t="s">
        <v>530</v>
      </c>
      <c r="M214" s="31" t="s">
        <v>530</v>
      </c>
      <c r="N214" s="31" t="s">
        <v>2457</v>
      </c>
    </row>
    <row r="215" spans="1:15" x14ac:dyDescent="0.2">
      <c r="A215">
        <v>164</v>
      </c>
      <c r="B215" t="s">
        <v>2540</v>
      </c>
      <c r="C215">
        <v>20201019</v>
      </c>
      <c r="D215" t="s">
        <v>518</v>
      </c>
      <c r="E215" s="33" t="s">
        <v>1116</v>
      </c>
      <c r="F215" s="33" t="s">
        <v>3131</v>
      </c>
      <c r="G215">
        <v>2</v>
      </c>
      <c r="H215" s="31" t="s">
        <v>1178</v>
      </c>
      <c r="I215" s="31" t="s">
        <v>2456</v>
      </c>
      <c r="J215" s="31" t="s">
        <v>31</v>
      </c>
      <c r="K215" s="31" t="s">
        <v>530</v>
      </c>
      <c r="L215" s="31" t="s">
        <v>530</v>
      </c>
      <c r="M215" s="31" t="s">
        <v>530</v>
      </c>
      <c r="N215" s="31" t="s">
        <v>2457</v>
      </c>
      <c r="O215" t="s">
        <v>3132</v>
      </c>
    </row>
    <row r="216" spans="1:15" x14ac:dyDescent="0.2">
      <c r="A216">
        <v>164</v>
      </c>
      <c r="B216" t="s">
        <v>2540</v>
      </c>
      <c r="C216">
        <v>20201019</v>
      </c>
      <c r="D216" t="s">
        <v>518</v>
      </c>
      <c r="E216" s="33" t="s">
        <v>1598</v>
      </c>
      <c r="F216" s="33" t="s">
        <v>125</v>
      </c>
      <c r="G216">
        <v>2</v>
      </c>
      <c r="H216" s="31" t="s">
        <v>1178</v>
      </c>
      <c r="I216" s="31" t="s">
        <v>2456</v>
      </c>
      <c r="J216" s="31" t="s">
        <v>31</v>
      </c>
      <c r="K216" s="31" t="s">
        <v>530</v>
      </c>
      <c r="L216" s="31" t="s">
        <v>530</v>
      </c>
      <c r="M216" s="31" t="s">
        <v>530</v>
      </c>
      <c r="N216" s="31" t="s">
        <v>2457</v>
      </c>
    </row>
    <row r="217" spans="1:15" x14ac:dyDescent="0.2">
      <c r="A217">
        <v>165</v>
      </c>
      <c r="B217" t="s">
        <v>2540</v>
      </c>
      <c r="C217">
        <v>20201020</v>
      </c>
      <c r="D217" t="s">
        <v>518</v>
      </c>
      <c r="E217" s="33" t="s">
        <v>2411</v>
      </c>
      <c r="F217" s="33" t="s">
        <v>3133</v>
      </c>
      <c r="G217">
        <v>2</v>
      </c>
      <c r="H217" s="31" t="s">
        <v>1178</v>
      </c>
      <c r="I217" s="31" t="s">
        <v>2456</v>
      </c>
      <c r="J217" s="31" t="s">
        <v>2360</v>
      </c>
      <c r="K217" s="31" t="s">
        <v>530</v>
      </c>
      <c r="L217" s="31" t="s">
        <v>530</v>
      </c>
      <c r="M217" s="31" t="s">
        <v>530</v>
      </c>
      <c r="N217" s="31" t="s">
        <v>2823</v>
      </c>
      <c r="O217" s="31" t="s">
        <v>3134</v>
      </c>
    </row>
    <row r="218" spans="1:15" x14ac:dyDescent="0.2">
      <c r="A218">
        <v>166</v>
      </c>
      <c r="B218" t="s">
        <v>2540</v>
      </c>
      <c r="C218">
        <v>20201020</v>
      </c>
      <c r="D218" t="s">
        <v>518</v>
      </c>
      <c r="E218" s="33" t="s">
        <v>56</v>
      </c>
      <c r="F218" s="33" t="s">
        <v>87</v>
      </c>
      <c r="G218">
        <v>2</v>
      </c>
      <c r="H218" s="31" t="s">
        <v>1178</v>
      </c>
      <c r="I218" s="31" t="s">
        <v>2456</v>
      </c>
      <c r="J218" s="31" t="s">
        <v>2360</v>
      </c>
      <c r="K218" s="31" t="s">
        <v>530</v>
      </c>
      <c r="L218" s="31" t="s">
        <v>530</v>
      </c>
      <c r="M218" s="31" t="s">
        <v>530</v>
      </c>
      <c r="N218" s="31" t="s">
        <v>2823</v>
      </c>
    </row>
    <row r="219" spans="1:15" x14ac:dyDescent="0.2">
      <c r="A219">
        <v>167</v>
      </c>
      <c r="B219" t="s">
        <v>2540</v>
      </c>
      <c r="C219">
        <v>20201021</v>
      </c>
      <c r="D219" t="s">
        <v>518</v>
      </c>
      <c r="E219" s="33" t="s">
        <v>233</v>
      </c>
      <c r="F219" s="33" t="s">
        <v>193</v>
      </c>
      <c r="G219">
        <v>2</v>
      </c>
      <c r="H219" s="31" t="s">
        <v>1178</v>
      </c>
      <c r="I219" s="31" t="s">
        <v>2456</v>
      </c>
      <c r="J219" s="31" t="s">
        <v>31</v>
      </c>
      <c r="K219" s="31" t="s">
        <v>530</v>
      </c>
      <c r="L219" s="31" t="s">
        <v>530</v>
      </c>
      <c r="M219" s="31" t="s">
        <v>530</v>
      </c>
      <c r="N219" s="31" t="s">
        <v>2835</v>
      </c>
    </row>
    <row r="220" spans="1:15" x14ac:dyDescent="0.2">
      <c r="B220" t="s">
        <v>2540</v>
      </c>
      <c r="D220" t="s">
        <v>518</v>
      </c>
      <c r="G220">
        <v>2</v>
      </c>
      <c r="H220" s="31" t="s">
        <v>1178</v>
      </c>
      <c r="I220" s="31" t="s">
        <v>2456</v>
      </c>
    </row>
    <row r="221" spans="1:15" x14ac:dyDescent="0.2">
      <c r="B221" t="s">
        <v>2540</v>
      </c>
      <c r="D221" t="s">
        <v>518</v>
      </c>
      <c r="G221">
        <v>2</v>
      </c>
      <c r="H221" s="31" t="s">
        <v>1178</v>
      </c>
      <c r="I221" s="31" t="s">
        <v>2456</v>
      </c>
    </row>
    <row r="222" spans="1:15" x14ac:dyDescent="0.2">
      <c r="G222">
        <v>2</v>
      </c>
      <c r="H222" s="31" t="s">
        <v>1178</v>
      </c>
      <c r="I222" s="31" t="s">
        <v>2456</v>
      </c>
    </row>
    <row r="223" spans="1:15" x14ac:dyDescent="0.2">
      <c r="G223">
        <v>2</v>
      </c>
      <c r="H223" s="31" t="s">
        <v>1178</v>
      </c>
      <c r="I223" s="31" t="s">
        <v>2456</v>
      </c>
    </row>
    <row r="224" spans="1:15" x14ac:dyDescent="0.2">
      <c r="G224">
        <v>2</v>
      </c>
      <c r="H224" s="31" t="s">
        <v>1178</v>
      </c>
      <c r="I224" s="31" t="s">
        <v>2456</v>
      </c>
    </row>
    <row r="225" spans="7:9" x14ac:dyDescent="0.2">
      <c r="G225">
        <v>2</v>
      </c>
      <c r="H225" s="31" t="s">
        <v>1178</v>
      </c>
      <c r="I225" s="31" t="s">
        <v>2456</v>
      </c>
    </row>
    <row r="226" spans="7:9" x14ac:dyDescent="0.2">
      <c r="G226">
        <v>2</v>
      </c>
      <c r="H226" s="31" t="s">
        <v>1178</v>
      </c>
      <c r="I226" s="31" t="s">
        <v>2456</v>
      </c>
    </row>
    <row r="227" spans="7:9" x14ac:dyDescent="0.2">
      <c r="G227">
        <v>2</v>
      </c>
      <c r="H227" s="31" t="s">
        <v>1178</v>
      </c>
      <c r="I227" s="31" t="s">
        <v>2456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F297-664F-3848-8EB5-FD2B8F0D9EA9}">
  <dimension ref="A1:Z22"/>
  <sheetViews>
    <sheetView zoomScale="120" zoomScaleNormal="120" workbookViewId="0">
      <selection activeCell="B23" sqref="B23:B24"/>
    </sheetView>
  </sheetViews>
  <sheetFormatPr baseColWidth="10" defaultRowHeight="15" x14ac:dyDescent="0.2"/>
  <cols>
    <col min="1" max="1" width="58.83203125" customWidth="1"/>
    <col min="2" max="2" width="24.1640625" bestFit="1" customWidth="1"/>
    <col min="5" max="5" width="28.33203125" bestFit="1" customWidth="1"/>
  </cols>
  <sheetData>
    <row r="1" spans="1:26" x14ac:dyDescent="0.2">
      <c r="A1" t="s">
        <v>1195</v>
      </c>
      <c r="B1" t="s">
        <v>1196</v>
      </c>
      <c r="C1" t="s">
        <v>1204</v>
      </c>
      <c r="D1" t="s">
        <v>1207</v>
      </c>
    </row>
    <row r="2" spans="1:26" s="17" customFormat="1" x14ac:dyDescent="0.2">
      <c r="A2" s="17" t="s">
        <v>1210</v>
      </c>
      <c r="B2" s="17" t="s">
        <v>1200</v>
      </c>
    </row>
    <row r="3" spans="1:26" s="17" customFormat="1" x14ac:dyDescent="0.2">
      <c r="A3" s="17" t="s">
        <v>1209</v>
      </c>
      <c r="B3" s="17" t="s">
        <v>1200</v>
      </c>
    </row>
    <row r="4" spans="1:26" s="2" customFormat="1" x14ac:dyDescent="0.2">
      <c r="A4" s="2" t="s">
        <v>1201</v>
      </c>
      <c r="B4" s="2" t="s">
        <v>1200</v>
      </c>
    </row>
    <row r="5" spans="1:26" x14ac:dyDescent="0.2">
      <c r="A5" s="2" t="s">
        <v>1201</v>
      </c>
      <c r="B5" t="s">
        <v>1890</v>
      </c>
      <c r="C5" t="s">
        <v>1206</v>
      </c>
      <c r="D5" t="s">
        <v>1206</v>
      </c>
      <c r="E5" t="s">
        <v>1889</v>
      </c>
    </row>
    <row r="6" spans="1:26" x14ac:dyDescent="0.2">
      <c r="A6" s="2" t="s">
        <v>1892</v>
      </c>
      <c r="B6" t="s">
        <v>1891</v>
      </c>
      <c r="C6" t="s">
        <v>1206</v>
      </c>
      <c r="D6" t="s">
        <v>1206</v>
      </c>
      <c r="E6" t="s">
        <v>1889</v>
      </c>
    </row>
    <row r="7" spans="1:26" s="17" customFormat="1" x14ac:dyDescent="0.2">
      <c r="A7" s="17" t="s">
        <v>1900</v>
      </c>
      <c r="B7" s="17" t="s">
        <v>1200</v>
      </c>
      <c r="C7" s="17" t="s">
        <v>1206</v>
      </c>
      <c r="D7" s="17" t="s">
        <v>1206</v>
      </c>
      <c r="E7" s="17" t="s">
        <v>1889</v>
      </c>
    </row>
    <row r="8" spans="1:26" x14ac:dyDescent="0.2">
      <c r="A8" t="s">
        <v>1202</v>
      </c>
      <c r="B8" t="s">
        <v>1888</v>
      </c>
    </row>
    <row r="9" spans="1:26" x14ac:dyDescent="0.2">
      <c r="A9" t="s">
        <v>1208</v>
      </c>
      <c r="B9" t="s">
        <v>1888</v>
      </c>
    </row>
    <row r="10" spans="1:26" x14ac:dyDescent="0.2">
      <c r="A10" t="s">
        <v>1198</v>
      </c>
    </row>
    <row r="11" spans="1:26" x14ac:dyDescent="0.2">
      <c r="A11" t="s">
        <v>1203</v>
      </c>
      <c r="B11" t="s">
        <v>1888</v>
      </c>
    </row>
    <row r="12" spans="1:26" s="17" customFormat="1" x14ac:dyDescent="0.2">
      <c r="A12" s="17" t="s">
        <v>1894</v>
      </c>
      <c r="B12" s="17" t="s">
        <v>1893</v>
      </c>
      <c r="C12" s="17" t="s">
        <v>1206</v>
      </c>
      <c r="D12" s="17" t="s">
        <v>1206</v>
      </c>
      <c r="E12" s="17" t="s">
        <v>1901</v>
      </c>
      <c r="G12" s="20" t="s">
        <v>1907</v>
      </c>
    </row>
    <row r="13" spans="1:26" s="17" customFormat="1" x14ac:dyDescent="0.2">
      <c r="A13" s="17" t="s">
        <v>1197</v>
      </c>
      <c r="B13" s="17" t="s">
        <v>1200</v>
      </c>
      <c r="C13" s="17" t="s">
        <v>1205</v>
      </c>
      <c r="D13" s="17" t="s">
        <v>1205</v>
      </c>
      <c r="E13" s="17" t="s">
        <v>1902</v>
      </c>
      <c r="G13" s="20" t="s">
        <v>1907</v>
      </c>
    </row>
    <row r="14" spans="1:26" x14ac:dyDescent="0.2">
      <c r="A14" t="s">
        <v>1199</v>
      </c>
      <c r="B14" s="13" t="s">
        <v>1888</v>
      </c>
      <c r="C14" t="s">
        <v>1205</v>
      </c>
      <c r="D14" t="s">
        <v>1206</v>
      </c>
    </row>
    <row r="15" spans="1:26" s="17" customFormat="1" x14ac:dyDescent="0.2">
      <c r="A15" s="19" t="s">
        <v>1896</v>
      </c>
      <c r="B15" s="19" t="s">
        <v>1893</v>
      </c>
      <c r="C15" s="20" t="s">
        <v>1206</v>
      </c>
      <c r="D15" s="20" t="s">
        <v>1206</v>
      </c>
      <c r="E15" s="17" t="s">
        <v>1902</v>
      </c>
      <c r="G15" s="20" t="s">
        <v>1907</v>
      </c>
    </row>
    <row r="16" spans="1:26" x14ac:dyDescent="0.2">
      <c r="A16" s="20" t="s">
        <v>1897</v>
      </c>
      <c r="B16" s="20" t="s">
        <v>1200</v>
      </c>
      <c r="C16" s="20" t="s">
        <v>1898</v>
      </c>
      <c r="D16" s="20" t="s">
        <v>1898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x14ac:dyDescent="0.2">
      <c r="A17" s="20" t="s">
        <v>1899</v>
      </c>
      <c r="B17" s="20" t="s">
        <v>1200</v>
      </c>
      <c r="C17" s="20" t="s">
        <v>1206</v>
      </c>
      <c r="D17" s="20" t="s">
        <v>1206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17"/>
    </row>
    <row r="18" spans="1:26" x14ac:dyDescent="0.2">
      <c r="A18" s="19" t="s">
        <v>1906</v>
      </c>
      <c r="B18" s="19" t="s">
        <v>1200</v>
      </c>
      <c r="C18" s="20" t="s">
        <v>1206</v>
      </c>
      <c r="D18" s="20" t="s">
        <v>1206</v>
      </c>
      <c r="E18" s="19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17"/>
    </row>
    <row r="19" spans="1:26" s="21" customFormat="1" x14ac:dyDescent="0.2">
      <c r="A19" s="21" t="s">
        <v>1903</v>
      </c>
      <c r="C19" s="22" t="s">
        <v>1206</v>
      </c>
      <c r="D19" s="22" t="s">
        <v>1206</v>
      </c>
      <c r="E19" s="21" t="s">
        <v>1904</v>
      </c>
    </row>
    <row r="20" spans="1:26" x14ac:dyDescent="0.2">
      <c r="A20" s="20" t="s">
        <v>1908</v>
      </c>
      <c r="B20" s="20" t="s">
        <v>1200</v>
      </c>
      <c r="C20" s="20" t="s">
        <v>1205</v>
      </c>
      <c r="D20" s="20" t="s">
        <v>1205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x14ac:dyDescent="0.2">
      <c r="A21" s="20" t="s">
        <v>1909</v>
      </c>
      <c r="B21" s="20" t="s">
        <v>1200</v>
      </c>
      <c r="C21" s="20" t="s">
        <v>1205</v>
      </c>
      <c r="D21" s="20" t="s">
        <v>1206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x14ac:dyDescent="0.2">
      <c r="A22" s="20" t="s">
        <v>1910</v>
      </c>
      <c r="B22" s="20" t="s">
        <v>1200</v>
      </c>
      <c r="C22" s="20" t="s">
        <v>1205</v>
      </c>
      <c r="D22" s="20" t="s">
        <v>1205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737F-E105-AE4A-93DE-C660EED21309}">
  <dimension ref="A1:B1"/>
  <sheetViews>
    <sheetView workbookViewId="0">
      <selection activeCell="C1" sqref="C1"/>
    </sheetView>
  </sheetViews>
  <sheetFormatPr baseColWidth="10" defaultRowHeight="15" x14ac:dyDescent="0.2"/>
  <sheetData>
    <row r="1" spans="1:2" x14ac:dyDescent="0.2">
      <c r="A1" t="s">
        <v>6</v>
      </c>
      <c r="B1" t="s">
        <v>2496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899D-2E3B-BC4D-823A-1E4FC4717487}">
  <dimension ref="A1:E4"/>
  <sheetViews>
    <sheetView workbookViewId="0">
      <selection activeCell="E4" sqref="E4"/>
    </sheetView>
  </sheetViews>
  <sheetFormatPr baseColWidth="10" defaultRowHeight="15" x14ac:dyDescent="0.2"/>
  <sheetData>
    <row r="1" spans="1:5" x14ac:dyDescent="0.2">
      <c r="A1" t="s">
        <v>1187</v>
      </c>
      <c r="D1" t="s">
        <v>1193</v>
      </c>
    </row>
    <row r="2" spans="1:5" x14ac:dyDescent="0.2">
      <c r="A2" s="8"/>
      <c r="B2" t="s">
        <v>1188</v>
      </c>
      <c r="D2" s="11"/>
      <c r="E2" t="s">
        <v>1192</v>
      </c>
    </row>
    <row r="3" spans="1:5" x14ac:dyDescent="0.2">
      <c r="A3" s="9"/>
      <c r="B3" t="s">
        <v>1189</v>
      </c>
      <c r="D3" s="12"/>
      <c r="E3" t="s">
        <v>1194</v>
      </c>
    </row>
    <row r="4" spans="1:5" x14ac:dyDescent="0.2">
      <c r="A4" s="10"/>
      <c r="B4" t="s">
        <v>1190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D6953-C31D-7B41-9A06-041D84F2652C}">
  <dimension ref="A1:H11"/>
  <sheetViews>
    <sheetView zoomScale="130" zoomScaleNormal="130" workbookViewId="0">
      <selection activeCell="A3" sqref="A3:XFD3"/>
    </sheetView>
  </sheetViews>
  <sheetFormatPr baseColWidth="10" defaultRowHeight="15" x14ac:dyDescent="0.2"/>
  <cols>
    <col min="1" max="1" width="19.83203125" bestFit="1" customWidth="1"/>
    <col min="2" max="2" width="20" customWidth="1"/>
    <col min="4" max="4" width="24.6640625" customWidth="1"/>
    <col min="5" max="5" width="30.6640625" customWidth="1"/>
    <col min="7" max="7" width="52.6640625" customWidth="1"/>
  </cols>
  <sheetData>
    <row r="1" spans="1:8" x14ac:dyDescent="0.2">
      <c r="A1" s="46" t="s">
        <v>3233</v>
      </c>
      <c r="B1" s="46" t="s">
        <v>89</v>
      </c>
      <c r="C1" s="46" t="s">
        <v>39</v>
      </c>
      <c r="D1" s="46" t="s">
        <v>38</v>
      </c>
      <c r="E1" s="46" t="s">
        <v>42</v>
      </c>
      <c r="F1" s="46" t="s">
        <v>3241</v>
      </c>
      <c r="G1" s="46" t="s">
        <v>3242</v>
      </c>
      <c r="H1" s="48"/>
    </row>
    <row r="2" spans="1:8" x14ac:dyDescent="0.2">
      <c r="A2" t="s">
        <v>40</v>
      </c>
      <c r="B2" t="s">
        <v>3240</v>
      </c>
      <c r="C2" t="s">
        <v>3239</v>
      </c>
      <c r="G2" s="47" t="s">
        <v>3243</v>
      </c>
    </row>
    <row r="3" spans="1:8" x14ac:dyDescent="0.2">
      <c r="A3" t="s">
        <v>33</v>
      </c>
      <c r="B3" t="s">
        <v>3237</v>
      </c>
      <c r="C3" s="47" t="s">
        <v>3238</v>
      </c>
      <c r="D3" t="s">
        <v>3234</v>
      </c>
      <c r="E3" t="s">
        <v>3235</v>
      </c>
      <c r="F3" t="s">
        <v>3236</v>
      </c>
      <c r="G3" s="47" t="s">
        <v>3249</v>
      </c>
    </row>
    <row r="4" spans="1:8" ht="47" customHeight="1" x14ac:dyDescent="0.2">
      <c r="A4" t="s">
        <v>302</v>
      </c>
      <c r="B4" s="49" t="s">
        <v>3248</v>
      </c>
      <c r="C4" t="s">
        <v>3244</v>
      </c>
      <c r="D4" t="s">
        <v>3246</v>
      </c>
      <c r="E4" t="s">
        <v>3247</v>
      </c>
      <c r="G4" s="47" t="s">
        <v>3249</v>
      </c>
    </row>
    <row r="5" spans="1:8" x14ac:dyDescent="0.2">
      <c r="A5" t="s">
        <v>320</v>
      </c>
      <c r="B5" t="s">
        <v>3251</v>
      </c>
      <c r="C5" t="s">
        <v>3250</v>
      </c>
      <c r="D5" t="s">
        <v>3246</v>
      </c>
      <c r="G5" s="47" t="s">
        <v>3249</v>
      </c>
    </row>
    <row r="6" spans="1:8" x14ac:dyDescent="0.2">
      <c r="A6" t="s">
        <v>137</v>
      </c>
      <c r="B6" t="s">
        <v>3256</v>
      </c>
      <c r="C6" t="s">
        <v>3255</v>
      </c>
      <c r="D6" t="s">
        <v>3257</v>
      </c>
      <c r="G6" s="47" t="s">
        <v>3249</v>
      </c>
    </row>
    <row r="7" spans="1:8" x14ac:dyDescent="0.2">
      <c r="A7" t="s">
        <v>32</v>
      </c>
      <c r="B7" t="s">
        <v>3256</v>
      </c>
      <c r="C7" t="s">
        <v>3255</v>
      </c>
      <c r="D7" t="s">
        <v>3257</v>
      </c>
      <c r="G7" s="47" t="s">
        <v>3249</v>
      </c>
    </row>
    <row r="8" spans="1:8" x14ac:dyDescent="0.2">
      <c r="A8" t="s">
        <v>28</v>
      </c>
      <c r="B8" t="s">
        <v>3253</v>
      </c>
      <c r="C8" s="47" t="s">
        <v>3252</v>
      </c>
      <c r="D8" t="s">
        <v>3254</v>
      </c>
      <c r="G8" s="47" t="s">
        <v>3249</v>
      </c>
    </row>
    <row r="9" spans="1:8" x14ac:dyDescent="0.2">
      <c r="A9" t="s">
        <v>3258</v>
      </c>
      <c r="B9" t="s">
        <v>3256</v>
      </c>
      <c r="C9" t="s">
        <v>3261</v>
      </c>
      <c r="D9" t="s">
        <v>3257</v>
      </c>
      <c r="G9" s="47" t="s">
        <v>3249</v>
      </c>
    </row>
    <row r="10" spans="1:8" ht="46" customHeight="1" x14ac:dyDescent="0.2">
      <c r="A10" t="s">
        <v>691</v>
      </c>
      <c r="B10" s="49" t="s">
        <v>3264</v>
      </c>
      <c r="C10" s="47" t="s">
        <v>3260</v>
      </c>
      <c r="D10" s="49" t="s">
        <v>3263</v>
      </c>
      <c r="E10" t="s">
        <v>3262</v>
      </c>
      <c r="G10" s="50" t="s">
        <v>3265</v>
      </c>
    </row>
    <row r="11" spans="1:8" ht="68" customHeight="1" x14ac:dyDescent="0.2">
      <c r="A11" t="s">
        <v>758</v>
      </c>
      <c r="B11" s="49" t="s">
        <v>3245</v>
      </c>
      <c r="C11" t="s">
        <v>3259</v>
      </c>
      <c r="D11" s="49" t="s">
        <v>3266</v>
      </c>
      <c r="E11" s="49" t="s">
        <v>3267</v>
      </c>
      <c r="G11" s="50" t="s">
        <v>3268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field_data_07252019</vt:lpstr>
      <vt:lpstr>surveys</vt:lpstr>
      <vt:lpstr>qpcr dates and notes</vt:lpstr>
      <vt:lpstr>Weather data and refs</vt:lpstr>
      <vt:lpstr>Notes color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2019-07-06T03:57:02Z</dcterms:created>
  <dcterms:modified xsi:type="dcterms:W3CDTF">2020-11-19T23:18:48Z</dcterms:modified>
</cp:coreProperties>
</file>