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unabiomedical-my.sharepoint.com/personal/ssummey_arunabio_com/Documents/MATLAB/Upstream Model/"/>
    </mc:Choice>
  </mc:AlternateContent>
  <xr:revisionPtr revIDLastSave="0" documentId="8_{7C3997B1-F9B0-4978-87CE-AB44A5FB4777}" xr6:coauthVersionLast="47" xr6:coauthVersionMax="47" xr10:uidLastSave="{00000000-0000-0000-0000-000000000000}"/>
  <bookViews>
    <workbookView xWindow="-28920" yWindow="-45" windowWidth="29040" windowHeight="15720" activeTab="3" xr2:uid="{061EE990-C768-413A-9FD3-FBC2999CB54A}"/>
  </bookViews>
  <sheets>
    <sheet name="hNP05APR2023A-1" sheetId="1" r:id="rId1"/>
    <sheet name="hNP08MAY2023A-1" sheetId="4" r:id="rId2"/>
    <sheet name="hNP27MAY2023A-1" sheetId="6" r:id="rId3"/>
    <sheet name="hNP11JUL2023A-1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5" l="1"/>
  <c r="N64" i="5"/>
  <c r="M64" i="5"/>
  <c r="M62" i="5"/>
  <c r="M56" i="5"/>
  <c r="N60" i="5"/>
  <c r="M60" i="5"/>
  <c r="N56" i="5"/>
  <c r="N58" i="5"/>
  <c r="M58" i="5"/>
  <c r="N54" i="5"/>
  <c r="M54" i="5"/>
  <c r="N52" i="5"/>
  <c r="N50" i="5"/>
  <c r="N48" i="5"/>
  <c r="N46" i="5"/>
  <c r="N44" i="5"/>
  <c r="V41" i="5"/>
  <c r="X41" i="5" s="1"/>
  <c r="T41" i="5"/>
  <c r="Y41" i="5" s="1"/>
  <c r="Z41" i="5" s="1"/>
  <c r="M52" i="5"/>
  <c r="N41" i="5"/>
  <c r="N42" i="5"/>
  <c r="M42" i="5"/>
  <c r="R41" i="5"/>
  <c r="N40" i="5"/>
  <c r="N39" i="5"/>
  <c r="M39" i="5"/>
  <c r="N34" i="5"/>
  <c r="N35" i="5"/>
  <c r="N36" i="5"/>
  <c r="N37" i="5"/>
  <c r="N38" i="5"/>
  <c r="M38" i="5"/>
  <c r="M37" i="5"/>
  <c r="M36" i="5"/>
  <c r="N33" i="5"/>
  <c r="N32" i="5"/>
  <c r="M32" i="5"/>
  <c r="R31" i="5"/>
  <c r="V31" i="5"/>
  <c r="X31" i="5" s="1"/>
  <c r="T31" i="5"/>
  <c r="Y31" i="5" s="1"/>
  <c r="Z31" i="5" s="1"/>
  <c r="N25" i="5"/>
  <c r="N24" i="5"/>
  <c r="N22" i="5"/>
  <c r="N23" i="5"/>
  <c r="V21" i="5"/>
  <c r="X21" i="5" s="1"/>
  <c r="T21" i="5"/>
  <c r="R21" i="5"/>
  <c r="O20" i="5"/>
  <c r="N39" i="6"/>
  <c r="N36" i="6"/>
  <c r="P40" i="6"/>
  <c r="P42" i="6"/>
  <c r="P39" i="6"/>
  <c r="P38" i="6"/>
  <c r="P37" i="6"/>
  <c r="P36" i="6"/>
  <c r="P35" i="6"/>
  <c r="P34" i="6"/>
  <c r="P33" i="6"/>
  <c r="P32" i="6"/>
  <c r="P31" i="6"/>
  <c r="P30" i="6"/>
  <c r="P24" i="6"/>
  <c r="P63" i="4"/>
  <c r="P61" i="4"/>
  <c r="P59" i="4"/>
  <c r="P57" i="4"/>
  <c r="P55" i="4"/>
  <c r="P53" i="4"/>
  <c r="P51" i="4"/>
  <c r="P49" i="4"/>
  <c r="P47" i="4"/>
  <c r="P45" i="4"/>
  <c r="P43" i="4"/>
  <c r="P41" i="4"/>
  <c r="P40" i="4"/>
  <c r="P39" i="4"/>
  <c r="P38" i="4"/>
  <c r="P37" i="4"/>
  <c r="P36" i="4"/>
  <c r="P35" i="4"/>
  <c r="P34" i="4"/>
  <c r="P33" i="4"/>
  <c r="P32" i="4"/>
  <c r="P31" i="4"/>
  <c r="P63" i="1"/>
  <c r="P61" i="1"/>
  <c r="P59" i="1"/>
  <c r="P57" i="1"/>
  <c r="P55" i="1"/>
  <c r="P53" i="1"/>
  <c r="P51" i="1"/>
  <c r="P49" i="1"/>
  <c r="P47" i="1"/>
  <c r="P45" i="1"/>
  <c r="P43" i="1"/>
  <c r="P41" i="1"/>
  <c r="P40" i="1"/>
  <c r="P39" i="1"/>
  <c r="P38" i="1"/>
  <c r="P37" i="1"/>
  <c r="P36" i="1"/>
  <c r="P35" i="1"/>
  <c r="P34" i="1"/>
  <c r="P33" i="1"/>
  <c r="P32" i="1"/>
  <c r="P31" i="1"/>
  <c r="N42" i="6"/>
  <c r="N40" i="6"/>
  <c r="N38" i="6"/>
  <c r="N37" i="6"/>
  <c r="N35" i="6"/>
  <c r="N34" i="6"/>
  <c r="N33" i="6"/>
  <c r="N32" i="6"/>
  <c r="N31" i="6"/>
  <c r="N30" i="6"/>
  <c r="N24" i="6"/>
  <c r="V17" i="5"/>
  <c r="X17" i="5" s="1"/>
  <c r="T17" i="5"/>
  <c r="R17" i="5"/>
  <c r="M25" i="1"/>
  <c r="M24" i="1"/>
  <c r="M23" i="1"/>
  <c r="M22" i="1"/>
  <c r="M21" i="1"/>
  <c r="V13" i="5"/>
  <c r="X13" i="5"/>
  <c r="T13" i="5"/>
  <c r="R13" i="5"/>
  <c r="Y17" i="5" l="1"/>
  <c r="Z17" i="5" s="1"/>
  <c r="Y21" i="5"/>
  <c r="Z21" i="5" s="1"/>
  <c r="W19" i="6"/>
  <c r="U19" i="6"/>
  <c r="Z19" i="6" s="1"/>
  <c r="AA19" i="6" s="1"/>
  <c r="W29" i="6"/>
  <c r="U29" i="6"/>
  <c r="Z11" i="6"/>
  <c r="AA11" i="6" s="1"/>
  <c r="Z6" i="6"/>
  <c r="W39" i="6"/>
  <c r="Y39" i="6"/>
  <c r="U39" i="6"/>
  <c r="S39" i="6"/>
  <c r="Y29" i="6"/>
  <c r="Z29" i="6"/>
  <c r="S29" i="6"/>
  <c r="Y19" i="6"/>
  <c r="S19" i="6"/>
  <c r="W15" i="6"/>
  <c r="Y15" i="6" s="1"/>
  <c r="U15" i="6"/>
  <c r="S15" i="6"/>
  <c r="AA6" i="6"/>
  <c r="W11" i="6"/>
  <c r="Y11" i="6" s="1"/>
  <c r="U11" i="6"/>
  <c r="S11" i="6"/>
  <c r="W6" i="6"/>
  <c r="Y6" i="6" s="1"/>
  <c r="U6" i="6"/>
  <c r="S6" i="6"/>
  <c r="W3" i="6"/>
  <c r="Y3" i="6" s="1"/>
  <c r="U3" i="6"/>
  <c r="S3" i="6"/>
  <c r="W2" i="6"/>
  <c r="Z3" i="6" s="1"/>
  <c r="U2" i="6"/>
  <c r="S2" i="6"/>
  <c r="V9" i="5"/>
  <c r="T9" i="5"/>
  <c r="R9" i="5"/>
  <c r="V4" i="5"/>
  <c r="X4" i="5" s="1"/>
  <c r="T4" i="5"/>
  <c r="R4" i="5"/>
  <c r="V2" i="5"/>
  <c r="X2" i="5" s="1"/>
  <c r="T2" i="5"/>
  <c r="R2" i="5"/>
  <c r="Z8" i="4"/>
  <c r="Z40" i="4"/>
  <c r="W40" i="4"/>
  <c r="U40" i="4"/>
  <c r="Y40" i="4"/>
  <c r="U30" i="4"/>
  <c r="S40" i="4"/>
  <c r="W30" i="4"/>
  <c r="Y30" i="4" s="1"/>
  <c r="S30" i="4"/>
  <c r="W20" i="4"/>
  <c r="U20" i="4"/>
  <c r="S20" i="4"/>
  <c r="W16" i="4"/>
  <c r="Y16" i="4" s="1"/>
  <c r="U16" i="4"/>
  <c r="S16" i="4"/>
  <c r="N41" i="4"/>
  <c r="W12" i="4"/>
  <c r="Y12" i="4" s="1"/>
  <c r="U12" i="4"/>
  <c r="S12" i="4"/>
  <c r="W8" i="4"/>
  <c r="Y8" i="4" s="1"/>
  <c r="U8" i="4"/>
  <c r="S8" i="4"/>
  <c r="W3" i="4"/>
  <c r="Y3" i="4" s="1"/>
  <c r="U3" i="4"/>
  <c r="S3" i="4"/>
  <c r="W2" i="4"/>
  <c r="Y2" i="4" s="1"/>
  <c r="U2" i="4"/>
  <c r="S2" i="4"/>
  <c r="Y4" i="5" l="1"/>
  <c r="Z4" i="5" s="1"/>
  <c r="Y9" i="5"/>
  <c r="Z9" i="5" s="1"/>
  <c r="X9" i="5"/>
  <c r="Y13" i="5"/>
  <c r="Z13" i="5" s="1"/>
  <c r="Y2" i="6"/>
  <c r="Z15" i="6"/>
  <c r="AA15" i="6" s="1"/>
  <c r="AA3" i="6"/>
  <c r="Z39" i="6"/>
  <c r="AA39" i="6" s="1"/>
  <c r="AA29" i="6"/>
  <c r="AA40" i="4"/>
  <c r="Z3" i="4"/>
  <c r="AA3" i="4" s="1"/>
  <c r="AA8" i="4"/>
  <c r="Z12" i="4"/>
  <c r="AA12" i="4" s="1"/>
  <c r="Z16" i="4"/>
  <c r="AA16" i="4" s="1"/>
  <c r="Z20" i="4"/>
  <c r="AA20" i="4" s="1"/>
  <c r="Y20" i="4"/>
  <c r="Z30" i="4"/>
  <c r="AA30" i="4" s="1"/>
  <c r="Z40" i="1"/>
  <c r="W40" i="1"/>
  <c r="Y40" i="1" s="1"/>
  <c r="U40" i="1"/>
  <c r="W30" i="1"/>
  <c r="W19" i="1"/>
  <c r="W15" i="1"/>
  <c r="Y30" i="1"/>
  <c r="Y19" i="1"/>
  <c r="Y15" i="1"/>
  <c r="W11" i="1"/>
  <c r="Y11" i="1" s="1"/>
  <c r="W3" i="1"/>
  <c r="Y3" i="1" s="1"/>
  <c r="W6" i="1"/>
  <c r="Y6" i="1" s="1"/>
  <c r="W2" i="1"/>
  <c r="Y2" i="1" s="1"/>
  <c r="N59" i="1"/>
  <c r="N57" i="1"/>
  <c r="N55" i="1"/>
  <c r="N53" i="1"/>
  <c r="N51" i="1"/>
  <c r="N49" i="1"/>
  <c r="N47" i="1"/>
  <c r="N45" i="1"/>
  <c r="N43" i="1"/>
  <c r="T40" i="1"/>
  <c r="S40" i="1"/>
  <c r="S30" i="1"/>
  <c r="U30" i="1"/>
  <c r="Z30" i="1" s="1"/>
  <c r="AA30" i="1" s="1"/>
  <c r="S19" i="1"/>
  <c r="U19" i="1"/>
  <c r="Z19" i="1" s="1"/>
  <c r="AA19" i="1" s="1"/>
  <c r="U15" i="1"/>
  <c r="Z15" i="1" s="1"/>
  <c r="AA15" i="1" s="1"/>
  <c r="S15" i="1"/>
  <c r="AA40" i="1" l="1"/>
  <c r="U11" i="1" l="1"/>
  <c r="Z11" i="1" s="1"/>
  <c r="AA11" i="1" s="1"/>
  <c r="S11" i="1"/>
  <c r="U6" i="1"/>
  <c r="S6" i="1"/>
  <c r="S3" i="1"/>
  <c r="U3" i="1"/>
  <c r="Z3" i="1" s="1"/>
  <c r="AA3" i="1" s="1"/>
  <c r="S2" i="1"/>
  <c r="U2" i="1"/>
  <c r="Z6" i="1" l="1"/>
  <c r="AA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tc={42F28756-2D22-4982-B1CC-A4D9B2A23773}</author>
    <author>Joseph Dellasala</author>
  </authors>
  <commentList>
    <comment ref="M34" authorId="0" shapeId="0" xr:uid="{42F28756-2D22-4982-B1CC-A4D9B2A237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Potential outlier. Only 2 values comprise the average.</t>
      </text>
    </comment>
    <comment ref="L42" authorId="1" shapeId="0" xr:uid="{6727828F-F30C-461F-A3A8-81EAEA839471}">
      <text>
        <r>
          <rPr>
            <b/>
            <sz val="9"/>
            <color indexed="81"/>
            <rFont val="Tahoma"/>
            <charset val="1"/>
          </rPr>
          <t>Joseph Dellasala:</t>
        </r>
        <r>
          <rPr>
            <sz val="9"/>
            <color indexed="81"/>
            <rFont val="Tahoma"/>
            <charset val="1"/>
          </rPr>
          <t xml:space="preserve">
Value checked. 0.2 is not a typo</t>
        </r>
      </text>
    </comment>
  </commentList>
</comments>
</file>

<file path=xl/sharedStrings.xml><?xml version="1.0" encoding="utf-8"?>
<sst xmlns="http://schemas.openxmlformats.org/spreadsheetml/2006/main" count="1247" uniqueCount="86">
  <si>
    <t>Culture Lot#</t>
  </si>
  <si>
    <t>Cell Type</t>
  </si>
  <si>
    <t>Cell Lot #</t>
  </si>
  <si>
    <t>Date</t>
  </si>
  <si>
    <t>Day of Culture</t>
  </si>
  <si>
    <t>Passage #</t>
  </si>
  <si>
    <t>Days Since Passage</t>
  </si>
  <si>
    <t>Activity</t>
  </si>
  <si>
    <t>Culture Type</t>
  </si>
  <si>
    <t>pH</t>
  </si>
  <si>
    <t>Glucose (g/L)</t>
  </si>
  <si>
    <t>Lactate (g/L)</t>
  </si>
  <si>
    <t>Avg Sphere Diameter (um, BPR)</t>
  </si>
  <si>
    <t>Avg Sphere Diameter (um, MatLab)</t>
  </si>
  <si>
    <t>% Confluence (BPR)</t>
  </si>
  <si>
    <t>Avg # of Spheres Counted (MatLab)</t>
  </si>
  <si>
    <t>Average Total Cells/mL</t>
  </si>
  <si>
    <t>Average Live Cells/mL</t>
  </si>
  <si>
    <t>Average Viability</t>
  </si>
  <si>
    <t>Total Cell Suspension Coll. (mL)</t>
  </si>
  <si>
    <t>Total Live Cells Harvested</t>
  </si>
  <si>
    <t>Total Cell Suspension Used (mL)</t>
  </si>
  <si>
    <t>Total Live Cells Plated</t>
  </si>
  <si>
    <t>Cell Seeding Target</t>
  </si>
  <si>
    <t>% Target Achieved</t>
  </si>
  <si>
    <t>% Prolif.</t>
  </si>
  <si>
    <t>% Prolif./Day</t>
  </si>
  <si>
    <t>hNP05APR2023A-1</t>
  </si>
  <si>
    <t>hNP</t>
  </si>
  <si>
    <t>hNP2010002A</t>
  </si>
  <si>
    <t>THAW</t>
  </si>
  <si>
    <t>ADH</t>
  </si>
  <si>
    <t>hNP05APR2023A-2</t>
  </si>
  <si>
    <t>PASS</t>
  </si>
  <si>
    <t>hNP05APR2023A-3</t>
  </si>
  <si>
    <t>MC</t>
  </si>
  <si>
    <t>hNP05APR2023A-4</t>
  </si>
  <si>
    <t>hNP05APR2023A-5</t>
  </si>
  <si>
    <t>hNP05APR2023A-6</t>
  </si>
  <si>
    <t>hNP05APR2023A-7</t>
  </si>
  <si>
    <t>hNP05APR2023A-8</t>
  </si>
  <si>
    <t>hNP05APR2023A-9</t>
  </si>
  <si>
    <t>hNP05APR2023A-10</t>
  </si>
  <si>
    <t>hNP05APR2023A-11</t>
  </si>
  <si>
    <t>hNP05APR2023A-12</t>
  </si>
  <si>
    <t>hNP05APR2023A-13</t>
  </si>
  <si>
    <t>hNP05APR2023A-14</t>
  </si>
  <si>
    <t>hNP05APR2023A-15</t>
  </si>
  <si>
    <t>hNP05APR2023A-16</t>
  </si>
  <si>
    <t>hNP05APR2023A-17</t>
  </si>
  <si>
    <t>hNP05APR2023A-18</t>
  </si>
  <si>
    <t>ADH to SUS</t>
  </si>
  <si>
    <t>hNP05APR2023A-19</t>
  </si>
  <si>
    <t>SUS</t>
  </si>
  <si>
    <t>hNP05APR2023A-20</t>
  </si>
  <si>
    <t>hNP05APR2023A-21</t>
  </si>
  <si>
    <t>hNP05APR2023A-22</t>
  </si>
  <si>
    <t>hNP05APR2023A-23</t>
  </si>
  <si>
    <t>hNP05APR2023A-24</t>
  </si>
  <si>
    <t>hNP05APR2023A-25</t>
  </si>
  <si>
    <t>hNP05APR2023A-26</t>
  </si>
  <si>
    <t>hNP05APR2023A-27</t>
  </si>
  <si>
    <t>hNP05APR2023A-28</t>
  </si>
  <si>
    <t>hNP05APR2023A-29</t>
  </si>
  <si>
    <t>hNP05APR2023A-30</t>
  </si>
  <si>
    <t>hNP05APR2023A-31</t>
  </si>
  <si>
    <t>hNP05APR2023A-32</t>
  </si>
  <si>
    <t>hNP05APR2023A-33</t>
  </si>
  <si>
    <t>hNP05APR2023A-34</t>
  </si>
  <si>
    <t>hNP05APR2023A-35</t>
  </si>
  <si>
    <t>hNP05APR2023A-36</t>
  </si>
  <si>
    <t>hNP05APR2023A-37</t>
  </si>
  <si>
    <t>hNP05APR2023A-38</t>
  </si>
  <si>
    <t>hNP05APR2023A-39</t>
  </si>
  <si>
    <t>hNP05APR2023A-40</t>
  </si>
  <si>
    <t>hNP05APR2023A-41</t>
  </si>
  <si>
    <t>N/A</t>
  </si>
  <si>
    <t>hNP05APR2023A-42</t>
  </si>
  <si>
    <t>MC + COLL</t>
  </si>
  <si>
    <t>hNP05APR2023A-43</t>
  </si>
  <si>
    <t>hNP05APR2023A-44</t>
  </si>
  <si>
    <t>hNP05APR2023A-45</t>
  </si>
  <si>
    <t>TERM + COLL</t>
  </si>
  <si>
    <t>hNP08MAY2023A-1</t>
  </si>
  <si>
    <t>hNP27MAY2023A-1</t>
  </si>
  <si>
    <t>hNP11JUL2023A-1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</si>
</sst>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%"/>
    <numFmt numFmtId="166" formatCode="0.000E+00"/>
    <numFmt numFmtId="167" formatCode="#,##0.000"/>
    <numFmt numFmtId="168" formatCode="0.000%"/>
    <numFmt numFmtId="169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1" xfId="0" applyBorder="1"/>
    <xf numFmtId="11" fontId="0" fillId="0" borderId="1" xfId="0" applyNumberFormat="1" applyBorder="1"/>
    <xf numFmtId="0" fontId="4" fillId="0" borderId="1" xfId="0" applyFont="1" applyBorder="1"/>
    <xf numFmtId="3" fontId="0" fillId="0" borderId="0" xfId="0" applyNumberFormat="1"/>
    <xf numFmtId="167" fontId="0" fillId="0" borderId="0" xfId="0" applyNumberFormat="1"/>
    <xf numFmtId="9" fontId="0" fillId="0" borderId="1" xfId="1" applyFont="1" applyBorder="1"/>
    <xf numFmtId="9" fontId="0" fillId="0" borderId="0" xfId="1" applyFont="1"/>
    <xf numFmtId="0" fontId="5" fillId="2" borderId="0" xfId="0" applyFont="1" applyFill="1" applyAlignment="1">
      <alignment horizontal="center" vertical="center" wrapText="1"/>
    </xf>
    <xf numFmtId="11" fontId="5" fillId="2" borderId="0" xfId="0" applyNumberFormat="1" applyFont="1" applyFill="1" applyAlignment="1">
      <alignment horizontal="center" vertical="center" wrapText="1"/>
    </xf>
    <xf numFmtId="9" fontId="5" fillId="2" borderId="0" xfId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1" applyFont="1" applyFill="1" applyAlignment="1">
      <alignment horizontal="center" vertical="center" wrapText="1"/>
    </xf>
    <xf numFmtId="166" fontId="0" fillId="0" borderId="1" xfId="0" applyNumberFormat="1" applyBorder="1"/>
    <xf numFmtId="166" fontId="0" fillId="0" borderId="0" xfId="0" applyNumberFormat="1" applyAlignment="1">
      <alignment horizontal="right" vertical="center"/>
    </xf>
    <xf numFmtId="10" fontId="0" fillId="0" borderId="0" xfId="1" applyNumberFormat="1" applyFont="1"/>
    <xf numFmtId="10" fontId="0" fillId="0" borderId="1" xfId="1" applyNumberFormat="1" applyFont="1" applyBorder="1"/>
    <xf numFmtId="168" fontId="0" fillId="0" borderId="0" xfId="1" applyNumberFormat="1" applyFont="1"/>
    <xf numFmtId="168" fontId="0" fillId="0" borderId="1" xfId="1" applyNumberFormat="1" applyFont="1" applyBorder="1"/>
    <xf numFmtId="11" fontId="5" fillId="0" borderId="0" xfId="0" applyNumberFormat="1" applyFont="1" applyAlignment="1">
      <alignment horizontal="center" vertical="center" wrapText="1"/>
    </xf>
    <xf numFmtId="169" fontId="0" fillId="0" borderId="0" xfId="0" applyNumberFormat="1"/>
    <xf numFmtId="168" fontId="5" fillId="2" borderId="0" xfId="1" applyNumberFormat="1" applyFont="1" applyFill="1" applyAlignment="1">
      <alignment horizontal="center" vertical="center" wrapText="1"/>
    </xf>
    <xf numFmtId="10" fontId="0" fillId="0" borderId="0" xfId="1" applyNumberFormat="1" applyFont="1" applyBorder="1"/>
    <xf numFmtId="10" fontId="0" fillId="0" borderId="0" xfId="1" applyNumberFormat="1" applyFont="1" applyFill="1" applyBorder="1"/>
    <xf numFmtId="2" fontId="1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8" fontId="0" fillId="0" borderId="0" xfId="1" applyNumberFormat="1" applyFont="1" applyFill="1" applyBorder="1"/>
    <xf numFmtId="0" fontId="4" fillId="0" borderId="2" xfId="0" applyFont="1" applyBorder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" fontId="0" fillId="0" borderId="0" xfId="0" applyNumberFormat="1"/>
    <xf numFmtId="0" fontId="0" fillId="0" borderId="0" xfId="1" applyNumberFormat="1" applyFont="1"/>
    <xf numFmtId="1" fontId="7" fillId="0" borderId="0" xfId="0" applyNumberFormat="1" applyFont="1"/>
    <xf numFmtId="1" fontId="0" fillId="0" borderId="0" xfId="1" applyNumberFormat="1" applyFont="1"/>
    <xf numFmtId="164" fontId="0" fillId="0" borderId="1" xfId="0" applyNumberFormat="1" applyBorder="1"/>
    <xf numFmtId="164" fontId="0" fillId="0" borderId="0" xfId="0" applyNumberFormat="1" applyAlignment="1">
      <alignment horizontal="left" indent="2"/>
    </xf>
    <xf numFmtId="165" fontId="0" fillId="0" borderId="1" xfId="1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ph Dellasala" id="{378F4A13-95A8-41F4-AAF0-E8016D85A139}" userId="S::jdellasala@arunabio.com::186b25aa-5b27-4068-b145-0df4344e36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3-08-12T15:27:33.00" personId="{378F4A13-95A8-41F4-AAF0-E8016D85A139}" id="{42F28756-2D22-4982-B1CC-A4D9B2A23773}">
    <text>Potential outlier. Only 2 values comprise the average.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5612-3956-4A23-91ED-5463D745A5C7}">
  <dimension ref="A1:AA63"/>
  <sheetViews>
    <sheetView zoomScaleNormal="100" workbookViewId="0">
      <pane ySplit="1" topLeftCell="A2" activePane="bottomLeft" state="frozen"/>
      <selection activeCell="D1" sqref="D1"/>
      <selection pane="bottomLeft" activeCell="A30" sqref="A30:XFD30"/>
    </sheetView>
  </sheetViews>
  <sheetFormatPr defaultRowHeight="14.4" x14ac:dyDescent="0.3"/>
  <cols>
    <col min="1" max="1" width="17.77734375" hidden="1" customWidth="1"/>
    <col min="2" max="2" width="5" hidden="1" customWidth="1"/>
    <col min="3" max="3" width="12.77734375" hidden="1" customWidth="1"/>
    <col min="4" max="4" width="10.21875" bestFit="1" customWidth="1"/>
    <col min="5" max="5" width="7.21875" bestFit="1" customWidth="1"/>
    <col min="6" max="6" width="7.44140625" customWidth="1"/>
    <col min="7" max="7" width="9.5546875" bestFit="1" customWidth="1"/>
    <col min="8" max="8" width="11.5546875" bestFit="1" customWidth="1"/>
    <col min="9" max="9" width="10.21875" bestFit="1" customWidth="1"/>
    <col min="10" max="10" width="6.44140625" bestFit="1" customWidth="1"/>
    <col min="11" max="11" width="7.44140625" bestFit="1" customWidth="1"/>
    <col min="12" max="12" width="7.21875" bestFit="1" customWidth="1"/>
    <col min="13" max="13" width="10.21875" bestFit="1" customWidth="1"/>
    <col min="14" max="14" width="12.5546875" bestFit="1" customWidth="1"/>
    <col min="15" max="15" width="10.21875" style="27" bestFit="1" customWidth="1"/>
    <col min="16" max="16" width="10.21875" style="27" customWidth="1"/>
    <col min="17" max="17" width="8.5546875" customWidth="1"/>
    <col min="18" max="18" width="9.5546875" style="8" bestFit="1" customWidth="1"/>
    <col min="19" max="19" width="7.77734375" bestFit="1" customWidth="1"/>
    <col min="20" max="20" width="10.77734375" customWidth="1"/>
    <col min="21" max="21" width="9.44140625" style="5" customWidth="1"/>
    <col min="22" max="22" width="10.77734375" customWidth="1"/>
    <col min="23" max="23" width="8.77734375" style="5" bestFit="1" customWidth="1"/>
    <col min="24" max="24" width="8.5546875" style="5" bestFit="1" customWidth="1"/>
    <col min="25" max="25" width="9.21875" style="29" bestFit="1" customWidth="1"/>
    <col min="26" max="26" width="9.5546875" customWidth="1"/>
    <col min="27" max="27" width="6.44140625" style="19" bestFit="1" customWidth="1"/>
  </cols>
  <sheetData>
    <row r="1" spans="1:27" s="2" customFormat="1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6" t="s">
        <v>14</v>
      </c>
      <c r="P1" s="36" t="s">
        <v>15</v>
      </c>
      <c r="Q1" s="4" t="s">
        <v>16</v>
      </c>
      <c r="R1" s="4" t="s">
        <v>17</v>
      </c>
      <c r="S1" s="20" t="s">
        <v>18</v>
      </c>
      <c r="T1" s="4" t="s">
        <v>19</v>
      </c>
      <c r="U1" s="21" t="s">
        <v>20</v>
      </c>
      <c r="V1" s="4" t="s">
        <v>21</v>
      </c>
      <c r="W1" s="21" t="s">
        <v>22</v>
      </c>
      <c r="X1" s="31" t="s">
        <v>23</v>
      </c>
      <c r="Y1" s="22" t="s">
        <v>24</v>
      </c>
      <c r="Z1" s="23" t="s">
        <v>25</v>
      </c>
      <c r="AA1" s="24" t="s">
        <v>26</v>
      </c>
    </row>
    <row r="2" spans="1:27" x14ac:dyDescent="0.3">
      <c r="A2" t="s">
        <v>27</v>
      </c>
      <c r="B2" t="s">
        <v>28</v>
      </c>
      <c r="C2" t="s">
        <v>29</v>
      </c>
      <c r="D2" s="1">
        <v>45021</v>
      </c>
      <c r="E2">
        <v>0</v>
      </c>
      <c r="F2">
        <v>78</v>
      </c>
      <c r="G2">
        <v>0</v>
      </c>
      <c r="H2" t="s">
        <v>30</v>
      </c>
      <c r="I2" t="s">
        <v>31</v>
      </c>
      <c r="J2" s="13"/>
      <c r="K2" s="13"/>
      <c r="L2" s="13"/>
      <c r="M2" s="13"/>
      <c r="N2" s="13"/>
      <c r="O2" s="28"/>
      <c r="P2" s="13"/>
      <c r="Q2" s="5">
        <v>2083000</v>
      </c>
      <c r="R2" s="8">
        <v>1527000</v>
      </c>
      <c r="S2" s="7">
        <f>R2/Q2</f>
        <v>0.73307729236677865</v>
      </c>
      <c r="T2">
        <v>80</v>
      </c>
      <c r="U2" s="5">
        <f>T2*R2</f>
        <v>122160000</v>
      </c>
      <c r="V2">
        <v>80</v>
      </c>
      <c r="W2" s="5">
        <f>R2*V2</f>
        <v>122160000</v>
      </c>
      <c r="X2" s="5">
        <v>126400000</v>
      </c>
      <c r="Y2" s="29">
        <f>W2/X2</f>
        <v>0.96645569620253169</v>
      </c>
      <c r="Z2" s="13"/>
      <c r="AA2" s="18"/>
    </row>
    <row r="3" spans="1:27" x14ac:dyDescent="0.3">
      <c r="A3" t="s">
        <v>32</v>
      </c>
      <c r="B3" t="s">
        <v>28</v>
      </c>
      <c r="C3" t="s">
        <v>29</v>
      </c>
      <c r="D3" s="1">
        <v>45022</v>
      </c>
      <c r="E3">
        <v>1</v>
      </c>
      <c r="F3">
        <v>78</v>
      </c>
      <c r="G3">
        <v>1</v>
      </c>
      <c r="H3" t="s">
        <v>33</v>
      </c>
      <c r="I3" t="s">
        <v>31</v>
      </c>
      <c r="J3" s="3">
        <v>7.2450000000000001</v>
      </c>
      <c r="K3">
        <v>3.23</v>
      </c>
      <c r="L3">
        <v>0.77</v>
      </c>
      <c r="M3" s="13"/>
      <c r="N3" s="13"/>
      <c r="O3" s="34">
        <v>0.995</v>
      </c>
      <c r="P3" s="13"/>
      <c r="Q3" s="5">
        <v>1557000</v>
      </c>
      <c r="R3" s="8">
        <v>1127000</v>
      </c>
      <c r="S3" s="7">
        <f>R3/Q3</f>
        <v>0.72382787411689142</v>
      </c>
      <c r="T3">
        <v>132</v>
      </c>
      <c r="U3" s="5">
        <f>T3*R3</f>
        <v>148764000</v>
      </c>
      <c r="V3">
        <v>112</v>
      </c>
      <c r="W3" s="5">
        <f>R3*V3</f>
        <v>126224000</v>
      </c>
      <c r="X3" s="5">
        <v>126400000</v>
      </c>
      <c r="Y3" s="29">
        <f>W3/X3</f>
        <v>0.99860759493670881</v>
      </c>
      <c r="Z3" s="9">
        <f>(U3-W2)/W2</f>
        <v>0.21777996070726915</v>
      </c>
      <c r="AA3" s="19">
        <f>Z3/(D3-D2)</f>
        <v>0.21777996070726915</v>
      </c>
    </row>
    <row r="4" spans="1:27" x14ac:dyDescent="0.3">
      <c r="A4" t="s">
        <v>34</v>
      </c>
      <c r="B4" t="s">
        <v>28</v>
      </c>
      <c r="C4" t="s">
        <v>29</v>
      </c>
      <c r="D4" s="1">
        <v>45023</v>
      </c>
      <c r="E4">
        <v>2</v>
      </c>
      <c r="F4">
        <v>79</v>
      </c>
      <c r="G4">
        <v>1</v>
      </c>
      <c r="H4" t="s">
        <v>35</v>
      </c>
      <c r="I4" t="s">
        <v>31</v>
      </c>
      <c r="J4" s="3">
        <v>7.484</v>
      </c>
      <c r="K4">
        <v>3.28</v>
      </c>
      <c r="L4">
        <v>0.35</v>
      </c>
      <c r="M4" s="13"/>
      <c r="N4" s="13"/>
      <c r="O4" s="35">
        <v>0.82</v>
      </c>
      <c r="P4" s="13"/>
      <c r="Q4" s="13"/>
      <c r="R4" s="25"/>
      <c r="S4" s="13"/>
      <c r="T4" s="13"/>
      <c r="U4" s="14"/>
      <c r="V4" s="13"/>
      <c r="W4" s="14"/>
      <c r="X4" s="14"/>
      <c r="Y4" s="30"/>
      <c r="Z4" s="13"/>
      <c r="AA4" s="18"/>
    </row>
    <row r="5" spans="1:27" x14ac:dyDescent="0.3">
      <c r="A5" t="s">
        <v>36</v>
      </c>
      <c r="B5" t="s">
        <v>28</v>
      </c>
      <c r="C5" t="s">
        <v>29</v>
      </c>
      <c r="D5" s="1">
        <v>45024</v>
      </c>
      <c r="E5">
        <v>3</v>
      </c>
      <c r="F5">
        <v>79</v>
      </c>
      <c r="G5">
        <v>2</v>
      </c>
      <c r="H5" t="s">
        <v>35</v>
      </c>
      <c r="I5" t="s">
        <v>31</v>
      </c>
      <c r="J5" s="3">
        <v>7.2629999999999999</v>
      </c>
      <c r="K5">
        <v>3.44</v>
      </c>
      <c r="L5">
        <v>0.64</v>
      </c>
      <c r="M5" s="13"/>
      <c r="N5" s="13"/>
      <c r="O5" s="35">
        <v>0.92500000000000004</v>
      </c>
      <c r="P5" s="13"/>
      <c r="Q5" s="13"/>
      <c r="R5" s="25"/>
      <c r="S5" s="13"/>
      <c r="T5" s="13"/>
      <c r="U5" s="14"/>
      <c r="V5" s="13"/>
      <c r="W5" s="14"/>
      <c r="X5" s="14"/>
      <c r="Y5" s="30"/>
      <c r="Z5" s="13"/>
      <c r="AA5" s="18"/>
    </row>
    <row r="6" spans="1:27" x14ac:dyDescent="0.3">
      <c r="A6" t="s">
        <v>37</v>
      </c>
      <c r="B6" t="s">
        <v>28</v>
      </c>
      <c r="C6" t="s">
        <v>29</v>
      </c>
      <c r="D6" s="1">
        <v>45025</v>
      </c>
      <c r="E6">
        <v>4</v>
      </c>
      <c r="F6">
        <v>79</v>
      </c>
      <c r="G6">
        <v>3</v>
      </c>
      <c r="H6" t="s">
        <v>33</v>
      </c>
      <c r="I6" t="s">
        <v>31</v>
      </c>
      <c r="J6" s="3">
        <v>7.2160000000000002</v>
      </c>
      <c r="K6">
        <v>3.38</v>
      </c>
      <c r="L6">
        <v>0.74</v>
      </c>
      <c r="M6" s="13"/>
      <c r="N6" s="13"/>
      <c r="O6" s="34">
        <v>1</v>
      </c>
      <c r="P6" s="13"/>
      <c r="Q6" s="5">
        <v>2077000</v>
      </c>
      <c r="R6" s="8">
        <v>1470000</v>
      </c>
      <c r="S6" s="7">
        <f>R6/Q6</f>
        <v>0.70775156475686085</v>
      </c>
      <c r="T6">
        <v>264</v>
      </c>
      <c r="U6" s="5">
        <f>T6*R6</f>
        <v>388080000</v>
      </c>
      <c r="V6">
        <v>172</v>
      </c>
      <c r="W6" s="5">
        <f>R6*V6</f>
        <v>252840000</v>
      </c>
      <c r="X6" s="5">
        <v>252800000</v>
      </c>
      <c r="Y6" s="29">
        <f>W6/X6</f>
        <v>1.0001582278481012</v>
      </c>
      <c r="Z6" s="9">
        <f>(U6-W3)/W3</f>
        <v>2.0745341614906834</v>
      </c>
      <c r="AA6" s="19">
        <f>Z6/(D6-D3)</f>
        <v>0.69151138716356109</v>
      </c>
    </row>
    <row r="7" spans="1:27" x14ac:dyDescent="0.3">
      <c r="A7" t="s">
        <v>38</v>
      </c>
      <c r="B7" t="s">
        <v>28</v>
      </c>
      <c r="C7" t="s">
        <v>29</v>
      </c>
      <c r="D7" s="1">
        <v>45026</v>
      </c>
      <c r="E7">
        <v>5</v>
      </c>
      <c r="F7">
        <v>80</v>
      </c>
      <c r="G7">
        <v>1</v>
      </c>
      <c r="H7" t="s">
        <v>35</v>
      </c>
      <c r="I7" t="s">
        <v>31</v>
      </c>
      <c r="J7" s="3">
        <v>7.4969999999999999</v>
      </c>
      <c r="K7">
        <v>3.41</v>
      </c>
      <c r="L7">
        <v>0.25</v>
      </c>
      <c r="M7" s="13"/>
      <c r="N7" s="13"/>
      <c r="O7" s="35">
        <v>0.45250000000000001</v>
      </c>
      <c r="P7" s="13"/>
      <c r="Q7" s="13"/>
      <c r="R7" s="25"/>
      <c r="S7" s="13"/>
      <c r="T7" s="13"/>
      <c r="U7" s="14"/>
      <c r="V7" s="13"/>
      <c r="W7" s="14"/>
      <c r="X7" s="14"/>
      <c r="Y7" s="30"/>
      <c r="Z7" s="13"/>
      <c r="AA7" s="18"/>
    </row>
    <row r="8" spans="1:27" x14ac:dyDescent="0.3">
      <c r="A8" t="s">
        <v>39</v>
      </c>
      <c r="B8" t="s">
        <v>28</v>
      </c>
      <c r="C8" t="s">
        <v>29</v>
      </c>
      <c r="D8" s="1">
        <v>45027</v>
      </c>
      <c r="E8">
        <v>6</v>
      </c>
      <c r="F8">
        <v>80</v>
      </c>
      <c r="G8">
        <v>2</v>
      </c>
      <c r="H8" t="s">
        <v>35</v>
      </c>
      <c r="I8" t="s">
        <v>31</v>
      </c>
      <c r="J8" s="3">
        <v>7.391</v>
      </c>
      <c r="K8">
        <v>3.8</v>
      </c>
      <c r="L8">
        <v>0.33</v>
      </c>
      <c r="M8" s="13"/>
      <c r="N8" s="13"/>
      <c r="O8" s="35">
        <v>0.63</v>
      </c>
      <c r="P8" s="13"/>
      <c r="Q8" s="13"/>
      <c r="R8" s="25"/>
      <c r="S8" s="13"/>
      <c r="T8" s="13"/>
      <c r="U8" s="14"/>
      <c r="V8" s="13"/>
      <c r="W8" s="14"/>
      <c r="X8" s="14"/>
      <c r="Y8" s="30"/>
      <c r="Z8" s="13"/>
      <c r="AA8" s="18"/>
    </row>
    <row r="9" spans="1:27" x14ac:dyDescent="0.3">
      <c r="A9" t="s">
        <v>40</v>
      </c>
      <c r="B9" t="s">
        <v>28</v>
      </c>
      <c r="C9" t="s">
        <v>29</v>
      </c>
      <c r="D9" s="1">
        <v>45028</v>
      </c>
      <c r="E9">
        <v>7</v>
      </c>
      <c r="F9">
        <v>80</v>
      </c>
      <c r="G9">
        <v>3</v>
      </c>
      <c r="H9" t="s">
        <v>35</v>
      </c>
      <c r="I9" t="s">
        <v>31</v>
      </c>
      <c r="J9" s="3">
        <v>7.2549999999999999</v>
      </c>
      <c r="K9">
        <v>3.66</v>
      </c>
      <c r="L9">
        <v>0.45</v>
      </c>
      <c r="M9" s="13"/>
      <c r="N9" s="13"/>
      <c r="O9" s="35">
        <v>0.85499999999999998</v>
      </c>
      <c r="P9" s="13"/>
      <c r="Q9" s="13"/>
      <c r="R9" s="25"/>
      <c r="S9" s="13"/>
      <c r="T9" s="13"/>
      <c r="U9" s="14"/>
      <c r="V9" s="13"/>
      <c r="W9" s="14"/>
      <c r="X9" s="14"/>
      <c r="Y9" s="30"/>
      <c r="Z9" s="13"/>
      <c r="AA9" s="18"/>
    </row>
    <row r="10" spans="1:27" x14ac:dyDescent="0.3">
      <c r="A10" t="s">
        <v>41</v>
      </c>
      <c r="B10" t="s">
        <v>28</v>
      </c>
      <c r="C10" t="s">
        <v>29</v>
      </c>
      <c r="D10" s="1">
        <v>45029</v>
      </c>
      <c r="E10">
        <v>8</v>
      </c>
      <c r="F10">
        <v>80</v>
      </c>
      <c r="G10">
        <v>4</v>
      </c>
      <c r="H10" t="s">
        <v>35</v>
      </c>
      <c r="I10" t="s">
        <v>31</v>
      </c>
      <c r="J10" s="3">
        <v>7.1710000000000003</v>
      </c>
      <c r="K10">
        <v>3.53</v>
      </c>
      <c r="L10">
        <v>0.57999999999999996</v>
      </c>
      <c r="M10" s="13"/>
      <c r="N10" s="13"/>
      <c r="O10" s="35">
        <v>0.94750000000000001</v>
      </c>
      <c r="P10" s="13"/>
      <c r="Q10" s="13"/>
      <c r="R10" s="25"/>
      <c r="S10" s="13"/>
      <c r="T10" s="13"/>
      <c r="U10" s="14"/>
      <c r="V10" s="13"/>
      <c r="W10" s="14"/>
      <c r="X10" s="14"/>
      <c r="Y10" s="30"/>
      <c r="Z10" s="13"/>
      <c r="AA10" s="18"/>
    </row>
    <row r="11" spans="1:27" x14ac:dyDescent="0.3">
      <c r="A11" t="s">
        <v>42</v>
      </c>
      <c r="B11" t="s">
        <v>28</v>
      </c>
      <c r="C11" t="s">
        <v>29</v>
      </c>
      <c r="D11" s="1">
        <v>45030</v>
      </c>
      <c r="E11">
        <v>9</v>
      </c>
      <c r="F11">
        <v>80</v>
      </c>
      <c r="G11">
        <v>5</v>
      </c>
      <c r="H11" t="s">
        <v>33</v>
      </c>
      <c r="I11" t="s">
        <v>31</v>
      </c>
      <c r="J11" s="3">
        <v>7.2460000000000004</v>
      </c>
      <c r="K11">
        <v>3.46</v>
      </c>
      <c r="L11">
        <v>0.65</v>
      </c>
      <c r="M11" s="13"/>
      <c r="N11" s="13"/>
      <c r="O11" s="34">
        <v>0.96</v>
      </c>
      <c r="P11" s="13"/>
      <c r="Q11" s="5">
        <v>1893000</v>
      </c>
      <c r="R11" s="8">
        <v>1373000</v>
      </c>
      <c r="S11" s="7">
        <f>R11/Q11</f>
        <v>0.72530375066032748</v>
      </c>
      <c r="T11">
        <v>528</v>
      </c>
      <c r="U11" s="5">
        <f>T11*R11</f>
        <v>724944000</v>
      </c>
      <c r="V11">
        <v>460</v>
      </c>
      <c r="W11" s="5">
        <f>R11*V11</f>
        <v>631580000</v>
      </c>
      <c r="X11" s="5">
        <v>632000000</v>
      </c>
      <c r="Y11" s="29">
        <f>W11/X11</f>
        <v>0.99933544303797472</v>
      </c>
      <c r="Z11" s="9">
        <f>(U11-W6)/W6</f>
        <v>1.867204556241101</v>
      </c>
      <c r="AA11" s="19">
        <f>Z11/(D11-D6)</f>
        <v>0.37344091124822021</v>
      </c>
    </row>
    <row r="12" spans="1:27" x14ac:dyDescent="0.3">
      <c r="A12" t="s">
        <v>43</v>
      </c>
      <c r="B12" t="s">
        <v>28</v>
      </c>
      <c r="C12" t="s">
        <v>29</v>
      </c>
      <c r="D12" s="1">
        <v>45031</v>
      </c>
      <c r="E12">
        <v>10</v>
      </c>
      <c r="F12">
        <v>81</v>
      </c>
      <c r="G12">
        <v>1</v>
      </c>
      <c r="H12" t="s">
        <v>35</v>
      </c>
      <c r="I12" t="s">
        <v>31</v>
      </c>
      <c r="J12" s="3">
        <v>7.4710000000000001</v>
      </c>
      <c r="K12">
        <v>3.54</v>
      </c>
      <c r="L12">
        <v>0.23</v>
      </c>
      <c r="M12" s="13"/>
      <c r="N12" s="13"/>
      <c r="O12" s="35">
        <v>0.48</v>
      </c>
      <c r="P12" s="13"/>
      <c r="Q12" s="13"/>
      <c r="R12" s="25"/>
      <c r="S12" s="13"/>
      <c r="T12" s="13"/>
      <c r="U12" s="14"/>
      <c r="V12" s="13"/>
      <c r="W12" s="14"/>
      <c r="X12" s="14"/>
      <c r="Y12" s="30"/>
      <c r="Z12" s="13"/>
      <c r="AA12" s="18"/>
    </row>
    <row r="13" spans="1:27" x14ac:dyDescent="0.3">
      <c r="A13" t="s">
        <v>44</v>
      </c>
      <c r="B13" t="s">
        <v>28</v>
      </c>
      <c r="C13" t="s">
        <v>29</v>
      </c>
      <c r="D13" s="1">
        <v>45032</v>
      </c>
      <c r="E13">
        <v>11</v>
      </c>
      <c r="F13">
        <v>81</v>
      </c>
      <c r="G13">
        <v>2</v>
      </c>
      <c r="H13" t="s">
        <v>35</v>
      </c>
      <c r="I13" t="s">
        <v>31</v>
      </c>
      <c r="J13" s="3">
        <v>7.2969999999999997</v>
      </c>
      <c r="K13">
        <v>3.8</v>
      </c>
      <c r="L13">
        <v>0.43</v>
      </c>
      <c r="M13" s="13"/>
      <c r="N13" s="13"/>
      <c r="O13" s="35">
        <v>0.75</v>
      </c>
      <c r="P13" s="13"/>
      <c r="Q13" s="13"/>
      <c r="R13" s="25"/>
      <c r="S13" s="13"/>
      <c r="T13" s="13"/>
      <c r="U13" s="14"/>
      <c r="V13" s="13"/>
      <c r="W13" s="14"/>
      <c r="X13" s="14"/>
      <c r="Y13" s="30"/>
      <c r="Z13" s="13"/>
      <c r="AA13" s="18"/>
    </row>
    <row r="14" spans="1:27" x14ac:dyDescent="0.3">
      <c r="A14" t="s">
        <v>45</v>
      </c>
      <c r="B14" t="s">
        <v>28</v>
      </c>
      <c r="C14" t="s">
        <v>29</v>
      </c>
      <c r="D14" s="1">
        <v>45033</v>
      </c>
      <c r="E14">
        <v>12</v>
      </c>
      <c r="F14">
        <v>81</v>
      </c>
      <c r="G14">
        <v>3</v>
      </c>
      <c r="H14" t="s">
        <v>35</v>
      </c>
      <c r="I14" t="s">
        <v>31</v>
      </c>
      <c r="J14" s="3">
        <v>7.1829999999999998</v>
      </c>
      <c r="K14">
        <v>3.44</v>
      </c>
      <c r="L14">
        <v>0.63</v>
      </c>
      <c r="M14" s="13"/>
      <c r="N14" s="13"/>
      <c r="O14" s="35">
        <v>0.92</v>
      </c>
      <c r="P14" s="13"/>
      <c r="Q14" s="13"/>
      <c r="R14" s="25"/>
      <c r="S14" s="13"/>
      <c r="T14" s="13"/>
      <c r="U14" s="14"/>
      <c r="V14" s="13"/>
      <c r="W14" s="14"/>
      <c r="X14" s="14"/>
      <c r="Y14" s="30"/>
      <c r="Z14" s="13"/>
      <c r="AA14" s="18"/>
    </row>
    <row r="15" spans="1:27" x14ac:dyDescent="0.3">
      <c r="A15" t="s">
        <v>46</v>
      </c>
      <c r="B15" t="s">
        <v>28</v>
      </c>
      <c r="C15" t="s">
        <v>29</v>
      </c>
      <c r="D15" s="1">
        <v>45034</v>
      </c>
      <c r="E15">
        <v>13</v>
      </c>
      <c r="F15">
        <v>81</v>
      </c>
      <c r="G15">
        <v>4</v>
      </c>
      <c r="H15" t="s">
        <v>33</v>
      </c>
      <c r="I15" t="s">
        <v>31</v>
      </c>
      <c r="J15" s="3">
        <v>7.1520000000000001</v>
      </c>
      <c r="K15">
        <v>3.26</v>
      </c>
      <c r="L15">
        <v>0.87</v>
      </c>
      <c r="M15" s="13"/>
      <c r="N15" s="13"/>
      <c r="O15" s="34">
        <v>1</v>
      </c>
      <c r="P15" s="13"/>
      <c r="Q15" s="5">
        <v>2427000</v>
      </c>
      <c r="R15" s="8">
        <v>1830000</v>
      </c>
      <c r="S15" s="7">
        <f>R15/Q15</f>
        <v>0.75401730531520395</v>
      </c>
      <c r="T15">
        <v>1320</v>
      </c>
      <c r="U15" s="5">
        <f>T15*R15</f>
        <v>2415600000</v>
      </c>
      <c r="V15">
        <v>690</v>
      </c>
      <c r="W15" s="5">
        <f>R15*V15</f>
        <v>1262700000</v>
      </c>
      <c r="X15" s="5">
        <v>1264000000</v>
      </c>
      <c r="Y15" s="29">
        <f>W15/X15</f>
        <v>0.99897151898734182</v>
      </c>
      <c r="Z15" s="9">
        <f>(U15-W11)/W11</f>
        <v>2.8246936255106241</v>
      </c>
      <c r="AA15" s="19">
        <f>Z15/(D15-D11)</f>
        <v>0.70617340637765602</v>
      </c>
    </row>
    <row r="16" spans="1:27" x14ac:dyDescent="0.3">
      <c r="A16" t="s">
        <v>47</v>
      </c>
      <c r="B16" t="s">
        <v>28</v>
      </c>
      <c r="C16" t="s">
        <v>29</v>
      </c>
      <c r="D16" s="1">
        <v>45035</v>
      </c>
      <c r="E16">
        <v>14</v>
      </c>
      <c r="F16">
        <v>82</v>
      </c>
      <c r="G16">
        <v>1</v>
      </c>
      <c r="H16" t="s">
        <v>35</v>
      </c>
      <c r="I16" t="s">
        <v>31</v>
      </c>
      <c r="J16" s="3">
        <v>7.601</v>
      </c>
      <c r="K16">
        <v>3.66</v>
      </c>
      <c r="L16">
        <v>0.15</v>
      </c>
      <c r="M16" s="13"/>
      <c r="N16" s="13"/>
      <c r="O16" s="35">
        <v>0.42</v>
      </c>
      <c r="P16" s="13"/>
      <c r="Q16" s="13"/>
      <c r="R16" s="25"/>
      <c r="S16" s="13"/>
      <c r="T16" s="13"/>
      <c r="U16" s="14"/>
      <c r="V16" s="13"/>
      <c r="W16" s="14"/>
      <c r="X16" s="14"/>
      <c r="Y16" s="30"/>
      <c r="Z16" s="13"/>
      <c r="AA16" s="18"/>
    </row>
    <row r="17" spans="1:27" x14ac:dyDescent="0.3">
      <c r="A17" t="s">
        <v>48</v>
      </c>
      <c r="B17" t="s">
        <v>28</v>
      </c>
      <c r="C17" t="s">
        <v>29</v>
      </c>
      <c r="D17" s="1">
        <v>45036</v>
      </c>
      <c r="E17">
        <v>15</v>
      </c>
      <c r="F17">
        <v>82</v>
      </c>
      <c r="G17">
        <v>2</v>
      </c>
      <c r="H17" t="s">
        <v>35</v>
      </c>
      <c r="I17" t="s">
        <v>31</v>
      </c>
      <c r="J17" s="3">
        <v>7.4790000000000001</v>
      </c>
      <c r="K17">
        <v>3.81</v>
      </c>
      <c r="L17">
        <v>0.33</v>
      </c>
      <c r="M17" s="13"/>
      <c r="N17" s="13"/>
      <c r="O17" s="35">
        <v>0.28000000000000003</v>
      </c>
      <c r="P17" s="13"/>
      <c r="Q17" s="13"/>
      <c r="R17" s="25"/>
      <c r="S17" s="13"/>
      <c r="T17" s="13"/>
      <c r="U17" s="14"/>
      <c r="V17" s="13"/>
      <c r="W17" s="14"/>
      <c r="X17" s="14"/>
      <c r="Y17" s="30"/>
      <c r="Z17" s="13"/>
      <c r="AA17" s="18"/>
    </row>
    <row r="18" spans="1:27" x14ac:dyDescent="0.3">
      <c r="A18" t="s">
        <v>49</v>
      </c>
      <c r="B18" t="s">
        <v>28</v>
      </c>
      <c r="C18" t="s">
        <v>29</v>
      </c>
      <c r="D18" s="1">
        <v>45037</v>
      </c>
      <c r="E18">
        <v>16</v>
      </c>
      <c r="F18">
        <v>82</v>
      </c>
      <c r="G18">
        <v>3</v>
      </c>
      <c r="H18" t="s">
        <v>35</v>
      </c>
      <c r="I18" t="s">
        <v>31</v>
      </c>
      <c r="J18" s="3">
        <v>7.2720000000000002</v>
      </c>
      <c r="K18">
        <v>3.66</v>
      </c>
      <c r="L18">
        <v>0.52</v>
      </c>
      <c r="M18" s="13"/>
      <c r="N18" s="13"/>
      <c r="O18" s="35">
        <v>0.79</v>
      </c>
      <c r="P18" s="13"/>
      <c r="Q18" s="13"/>
      <c r="R18" s="25"/>
      <c r="S18" s="13"/>
      <c r="T18" s="13"/>
      <c r="U18" s="14"/>
      <c r="V18" s="13"/>
      <c r="W18" s="14"/>
      <c r="X18" s="14"/>
      <c r="Y18" s="30"/>
      <c r="Z18" s="13"/>
      <c r="AA18" s="18"/>
    </row>
    <row r="19" spans="1:27" x14ac:dyDescent="0.3">
      <c r="A19" t="s">
        <v>50</v>
      </c>
      <c r="B19" t="s">
        <v>28</v>
      </c>
      <c r="C19" t="s">
        <v>29</v>
      </c>
      <c r="D19" s="1">
        <v>45038</v>
      </c>
      <c r="E19">
        <v>17</v>
      </c>
      <c r="F19">
        <v>82</v>
      </c>
      <c r="G19">
        <v>4</v>
      </c>
      <c r="H19" t="s">
        <v>33</v>
      </c>
      <c r="I19" t="s">
        <v>51</v>
      </c>
      <c r="J19" s="3">
        <v>7.1779999999999999</v>
      </c>
      <c r="K19" s="3">
        <v>3.58</v>
      </c>
      <c r="L19" s="3">
        <v>0.56999999999999995</v>
      </c>
      <c r="M19" s="13"/>
      <c r="N19" s="13"/>
      <c r="O19" s="34">
        <v>0.83330000000000004</v>
      </c>
      <c r="P19" s="13"/>
      <c r="Q19" s="5">
        <v>1353000</v>
      </c>
      <c r="R19" s="8">
        <v>1038000</v>
      </c>
      <c r="S19" s="7">
        <f>R19/Q19</f>
        <v>0.76718403547671843</v>
      </c>
      <c r="T19">
        <v>1975</v>
      </c>
      <c r="U19" s="5">
        <f>R19*T19</f>
        <v>2050050000</v>
      </c>
      <c r="V19">
        <v>1944</v>
      </c>
      <c r="W19" s="5">
        <f>R19*V19</f>
        <v>2017872000</v>
      </c>
      <c r="X19" s="5">
        <v>2250000000</v>
      </c>
      <c r="Y19" s="29">
        <f>W19/X19</f>
        <v>0.89683199999999996</v>
      </c>
      <c r="Z19" s="9">
        <f>(U19-W15)/W15</f>
        <v>0.6235447849845569</v>
      </c>
      <c r="AA19" s="19">
        <f>Z19/(D19-D15)</f>
        <v>0.15588619624613922</v>
      </c>
    </row>
    <row r="20" spans="1:27" x14ac:dyDescent="0.3">
      <c r="A20" t="s">
        <v>52</v>
      </c>
      <c r="B20" t="s">
        <v>28</v>
      </c>
      <c r="C20" t="s">
        <v>29</v>
      </c>
      <c r="D20" s="1">
        <v>45039</v>
      </c>
      <c r="E20">
        <v>18</v>
      </c>
      <c r="F20">
        <v>83</v>
      </c>
      <c r="G20">
        <v>1</v>
      </c>
      <c r="H20" t="s">
        <v>35</v>
      </c>
      <c r="I20" t="s">
        <v>53</v>
      </c>
      <c r="J20" s="3">
        <v>7.2830000000000004</v>
      </c>
      <c r="K20" s="3">
        <v>3.83</v>
      </c>
      <c r="L20" s="3">
        <v>0.31</v>
      </c>
      <c r="M20">
        <v>82</v>
      </c>
      <c r="N20" s="6">
        <v>62.24804348</v>
      </c>
      <c r="O20" s="28"/>
      <c r="P20" s="43">
        <v>600</v>
      </c>
      <c r="Q20" s="13"/>
      <c r="R20" s="25"/>
      <c r="S20" s="13"/>
      <c r="T20" s="13"/>
      <c r="U20" s="14"/>
      <c r="V20" s="13"/>
      <c r="W20" s="14"/>
      <c r="X20" s="14"/>
      <c r="Y20" s="30"/>
      <c r="Z20" s="13"/>
      <c r="AA20" s="18"/>
    </row>
    <row r="21" spans="1:27" x14ac:dyDescent="0.3">
      <c r="A21" t="s">
        <v>54</v>
      </c>
      <c r="B21" t="s">
        <v>28</v>
      </c>
      <c r="C21" t="s">
        <v>29</v>
      </c>
      <c r="D21" s="1">
        <v>45040</v>
      </c>
      <c r="E21">
        <v>19</v>
      </c>
      <c r="F21">
        <v>83</v>
      </c>
      <c r="G21">
        <v>2</v>
      </c>
      <c r="H21" t="s">
        <v>35</v>
      </c>
      <c r="I21" t="s">
        <v>53</v>
      </c>
      <c r="J21" s="3">
        <v>7.226</v>
      </c>
      <c r="K21" s="3">
        <v>3.63</v>
      </c>
      <c r="L21" s="3">
        <v>0.53</v>
      </c>
      <c r="M21">
        <f>AVERAGE(30,80)</f>
        <v>55</v>
      </c>
      <c r="N21">
        <v>43.564</v>
      </c>
      <c r="O21" s="28"/>
      <c r="P21" s="43">
        <v>665</v>
      </c>
      <c r="Q21" s="13"/>
      <c r="R21" s="25"/>
      <c r="S21" s="13"/>
      <c r="T21" s="13"/>
      <c r="U21" s="14"/>
      <c r="V21" s="13"/>
      <c r="W21" s="14"/>
      <c r="X21" s="14"/>
      <c r="Y21" s="30"/>
      <c r="Z21" s="13"/>
      <c r="AA21" s="18"/>
    </row>
    <row r="22" spans="1:27" x14ac:dyDescent="0.3">
      <c r="A22" t="s">
        <v>55</v>
      </c>
      <c r="B22" t="s">
        <v>28</v>
      </c>
      <c r="C22" t="s">
        <v>29</v>
      </c>
      <c r="D22" s="1">
        <v>45041</v>
      </c>
      <c r="E22">
        <v>20</v>
      </c>
      <c r="F22">
        <v>83</v>
      </c>
      <c r="G22">
        <v>3</v>
      </c>
      <c r="H22" t="s">
        <v>35</v>
      </c>
      <c r="I22" t="s">
        <v>53</v>
      </c>
      <c r="J22" s="3">
        <v>7.1980000000000004</v>
      </c>
      <c r="K22" s="3">
        <v>3.53</v>
      </c>
      <c r="L22" s="3">
        <v>0.61</v>
      </c>
      <c r="M22">
        <f>AVERAGE(100,200)</f>
        <v>150</v>
      </c>
      <c r="N22">
        <v>91.965000000000003</v>
      </c>
      <c r="O22" s="28"/>
      <c r="P22" s="43">
        <v>423</v>
      </c>
      <c r="Q22" s="13"/>
      <c r="R22" s="25"/>
      <c r="S22" s="13"/>
      <c r="T22" s="13"/>
      <c r="U22" s="14"/>
      <c r="V22" s="13"/>
      <c r="W22" s="14"/>
      <c r="X22" s="14"/>
      <c r="Y22" s="30"/>
      <c r="Z22" s="13"/>
      <c r="AA22" s="18"/>
    </row>
    <row r="23" spans="1:27" x14ac:dyDescent="0.3">
      <c r="A23" t="s">
        <v>56</v>
      </c>
      <c r="B23" t="s">
        <v>28</v>
      </c>
      <c r="C23" t="s">
        <v>29</v>
      </c>
      <c r="D23" s="1">
        <v>45042</v>
      </c>
      <c r="E23">
        <v>21</v>
      </c>
      <c r="F23">
        <v>83</v>
      </c>
      <c r="G23">
        <v>4</v>
      </c>
      <c r="H23" t="s">
        <v>35</v>
      </c>
      <c r="I23" t="s">
        <v>53</v>
      </c>
      <c r="J23" s="3">
        <v>7.1619999999999999</v>
      </c>
      <c r="K23" s="3">
        <v>3.45</v>
      </c>
      <c r="L23" s="3">
        <v>0.67</v>
      </c>
      <c r="M23">
        <f>AVERAGE(80,350)</f>
        <v>215</v>
      </c>
      <c r="N23">
        <v>79.537000000000006</v>
      </c>
      <c r="O23" s="28"/>
      <c r="P23" s="43">
        <v>424</v>
      </c>
      <c r="Q23" s="13"/>
      <c r="R23" s="25"/>
      <c r="S23" s="13"/>
      <c r="T23" s="13"/>
      <c r="U23" s="14"/>
      <c r="V23" s="13"/>
      <c r="W23" s="14"/>
      <c r="X23" s="14"/>
      <c r="Y23" s="30"/>
      <c r="Z23" s="13"/>
      <c r="AA23" s="18"/>
    </row>
    <row r="24" spans="1:27" x14ac:dyDescent="0.3">
      <c r="A24" t="s">
        <v>57</v>
      </c>
      <c r="B24" t="s">
        <v>28</v>
      </c>
      <c r="C24" t="s">
        <v>29</v>
      </c>
      <c r="D24" s="1">
        <v>45043</v>
      </c>
      <c r="E24">
        <v>22</v>
      </c>
      <c r="F24">
        <v>83</v>
      </c>
      <c r="G24">
        <v>5</v>
      </c>
      <c r="H24" t="s">
        <v>35</v>
      </c>
      <c r="I24" t="s">
        <v>53</v>
      </c>
      <c r="J24" s="3">
        <v>7.1150000000000002</v>
      </c>
      <c r="K24" s="3">
        <v>3.33</v>
      </c>
      <c r="L24" s="3">
        <v>0.77</v>
      </c>
      <c r="M24">
        <f>AVERAGE(80,200)</f>
        <v>140</v>
      </c>
      <c r="N24">
        <v>91.903999999999996</v>
      </c>
      <c r="O24" s="28"/>
      <c r="P24" s="43">
        <v>33</v>
      </c>
      <c r="Q24" s="13"/>
      <c r="R24" s="25"/>
      <c r="S24" s="13"/>
      <c r="T24" s="13"/>
      <c r="U24" s="14"/>
      <c r="V24" s="13"/>
      <c r="W24" s="14"/>
      <c r="X24" s="14"/>
      <c r="Y24" s="30"/>
      <c r="Z24" s="13"/>
      <c r="AA24" s="18"/>
    </row>
    <row r="25" spans="1:27" x14ac:dyDescent="0.3">
      <c r="A25" t="s">
        <v>58</v>
      </c>
      <c r="B25" t="s">
        <v>28</v>
      </c>
      <c r="C25" t="s">
        <v>29</v>
      </c>
      <c r="D25" s="1">
        <v>45044</v>
      </c>
      <c r="E25">
        <v>23</v>
      </c>
      <c r="F25">
        <v>83</v>
      </c>
      <c r="G25">
        <v>6</v>
      </c>
      <c r="H25" t="s">
        <v>35</v>
      </c>
      <c r="I25" t="s">
        <v>53</v>
      </c>
      <c r="J25" s="3">
        <v>7.0919999999999996</v>
      </c>
      <c r="K25" s="3">
        <v>3.26</v>
      </c>
      <c r="L25" s="3">
        <v>0.82</v>
      </c>
      <c r="M25">
        <f>AVERAGE(100,350)</f>
        <v>225</v>
      </c>
      <c r="N25">
        <v>147.70699999999999</v>
      </c>
      <c r="O25" s="28"/>
      <c r="P25" s="43">
        <v>494</v>
      </c>
      <c r="Q25" s="13"/>
      <c r="R25" s="25"/>
      <c r="S25" s="13"/>
      <c r="T25" s="13"/>
      <c r="U25" s="14"/>
      <c r="V25" s="13"/>
      <c r="W25" s="14"/>
      <c r="X25" s="14"/>
      <c r="Y25" s="30"/>
      <c r="Z25" s="13"/>
      <c r="AA25" s="18"/>
    </row>
    <row r="26" spans="1:27" x14ac:dyDescent="0.3">
      <c r="A26" t="s">
        <v>59</v>
      </c>
      <c r="B26" t="s">
        <v>28</v>
      </c>
      <c r="C26" t="s">
        <v>29</v>
      </c>
      <c r="D26" s="1">
        <v>45045</v>
      </c>
      <c r="E26">
        <v>24</v>
      </c>
      <c r="F26">
        <v>83</v>
      </c>
      <c r="G26">
        <v>7</v>
      </c>
      <c r="H26" t="s">
        <v>35</v>
      </c>
      <c r="I26" t="s">
        <v>53</v>
      </c>
      <c r="J26" s="3">
        <v>7.0810000000000004</v>
      </c>
      <c r="K26" s="3">
        <v>3.23</v>
      </c>
      <c r="L26" s="3">
        <v>0.84</v>
      </c>
      <c r="M26">
        <v>225</v>
      </c>
      <c r="N26" s="6">
        <v>153.46325859999999</v>
      </c>
      <c r="O26" s="28"/>
      <c r="P26" s="43">
        <v>43</v>
      </c>
      <c r="Q26" s="13"/>
      <c r="R26" s="25"/>
      <c r="S26" s="13"/>
      <c r="T26" s="13"/>
      <c r="U26" s="14"/>
      <c r="V26" s="13"/>
      <c r="W26" s="14"/>
      <c r="X26" s="14"/>
      <c r="Y26" s="30"/>
      <c r="Z26" s="13"/>
      <c r="AA26" s="18"/>
    </row>
    <row r="27" spans="1:27" x14ac:dyDescent="0.3">
      <c r="A27" t="s">
        <v>60</v>
      </c>
      <c r="B27" t="s">
        <v>28</v>
      </c>
      <c r="C27" t="s">
        <v>29</v>
      </c>
      <c r="D27" s="1">
        <v>45046</v>
      </c>
      <c r="E27">
        <v>25</v>
      </c>
      <c r="F27">
        <v>83</v>
      </c>
      <c r="G27">
        <v>8</v>
      </c>
      <c r="H27" t="s">
        <v>35</v>
      </c>
      <c r="I27" t="s">
        <v>53</v>
      </c>
      <c r="J27" s="3">
        <v>7.069</v>
      </c>
      <c r="K27" s="3">
        <v>3.11</v>
      </c>
      <c r="L27" s="3">
        <v>0.93</v>
      </c>
      <c r="M27">
        <v>230</v>
      </c>
      <c r="N27" s="6">
        <v>136.7124857</v>
      </c>
      <c r="O27" s="28"/>
      <c r="P27" s="43">
        <v>217</v>
      </c>
      <c r="Q27" s="13"/>
      <c r="R27" s="25"/>
      <c r="S27" s="13"/>
      <c r="T27" s="13"/>
      <c r="U27" s="14"/>
      <c r="V27" s="13"/>
      <c r="W27" s="14"/>
      <c r="X27" s="14"/>
      <c r="Y27" s="30"/>
      <c r="Z27" s="13"/>
      <c r="AA27" s="18"/>
    </row>
    <row r="28" spans="1:27" x14ac:dyDescent="0.3">
      <c r="A28" t="s">
        <v>61</v>
      </c>
      <c r="B28" t="s">
        <v>28</v>
      </c>
      <c r="C28" t="s">
        <v>29</v>
      </c>
      <c r="D28" s="1">
        <v>45047</v>
      </c>
      <c r="E28">
        <v>26</v>
      </c>
      <c r="F28">
        <v>83</v>
      </c>
      <c r="G28">
        <v>9</v>
      </c>
      <c r="H28" t="s">
        <v>35</v>
      </c>
      <c r="I28" t="s">
        <v>53</v>
      </c>
      <c r="J28" s="3">
        <v>7.0910000000000002</v>
      </c>
      <c r="K28" s="3">
        <v>3.05</v>
      </c>
      <c r="L28" s="3">
        <v>0.96</v>
      </c>
      <c r="M28">
        <v>250</v>
      </c>
      <c r="N28">
        <v>172.88800000000001</v>
      </c>
      <c r="O28" s="28"/>
      <c r="P28" s="43">
        <v>166</v>
      </c>
      <c r="Q28" s="13"/>
      <c r="R28" s="25"/>
      <c r="S28" s="13"/>
      <c r="T28" s="13"/>
      <c r="U28" s="14"/>
      <c r="V28" s="13"/>
      <c r="W28" s="14"/>
      <c r="X28" s="14"/>
      <c r="Y28" s="30"/>
      <c r="Z28" s="13"/>
      <c r="AA28" s="18"/>
    </row>
    <row r="29" spans="1:27" x14ac:dyDescent="0.3">
      <c r="A29" t="s">
        <v>62</v>
      </c>
      <c r="B29" t="s">
        <v>28</v>
      </c>
      <c r="C29" t="s">
        <v>29</v>
      </c>
      <c r="D29" s="1">
        <v>45048</v>
      </c>
      <c r="E29">
        <v>27</v>
      </c>
      <c r="F29">
        <v>83</v>
      </c>
      <c r="G29">
        <v>10</v>
      </c>
      <c r="H29" t="s">
        <v>35</v>
      </c>
      <c r="I29" t="s">
        <v>53</v>
      </c>
      <c r="J29" s="3">
        <v>7.0579999999999998</v>
      </c>
      <c r="K29" s="3">
        <v>3.09</v>
      </c>
      <c r="L29" s="3">
        <v>0.94</v>
      </c>
      <c r="M29">
        <v>230</v>
      </c>
      <c r="N29" s="6">
        <v>121.95250849999999</v>
      </c>
      <c r="O29" s="28"/>
      <c r="P29" s="43">
        <v>23</v>
      </c>
      <c r="Q29" s="13"/>
      <c r="R29" s="25"/>
      <c r="S29" s="13"/>
      <c r="T29" s="13"/>
      <c r="U29" s="14"/>
      <c r="V29" s="13"/>
      <c r="W29" s="14"/>
      <c r="X29" s="14"/>
      <c r="Y29" s="30"/>
      <c r="Z29" s="13"/>
      <c r="AA29" s="18"/>
    </row>
    <row r="30" spans="1:27" x14ac:dyDescent="0.3">
      <c r="A30" t="s">
        <v>63</v>
      </c>
      <c r="B30" t="s">
        <v>28</v>
      </c>
      <c r="C30" t="s">
        <v>29</v>
      </c>
      <c r="D30" s="1">
        <v>45049</v>
      </c>
      <c r="E30">
        <v>28</v>
      </c>
      <c r="F30">
        <v>83</v>
      </c>
      <c r="G30">
        <v>11</v>
      </c>
      <c r="H30" t="s">
        <v>33</v>
      </c>
      <c r="I30" t="s">
        <v>53</v>
      </c>
      <c r="J30" s="3">
        <v>7.0270000000000001</v>
      </c>
      <c r="K30" s="3">
        <v>2.96</v>
      </c>
      <c r="L30" s="3">
        <v>1.03</v>
      </c>
      <c r="M30" s="3">
        <v>233</v>
      </c>
      <c r="N30">
        <v>78.840999999999994</v>
      </c>
      <c r="O30" s="28"/>
      <c r="P30" s="43">
        <v>143</v>
      </c>
      <c r="Q30" s="12">
        <v>6753000</v>
      </c>
      <c r="R30" s="26">
        <v>4017000</v>
      </c>
      <c r="S30" s="11">
        <f>R30/Q30</f>
        <v>0.5948467347845402</v>
      </c>
      <c r="T30" s="10">
        <v>1350</v>
      </c>
      <c r="U30" s="5">
        <f>T30*R30</f>
        <v>5422950000</v>
      </c>
      <c r="V30">
        <v>1309</v>
      </c>
      <c r="W30" s="5">
        <f>R30*V30</f>
        <v>5258253000</v>
      </c>
      <c r="X30" s="5">
        <v>5250000000</v>
      </c>
      <c r="Y30" s="29">
        <f>W30/X30</f>
        <v>1.0015719999999999</v>
      </c>
      <c r="Z30" s="9">
        <f>(U30-W19)/W19</f>
        <v>1.6874598587026333</v>
      </c>
      <c r="AA30" s="19">
        <f>Z30/(D30-D19)</f>
        <v>0.1534054417002394</v>
      </c>
    </row>
    <row r="31" spans="1:27" x14ac:dyDescent="0.3">
      <c r="A31" t="s">
        <v>64</v>
      </c>
      <c r="B31" t="s">
        <v>28</v>
      </c>
      <c r="C31" t="s">
        <v>29</v>
      </c>
      <c r="D31" s="1">
        <v>45050</v>
      </c>
      <c r="E31">
        <v>29</v>
      </c>
      <c r="F31">
        <v>84</v>
      </c>
      <c r="G31">
        <v>1</v>
      </c>
      <c r="H31" t="s">
        <v>35</v>
      </c>
      <c r="I31" t="s">
        <v>53</v>
      </c>
      <c r="J31" s="3">
        <v>7.3890000000000002</v>
      </c>
      <c r="K31" s="3">
        <v>3.83</v>
      </c>
      <c r="L31" s="3">
        <v>0.18</v>
      </c>
      <c r="M31" s="3">
        <v>50</v>
      </c>
      <c r="N31" s="6">
        <v>66.567999999999998</v>
      </c>
      <c r="O31" s="28"/>
      <c r="P31" s="44">
        <f>AVERAGE(228,407)</f>
        <v>317.5</v>
      </c>
      <c r="Q31" s="13"/>
      <c r="R31" s="25"/>
      <c r="S31" s="13"/>
      <c r="T31" s="13"/>
      <c r="U31" s="14"/>
      <c r="V31" s="13"/>
      <c r="W31" s="14"/>
      <c r="X31" s="14"/>
      <c r="Y31" s="30"/>
      <c r="Z31" s="13"/>
      <c r="AA31" s="18"/>
    </row>
    <row r="32" spans="1:27" x14ac:dyDescent="0.3">
      <c r="A32" t="s">
        <v>65</v>
      </c>
      <c r="B32" t="s">
        <v>28</v>
      </c>
      <c r="C32" t="s">
        <v>29</v>
      </c>
      <c r="D32" s="1">
        <v>45051</v>
      </c>
      <c r="E32">
        <v>30</v>
      </c>
      <c r="F32">
        <v>84</v>
      </c>
      <c r="G32">
        <v>2</v>
      </c>
      <c r="H32" t="s">
        <v>35</v>
      </c>
      <c r="I32" t="s">
        <v>53</v>
      </c>
      <c r="J32" s="3">
        <v>7.391</v>
      </c>
      <c r="K32" s="3">
        <v>3.73</v>
      </c>
      <c r="L32" s="3">
        <v>0.34</v>
      </c>
      <c r="M32" s="3">
        <v>127.5</v>
      </c>
      <c r="N32">
        <v>102.70699999999999</v>
      </c>
      <c r="O32" s="28"/>
      <c r="P32">
        <f>AVERAGE(106, 126)</f>
        <v>116</v>
      </c>
      <c r="Q32" s="13"/>
      <c r="R32" s="25"/>
      <c r="S32" s="13"/>
      <c r="T32" s="13"/>
      <c r="U32" s="14"/>
      <c r="V32" s="13"/>
      <c r="W32" s="14"/>
      <c r="X32" s="14"/>
      <c r="Y32" s="30"/>
      <c r="Z32" s="13"/>
      <c r="AA32" s="18"/>
    </row>
    <row r="33" spans="1:27" x14ac:dyDescent="0.3">
      <c r="A33" t="s">
        <v>66</v>
      </c>
      <c r="B33" t="s">
        <v>28</v>
      </c>
      <c r="C33" t="s">
        <v>29</v>
      </c>
      <c r="D33" s="1">
        <v>45052</v>
      </c>
      <c r="E33">
        <v>31</v>
      </c>
      <c r="F33">
        <v>84</v>
      </c>
      <c r="G33">
        <v>3</v>
      </c>
      <c r="H33" t="s">
        <v>35</v>
      </c>
      <c r="I33" t="s">
        <v>53</v>
      </c>
      <c r="J33" s="3">
        <v>7.33</v>
      </c>
      <c r="K33" s="3">
        <v>3.7</v>
      </c>
      <c r="L33" s="3">
        <v>0.44</v>
      </c>
      <c r="M33" s="3">
        <v>107.5</v>
      </c>
      <c r="N33" s="6">
        <v>90.600500000000011</v>
      </c>
      <c r="O33" s="28"/>
      <c r="P33">
        <f>AVERAGE(343,307)</f>
        <v>325</v>
      </c>
      <c r="Q33" s="13"/>
      <c r="R33" s="25"/>
      <c r="S33" s="13"/>
      <c r="T33" s="13"/>
      <c r="U33" s="14"/>
      <c r="V33" s="13"/>
      <c r="W33" s="14"/>
      <c r="X33" s="14"/>
      <c r="Y33" s="30"/>
      <c r="Z33" s="13"/>
      <c r="AA33" s="18"/>
    </row>
    <row r="34" spans="1:27" x14ac:dyDescent="0.3">
      <c r="A34" t="s">
        <v>67</v>
      </c>
      <c r="B34" t="s">
        <v>28</v>
      </c>
      <c r="C34" t="s">
        <v>29</v>
      </c>
      <c r="D34" s="1">
        <v>45053</v>
      </c>
      <c r="E34">
        <v>32</v>
      </c>
      <c r="F34">
        <v>84</v>
      </c>
      <c r="G34">
        <v>4</v>
      </c>
      <c r="H34" t="s">
        <v>35</v>
      </c>
      <c r="I34" t="s">
        <v>53</v>
      </c>
      <c r="J34" s="3">
        <v>7.3109999999999999</v>
      </c>
      <c r="K34" s="3">
        <v>3.62</v>
      </c>
      <c r="L34" s="3">
        <v>0.51</v>
      </c>
      <c r="M34" s="3">
        <v>105</v>
      </c>
      <c r="N34">
        <v>85.884</v>
      </c>
      <c r="O34" s="28"/>
      <c r="P34">
        <f>AVERAGE(67,
65,
79,
70, 314)</f>
        <v>119</v>
      </c>
      <c r="Q34" s="13"/>
      <c r="R34" s="25"/>
      <c r="S34" s="13"/>
      <c r="T34" s="13"/>
      <c r="U34" s="14"/>
      <c r="V34" s="13"/>
      <c r="W34" s="14"/>
      <c r="X34" s="14"/>
      <c r="Y34" s="30"/>
      <c r="Z34" s="13"/>
      <c r="AA34" s="18"/>
    </row>
    <row r="35" spans="1:27" x14ac:dyDescent="0.3">
      <c r="A35" t="s">
        <v>68</v>
      </c>
      <c r="B35" t="s">
        <v>28</v>
      </c>
      <c r="C35" t="s">
        <v>29</v>
      </c>
      <c r="D35" s="1">
        <v>45054</v>
      </c>
      <c r="E35">
        <v>33</v>
      </c>
      <c r="F35">
        <v>84</v>
      </c>
      <c r="G35">
        <v>5</v>
      </c>
      <c r="H35" t="s">
        <v>35</v>
      </c>
      <c r="I35" t="s">
        <v>53</v>
      </c>
      <c r="J35" s="3">
        <v>7.21</v>
      </c>
      <c r="K35" s="3">
        <v>3.52</v>
      </c>
      <c r="L35" s="3">
        <v>0.55000000000000004</v>
      </c>
      <c r="M35" s="3">
        <v>150</v>
      </c>
      <c r="N35">
        <v>59.616500000000002</v>
      </c>
      <c r="O35" s="28"/>
      <c r="P35">
        <f>AVERAGE(237,183)</f>
        <v>210</v>
      </c>
      <c r="Q35" s="13"/>
      <c r="R35" s="25"/>
      <c r="S35" s="13"/>
      <c r="T35" s="13"/>
      <c r="U35" s="14"/>
      <c r="V35" s="13"/>
      <c r="W35" s="14"/>
      <c r="X35" s="14"/>
      <c r="Y35" s="30"/>
      <c r="Z35" s="13"/>
      <c r="AA35" s="18"/>
    </row>
    <row r="36" spans="1:27" x14ac:dyDescent="0.3">
      <c r="A36" t="s">
        <v>69</v>
      </c>
      <c r="B36" t="s">
        <v>28</v>
      </c>
      <c r="C36" t="s">
        <v>29</v>
      </c>
      <c r="D36" s="1">
        <v>45055</v>
      </c>
      <c r="E36">
        <v>34</v>
      </c>
      <c r="F36">
        <v>84</v>
      </c>
      <c r="G36">
        <v>6</v>
      </c>
      <c r="H36" t="s">
        <v>35</v>
      </c>
      <c r="I36" t="s">
        <v>53</v>
      </c>
      <c r="J36" s="3">
        <v>7.19</v>
      </c>
      <c r="K36" s="3">
        <v>3.48</v>
      </c>
      <c r="L36" s="3">
        <v>0.57999999999999996</v>
      </c>
      <c r="M36" s="3">
        <v>273</v>
      </c>
      <c r="N36">
        <v>123.28</v>
      </c>
      <c r="O36" s="28"/>
      <c r="P36">
        <f>AVERAGE(265,215)</f>
        <v>240</v>
      </c>
      <c r="Q36" s="13"/>
      <c r="R36" s="25"/>
      <c r="S36" s="13"/>
      <c r="T36" s="13"/>
      <c r="U36" s="14"/>
      <c r="V36" s="13"/>
      <c r="W36" s="14"/>
      <c r="X36" s="14"/>
      <c r="Y36" s="30"/>
      <c r="Z36" s="13"/>
      <c r="AA36" s="18"/>
    </row>
    <row r="37" spans="1:27" x14ac:dyDescent="0.3">
      <c r="A37" t="s">
        <v>70</v>
      </c>
      <c r="B37" t="s">
        <v>28</v>
      </c>
      <c r="C37" t="s">
        <v>29</v>
      </c>
      <c r="D37" s="1">
        <v>45056</v>
      </c>
      <c r="E37">
        <v>35</v>
      </c>
      <c r="F37">
        <v>84</v>
      </c>
      <c r="G37">
        <v>7</v>
      </c>
      <c r="H37" t="s">
        <v>35</v>
      </c>
      <c r="I37" t="s">
        <v>53</v>
      </c>
      <c r="J37" s="3">
        <v>7.1980000000000004</v>
      </c>
      <c r="K37" s="3">
        <v>3.45</v>
      </c>
      <c r="L37" s="3">
        <v>0.64</v>
      </c>
      <c r="M37" s="3">
        <v>250</v>
      </c>
      <c r="N37">
        <v>165.95600000000002</v>
      </c>
      <c r="O37" s="28"/>
      <c r="P37">
        <f>AVERAGE(171,155)</f>
        <v>163</v>
      </c>
      <c r="Q37" s="13"/>
      <c r="R37" s="25"/>
      <c r="S37" s="13"/>
      <c r="T37" s="13"/>
      <c r="U37" s="14"/>
      <c r="V37" s="13"/>
      <c r="W37" s="14"/>
      <c r="X37" s="14"/>
      <c r="Y37" s="30"/>
      <c r="Z37" s="13"/>
      <c r="AA37" s="18"/>
    </row>
    <row r="38" spans="1:27" x14ac:dyDescent="0.3">
      <c r="A38" t="s">
        <v>71</v>
      </c>
      <c r="B38" t="s">
        <v>28</v>
      </c>
      <c r="C38" t="s">
        <v>29</v>
      </c>
      <c r="D38" s="1">
        <v>45057</v>
      </c>
      <c r="E38">
        <v>36</v>
      </c>
      <c r="F38">
        <v>84</v>
      </c>
      <c r="G38">
        <v>8</v>
      </c>
      <c r="H38" t="s">
        <v>35</v>
      </c>
      <c r="I38" t="s">
        <v>53</v>
      </c>
      <c r="J38" s="3">
        <v>7.1289999999999996</v>
      </c>
      <c r="K38" s="3">
        <v>3.38</v>
      </c>
      <c r="L38" s="3">
        <v>0.69</v>
      </c>
      <c r="M38" s="3">
        <v>221</v>
      </c>
      <c r="N38">
        <v>75.918999999999997</v>
      </c>
      <c r="O38" s="28"/>
      <c r="P38" s="44">
        <f>AVERAGE(40,
30,
33,
44,92)</f>
        <v>47.8</v>
      </c>
      <c r="Q38" s="13"/>
      <c r="R38" s="25"/>
      <c r="S38" s="13"/>
      <c r="T38" s="13"/>
      <c r="U38" s="14"/>
      <c r="V38" s="13"/>
      <c r="W38" s="14"/>
      <c r="X38" s="14"/>
      <c r="Y38" s="30"/>
      <c r="Z38" s="13"/>
      <c r="AA38" s="18"/>
    </row>
    <row r="39" spans="1:27" x14ac:dyDescent="0.3">
      <c r="A39" t="s">
        <v>72</v>
      </c>
      <c r="B39" t="s">
        <v>28</v>
      </c>
      <c r="C39" t="s">
        <v>29</v>
      </c>
      <c r="D39" s="1">
        <v>45058</v>
      </c>
      <c r="E39">
        <v>37</v>
      </c>
      <c r="F39">
        <v>84</v>
      </c>
      <c r="G39">
        <v>9</v>
      </c>
      <c r="H39" t="s">
        <v>35</v>
      </c>
      <c r="I39" t="s">
        <v>53</v>
      </c>
      <c r="J39" s="3">
        <v>7.1180000000000003</v>
      </c>
      <c r="K39" s="3">
        <v>3.32</v>
      </c>
      <c r="L39" s="3">
        <v>0.74</v>
      </c>
      <c r="M39" s="3">
        <v>234</v>
      </c>
      <c r="N39">
        <v>191.339</v>
      </c>
      <c r="O39" s="28"/>
      <c r="P39">
        <f>AVERAGE(296,178)</f>
        <v>237</v>
      </c>
      <c r="Q39" s="13"/>
      <c r="R39" s="25"/>
      <c r="S39" s="13"/>
      <c r="T39" s="13"/>
      <c r="U39" s="14"/>
      <c r="V39" s="13"/>
      <c r="W39" s="14"/>
      <c r="X39" s="14"/>
      <c r="Y39" s="30"/>
      <c r="Z39" s="13"/>
      <c r="AA39" s="18"/>
    </row>
    <row r="40" spans="1:27" x14ac:dyDescent="0.3">
      <c r="A40" t="s">
        <v>73</v>
      </c>
      <c r="B40" t="s">
        <v>28</v>
      </c>
      <c r="C40" t="s">
        <v>29</v>
      </c>
      <c r="D40" s="1">
        <v>45059</v>
      </c>
      <c r="E40">
        <v>38</v>
      </c>
      <c r="F40">
        <v>84</v>
      </c>
      <c r="G40">
        <v>10</v>
      </c>
      <c r="H40" t="s">
        <v>33</v>
      </c>
      <c r="I40" t="s">
        <v>53</v>
      </c>
      <c r="J40" s="3">
        <v>7.1260000000000003</v>
      </c>
      <c r="K40" s="3">
        <v>3.29</v>
      </c>
      <c r="L40" s="3">
        <v>0.73</v>
      </c>
      <c r="M40" s="3">
        <v>224</v>
      </c>
      <c r="N40" s="16">
        <v>175.92849999999999</v>
      </c>
      <c r="O40" s="28"/>
      <c r="P40">
        <f>AVERAGE(68,60)</f>
        <v>64</v>
      </c>
      <c r="Q40" s="5">
        <v>5243000</v>
      </c>
      <c r="R40" s="8">
        <v>2947000</v>
      </c>
      <c r="S40" s="7">
        <f>R40/Q40</f>
        <v>0.56208277703604803</v>
      </c>
      <c r="T40">
        <f>1850+1350</f>
        <v>3200</v>
      </c>
      <c r="U40" s="5">
        <f>(1850*2960000)+(1350*2930000)</f>
        <v>9431500000</v>
      </c>
      <c r="V40">
        <v>3130</v>
      </c>
      <c r="W40" s="5">
        <f>(1850*2960000)+(1280*2930000)</f>
        <v>9226400000</v>
      </c>
      <c r="X40" s="5">
        <v>9000000000</v>
      </c>
      <c r="Y40" s="29">
        <f>W40/X40</f>
        <v>1.0251555555555556</v>
      </c>
      <c r="Z40" s="9">
        <f>(U40-W30)/W30</f>
        <v>0.79365656236016036</v>
      </c>
      <c r="AA40" s="19">
        <f>Z40/(D40-D30)</f>
        <v>7.9365656236016033E-2</v>
      </c>
    </row>
    <row r="41" spans="1:27" x14ac:dyDescent="0.3">
      <c r="A41" t="s">
        <v>74</v>
      </c>
      <c r="B41" t="s">
        <v>28</v>
      </c>
      <c r="C41" t="s">
        <v>29</v>
      </c>
      <c r="D41" s="1">
        <v>45060</v>
      </c>
      <c r="E41">
        <v>39</v>
      </c>
      <c r="F41">
        <v>85</v>
      </c>
      <c r="G41">
        <v>1</v>
      </c>
      <c r="H41" t="s">
        <v>35</v>
      </c>
      <c r="I41" t="s">
        <v>53</v>
      </c>
      <c r="J41" s="3">
        <v>7.3410000000000002</v>
      </c>
      <c r="K41" s="3">
        <v>3.6850000000000001</v>
      </c>
      <c r="L41" s="3">
        <v>0.19</v>
      </c>
      <c r="M41" s="3">
        <v>59</v>
      </c>
      <c r="N41" s="6">
        <v>41.86033333333333</v>
      </c>
      <c r="O41" s="28"/>
      <c r="P41">
        <f>AVERAGE( 826,607,718)</f>
        <v>717</v>
      </c>
      <c r="Q41" s="13"/>
      <c r="R41" s="25"/>
      <c r="S41" s="13"/>
      <c r="T41" s="13"/>
      <c r="U41" s="14"/>
      <c r="V41" s="13"/>
      <c r="W41" s="14"/>
      <c r="X41" s="14"/>
      <c r="Y41" s="30"/>
      <c r="Z41" s="13"/>
      <c r="AA41" s="18"/>
    </row>
    <row r="42" spans="1:27" x14ac:dyDescent="0.3">
      <c r="A42" t="s">
        <v>75</v>
      </c>
      <c r="B42" t="s">
        <v>28</v>
      </c>
      <c r="C42" t="s">
        <v>29</v>
      </c>
      <c r="D42" s="1">
        <v>45061</v>
      </c>
      <c r="E42">
        <v>40</v>
      </c>
      <c r="F42">
        <v>85</v>
      </c>
      <c r="G42">
        <v>2</v>
      </c>
      <c r="H42" t="s">
        <v>76</v>
      </c>
      <c r="I42" t="s">
        <v>53</v>
      </c>
      <c r="J42" s="15"/>
      <c r="K42" s="15"/>
      <c r="L42" s="15"/>
      <c r="M42" s="15"/>
      <c r="N42" s="15"/>
      <c r="O42" s="28"/>
      <c r="P42" s="13"/>
      <c r="Q42" s="13"/>
      <c r="R42" s="25"/>
      <c r="S42" s="13"/>
      <c r="T42" s="13"/>
      <c r="U42" s="14"/>
      <c r="V42" s="13"/>
      <c r="W42" s="14"/>
      <c r="X42" s="14"/>
      <c r="Y42" s="30"/>
      <c r="Z42" s="13"/>
      <c r="AA42" s="18"/>
    </row>
    <row r="43" spans="1:27" x14ac:dyDescent="0.3">
      <c r="A43" t="s">
        <v>77</v>
      </c>
      <c r="B43" t="s">
        <v>28</v>
      </c>
      <c r="C43" t="s">
        <v>29</v>
      </c>
      <c r="D43" s="1">
        <v>45062</v>
      </c>
      <c r="E43">
        <v>41</v>
      </c>
      <c r="F43">
        <v>85</v>
      </c>
      <c r="G43">
        <v>3</v>
      </c>
      <c r="H43" t="s">
        <v>78</v>
      </c>
      <c r="I43" t="s">
        <v>53</v>
      </c>
      <c r="J43" s="3">
        <v>7.2569999999999997</v>
      </c>
      <c r="K43" s="3">
        <v>3.55</v>
      </c>
      <c r="L43" s="3">
        <v>0.65</v>
      </c>
      <c r="M43" s="3">
        <v>110</v>
      </c>
      <c r="N43">
        <f>AVERAGE(163.371,105.698,94.347)</f>
        <v>121.13866666666667</v>
      </c>
      <c r="O43" s="28"/>
      <c r="P43" s="44">
        <f>AVERAGE(77, 182, 204)</f>
        <v>154.33333333333334</v>
      </c>
      <c r="Q43" s="13"/>
      <c r="R43" s="25"/>
      <c r="S43" s="13"/>
      <c r="T43" s="13"/>
      <c r="U43" s="14"/>
      <c r="V43" s="13"/>
      <c r="W43" s="14"/>
      <c r="X43" s="14"/>
      <c r="Y43" s="30"/>
      <c r="Z43" s="13"/>
      <c r="AA43" s="18"/>
    </row>
    <row r="44" spans="1:27" x14ac:dyDescent="0.3">
      <c r="A44" t="s">
        <v>79</v>
      </c>
      <c r="B44" t="s">
        <v>28</v>
      </c>
      <c r="C44" t="s">
        <v>29</v>
      </c>
      <c r="D44" s="1">
        <v>45063</v>
      </c>
      <c r="E44">
        <v>42</v>
      </c>
      <c r="F44">
        <v>85</v>
      </c>
      <c r="G44">
        <v>4</v>
      </c>
      <c r="H44" t="s">
        <v>76</v>
      </c>
      <c r="I44" t="s">
        <v>53</v>
      </c>
      <c r="J44" s="15"/>
      <c r="K44" s="15"/>
      <c r="L44" s="15"/>
      <c r="M44" s="15"/>
      <c r="N44" s="15"/>
      <c r="O44" s="28"/>
      <c r="P44" s="13"/>
      <c r="Q44" s="13"/>
      <c r="R44" s="25"/>
      <c r="S44" s="13"/>
      <c r="T44" s="13"/>
      <c r="U44" s="14"/>
      <c r="V44" s="13"/>
      <c r="W44" s="14"/>
      <c r="X44" s="14"/>
      <c r="Y44" s="30"/>
      <c r="Z44" s="13"/>
      <c r="AA44" s="18"/>
    </row>
    <row r="45" spans="1:27" x14ac:dyDescent="0.3">
      <c r="A45" t="s">
        <v>80</v>
      </c>
      <c r="B45" t="s">
        <v>28</v>
      </c>
      <c r="C45" t="s">
        <v>29</v>
      </c>
      <c r="D45" s="1">
        <v>45064</v>
      </c>
      <c r="E45">
        <v>43</v>
      </c>
      <c r="F45">
        <v>85</v>
      </c>
      <c r="G45">
        <v>5</v>
      </c>
      <c r="H45" t="s">
        <v>78</v>
      </c>
      <c r="I45" t="s">
        <v>53</v>
      </c>
      <c r="J45" s="3">
        <v>7.1529999999999996</v>
      </c>
      <c r="K45" s="3">
        <v>3.24</v>
      </c>
      <c r="L45" s="3">
        <v>0.85</v>
      </c>
      <c r="M45" s="3">
        <v>150</v>
      </c>
      <c r="N45">
        <f>AVERAGE(93.511,97.287,79.163)</f>
        <v>89.987000000000009</v>
      </c>
      <c r="O45" s="28"/>
      <c r="P45" s="44">
        <f>AVERAGE(199,219,148)</f>
        <v>188.66666666666666</v>
      </c>
      <c r="Q45" s="13"/>
      <c r="R45" s="25"/>
      <c r="S45" s="13"/>
      <c r="T45" s="13"/>
      <c r="U45" s="14"/>
      <c r="V45" s="13"/>
      <c r="W45" s="14"/>
      <c r="X45" s="14"/>
      <c r="Y45" s="30"/>
      <c r="Z45" s="13"/>
      <c r="AA45" s="18"/>
    </row>
    <row r="46" spans="1:27" x14ac:dyDescent="0.3">
      <c r="A46" t="s">
        <v>81</v>
      </c>
      <c r="B46" t="s">
        <v>28</v>
      </c>
      <c r="C46" t="s">
        <v>29</v>
      </c>
      <c r="D46" s="1">
        <v>45065</v>
      </c>
      <c r="E46">
        <v>44</v>
      </c>
      <c r="F46">
        <v>85</v>
      </c>
      <c r="G46">
        <v>6</v>
      </c>
      <c r="H46" t="s">
        <v>76</v>
      </c>
      <c r="I46" t="s">
        <v>53</v>
      </c>
      <c r="J46" s="15"/>
      <c r="K46" s="15"/>
      <c r="L46" s="15"/>
      <c r="M46" s="15"/>
      <c r="N46" s="15"/>
      <c r="O46" s="28"/>
      <c r="P46" s="13"/>
      <c r="Q46" s="13"/>
      <c r="R46" s="25"/>
      <c r="S46" s="13"/>
      <c r="T46" s="13"/>
      <c r="U46" s="14"/>
      <c r="V46" s="13"/>
      <c r="W46" s="14"/>
      <c r="X46" s="14"/>
      <c r="Y46" s="30"/>
      <c r="Z46" s="13"/>
      <c r="AA46" s="18"/>
    </row>
    <row r="47" spans="1:27" x14ac:dyDescent="0.3">
      <c r="A47" t="s">
        <v>81</v>
      </c>
      <c r="B47" t="s">
        <v>28</v>
      </c>
      <c r="C47" t="s">
        <v>29</v>
      </c>
      <c r="D47" s="1">
        <v>45066</v>
      </c>
      <c r="E47">
        <v>45</v>
      </c>
      <c r="F47">
        <v>85</v>
      </c>
      <c r="G47">
        <v>7</v>
      </c>
      <c r="H47" t="s">
        <v>78</v>
      </c>
      <c r="I47" t="s">
        <v>53</v>
      </c>
      <c r="J47" s="3">
        <v>7.101</v>
      </c>
      <c r="K47" s="3">
        <v>3.11</v>
      </c>
      <c r="L47" s="3">
        <v>0.99</v>
      </c>
      <c r="M47" s="3">
        <v>183</v>
      </c>
      <c r="N47">
        <f>AVERAGE(125.938,85.01,69.54)</f>
        <v>93.495999999999995</v>
      </c>
      <c r="O47" s="28"/>
      <c r="P47" s="44">
        <f>AVERAGE(40,
86,
83,
51,86,6,7,4,16)</f>
        <v>42.111111111111114</v>
      </c>
      <c r="Q47" s="13"/>
      <c r="R47" s="25"/>
      <c r="S47" s="13"/>
      <c r="T47" s="13"/>
      <c r="U47" s="14"/>
      <c r="V47" s="13"/>
      <c r="W47" s="14"/>
      <c r="X47" s="14"/>
      <c r="Y47" s="30"/>
      <c r="Z47" s="13"/>
      <c r="AA47" s="18"/>
    </row>
    <row r="48" spans="1:27" x14ac:dyDescent="0.3">
      <c r="A48" t="s">
        <v>81</v>
      </c>
      <c r="B48" t="s">
        <v>28</v>
      </c>
      <c r="C48" t="s">
        <v>29</v>
      </c>
      <c r="D48" s="1">
        <v>45067</v>
      </c>
      <c r="E48">
        <v>46</v>
      </c>
      <c r="F48">
        <v>85</v>
      </c>
      <c r="G48">
        <v>8</v>
      </c>
      <c r="H48" t="s">
        <v>76</v>
      </c>
      <c r="I48" t="s">
        <v>53</v>
      </c>
      <c r="J48" s="15"/>
      <c r="K48" s="15"/>
      <c r="L48" s="15"/>
      <c r="M48" s="15"/>
      <c r="N48" s="15"/>
      <c r="O48" s="28"/>
      <c r="P48" s="13"/>
      <c r="Q48" s="13"/>
      <c r="R48" s="25"/>
      <c r="S48" s="13"/>
      <c r="T48" s="13"/>
      <c r="U48" s="14"/>
      <c r="V48" s="13"/>
      <c r="W48" s="14"/>
      <c r="X48" s="14"/>
      <c r="Y48" s="30"/>
      <c r="Z48" s="13"/>
      <c r="AA48" s="18"/>
    </row>
    <row r="49" spans="1:27" x14ac:dyDescent="0.3">
      <c r="A49" t="s">
        <v>81</v>
      </c>
      <c r="B49" t="s">
        <v>28</v>
      </c>
      <c r="C49" t="s">
        <v>29</v>
      </c>
      <c r="D49" s="1">
        <v>45068</v>
      </c>
      <c r="E49">
        <v>47</v>
      </c>
      <c r="F49">
        <v>85</v>
      </c>
      <c r="G49">
        <v>9</v>
      </c>
      <c r="H49" t="s">
        <v>78</v>
      </c>
      <c r="I49" t="s">
        <v>53</v>
      </c>
      <c r="J49" s="3">
        <v>7.0830000000000002</v>
      </c>
      <c r="K49" s="3">
        <v>2.93</v>
      </c>
      <c r="L49" s="3">
        <v>1.1599999999999999</v>
      </c>
      <c r="M49" s="3">
        <v>193</v>
      </c>
      <c r="N49">
        <f>AVERAGE(168.111,129.79,167.144)</f>
        <v>155.01499999999999</v>
      </c>
      <c r="O49" s="28"/>
      <c r="P49" s="44">
        <f>AVERAGE(64,34,
12,
18,
57,102)</f>
        <v>47.833333333333336</v>
      </c>
      <c r="Q49" s="13"/>
      <c r="R49" s="25"/>
      <c r="S49" s="13"/>
      <c r="T49" s="13"/>
      <c r="U49" s="14"/>
      <c r="V49" s="13"/>
      <c r="W49" s="14"/>
      <c r="X49" s="14"/>
      <c r="Y49" s="30"/>
      <c r="Z49" s="13"/>
      <c r="AA49" s="18"/>
    </row>
    <row r="50" spans="1:27" x14ac:dyDescent="0.3">
      <c r="A50" t="s">
        <v>81</v>
      </c>
      <c r="B50" t="s">
        <v>28</v>
      </c>
      <c r="C50" t="s">
        <v>29</v>
      </c>
      <c r="D50" s="1">
        <v>45069</v>
      </c>
      <c r="E50">
        <v>48</v>
      </c>
      <c r="F50">
        <v>85</v>
      </c>
      <c r="G50">
        <v>10</v>
      </c>
      <c r="H50" t="s">
        <v>76</v>
      </c>
      <c r="I50" t="s">
        <v>53</v>
      </c>
      <c r="J50" s="15"/>
      <c r="K50" s="15"/>
      <c r="L50" s="15"/>
      <c r="M50" s="15"/>
      <c r="N50" s="15"/>
      <c r="O50" s="28"/>
      <c r="P50" s="13"/>
      <c r="Q50" s="13"/>
      <c r="R50" s="25"/>
      <c r="S50" s="13"/>
      <c r="T50" s="13"/>
      <c r="U50" s="14"/>
      <c r="V50" s="13"/>
      <c r="W50" s="14"/>
      <c r="X50" s="14"/>
      <c r="Y50" s="30"/>
      <c r="Z50" s="13"/>
      <c r="AA50" s="18"/>
    </row>
    <row r="51" spans="1:27" x14ac:dyDescent="0.3">
      <c r="A51" t="s">
        <v>81</v>
      </c>
      <c r="B51" t="s">
        <v>28</v>
      </c>
      <c r="C51" t="s">
        <v>29</v>
      </c>
      <c r="D51" s="1">
        <v>45070</v>
      </c>
      <c r="E51">
        <v>49</v>
      </c>
      <c r="F51">
        <v>85</v>
      </c>
      <c r="G51">
        <v>11</v>
      </c>
      <c r="H51" t="s">
        <v>78</v>
      </c>
      <c r="I51" t="s">
        <v>53</v>
      </c>
      <c r="J51" s="3">
        <v>7.0140000000000002</v>
      </c>
      <c r="K51" s="3">
        <v>2.77</v>
      </c>
      <c r="L51" s="3">
        <v>1.24</v>
      </c>
      <c r="M51" s="3">
        <v>268</v>
      </c>
      <c r="N51">
        <f>AVERAGE(43.473,197.904,204.241)</f>
        <v>148.53933333333336</v>
      </c>
      <c r="O51" s="28"/>
      <c r="P51" s="44">
        <f>AVERAGE(524,76,35)</f>
        <v>211.66666666666666</v>
      </c>
      <c r="Q51" s="13"/>
      <c r="R51" s="25"/>
      <c r="S51" s="13"/>
      <c r="T51" s="13"/>
      <c r="U51" s="14"/>
      <c r="V51" s="13"/>
      <c r="W51" s="14"/>
      <c r="X51" s="14"/>
      <c r="Y51" s="30"/>
      <c r="Z51" s="13"/>
      <c r="AA51" s="18"/>
    </row>
    <row r="52" spans="1:27" x14ac:dyDescent="0.3">
      <c r="A52" t="s">
        <v>81</v>
      </c>
      <c r="B52" t="s">
        <v>28</v>
      </c>
      <c r="C52" t="s">
        <v>29</v>
      </c>
      <c r="D52" s="1">
        <v>45071</v>
      </c>
      <c r="E52">
        <v>50</v>
      </c>
      <c r="F52">
        <v>85</v>
      </c>
      <c r="G52">
        <v>12</v>
      </c>
      <c r="H52" t="s">
        <v>76</v>
      </c>
      <c r="I52" t="s">
        <v>53</v>
      </c>
      <c r="J52" s="15"/>
      <c r="K52" s="15"/>
      <c r="L52" s="15"/>
      <c r="M52" s="15"/>
      <c r="N52" s="15"/>
      <c r="O52" s="28"/>
      <c r="P52" s="13"/>
      <c r="Q52" s="13"/>
      <c r="R52" s="25"/>
      <c r="S52" s="13"/>
      <c r="T52" s="13"/>
      <c r="U52" s="14"/>
      <c r="V52" s="13"/>
      <c r="W52" s="14"/>
      <c r="X52" s="14"/>
      <c r="Y52" s="30"/>
      <c r="Z52" s="13"/>
      <c r="AA52" s="18"/>
    </row>
    <row r="53" spans="1:27" x14ac:dyDescent="0.3">
      <c r="A53" t="s">
        <v>81</v>
      </c>
      <c r="B53" t="s">
        <v>28</v>
      </c>
      <c r="C53" t="s">
        <v>29</v>
      </c>
      <c r="D53" s="1">
        <v>45072</v>
      </c>
      <c r="E53">
        <v>51</v>
      </c>
      <c r="F53">
        <v>85</v>
      </c>
      <c r="G53">
        <v>13</v>
      </c>
      <c r="H53" t="s">
        <v>78</v>
      </c>
      <c r="I53" t="s">
        <v>53</v>
      </c>
      <c r="J53" s="3">
        <v>7.0229999999999997</v>
      </c>
      <c r="K53" s="3">
        <v>2.79</v>
      </c>
      <c r="L53" s="3">
        <v>1.23</v>
      </c>
      <c r="M53">
        <v>240</v>
      </c>
      <c r="N53" s="17">
        <f>AVERAGE(165.053,174.931,202.733)</f>
        <v>180.90566666666669</v>
      </c>
      <c r="O53" s="28"/>
      <c r="P53" s="44">
        <f>AVERAGE(95,15,10,
2,
2,
11)</f>
        <v>22.5</v>
      </c>
      <c r="Q53" s="13"/>
      <c r="R53" s="25"/>
      <c r="S53" s="13"/>
      <c r="T53" s="13"/>
      <c r="U53" s="14"/>
      <c r="V53" s="13"/>
      <c r="W53" s="14"/>
      <c r="X53" s="14"/>
      <c r="Y53" s="30"/>
      <c r="Z53" s="13"/>
      <c r="AA53" s="18"/>
    </row>
    <row r="54" spans="1:27" x14ac:dyDescent="0.3">
      <c r="A54" t="s">
        <v>81</v>
      </c>
      <c r="B54" t="s">
        <v>28</v>
      </c>
      <c r="C54" t="s">
        <v>29</v>
      </c>
      <c r="D54" s="1">
        <v>45073</v>
      </c>
      <c r="E54">
        <v>52</v>
      </c>
      <c r="F54">
        <v>85</v>
      </c>
      <c r="G54">
        <v>14</v>
      </c>
      <c r="H54" t="s">
        <v>76</v>
      </c>
      <c r="I54" t="s">
        <v>53</v>
      </c>
      <c r="J54" s="15"/>
      <c r="K54" s="15"/>
      <c r="L54" s="15"/>
      <c r="M54" s="15"/>
      <c r="N54" s="15"/>
      <c r="O54" s="28"/>
      <c r="P54" s="13"/>
      <c r="Q54" s="13"/>
      <c r="R54" s="25"/>
      <c r="S54" s="13"/>
      <c r="T54" s="13"/>
      <c r="U54" s="14"/>
      <c r="V54" s="13"/>
      <c r="W54" s="14"/>
      <c r="X54" s="14"/>
      <c r="Y54" s="30"/>
      <c r="Z54" s="13"/>
      <c r="AA54" s="18"/>
    </row>
    <row r="55" spans="1:27" x14ac:dyDescent="0.3">
      <c r="A55" t="s">
        <v>81</v>
      </c>
      <c r="B55" t="s">
        <v>28</v>
      </c>
      <c r="C55" t="s">
        <v>29</v>
      </c>
      <c r="D55" s="1">
        <v>45074</v>
      </c>
      <c r="E55">
        <v>53</v>
      </c>
      <c r="F55">
        <v>85</v>
      </c>
      <c r="G55">
        <v>15</v>
      </c>
      <c r="H55" t="s">
        <v>78</v>
      </c>
      <c r="I55" t="s">
        <v>53</v>
      </c>
      <c r="J55" s="3">
        <v>7.0110000000000001</v>
      </c>
      <c r="K55" s="3">
        <v>2.8</v>
      </c>
      <c r="L55" s="3">
        <v>1.24</v>
      </c>
      <c r="M55">
        <v>283</v>
      </c>
      <c r="N55" s="17">
        <f>AVERAGE(104.975,144.059,152.525)</f>
        <v>133.85299999999998</v>
      </c>
      <c r="O55" s="28"/>
      <c r="P55" s="44">
        <f>AVERAGE(10, 18,40)</f>
        <v>22.666666666666668</v>
      </c>
      <c r="Q55" s="13"/>
      <c r="R55" s="25"/>
      <c r="S55" s="13"/>
      <c r="T55" s="13"/>
      <c r="U55" s="14"/>
      <c r="V55" s="13"/>
      <c r="W55" s="14"/>
      <c r="X55" s="14"/>
      <c r="Y55" s="30"/>
      <c r="Z55" s="13"/>
      <c r="AA55" s="18"/>
    </row>
    <row r="56" spans="1:27" x14ac:dyDescent="0.3">
      <c r="A56" t="s">
        <v>81</v>
      </c>
      <c r="B56" t="s">
        <v>28</v>
      </c>
      <c r="C56" t="s">
        <v>29</v>
      </c>
      <c r="D56" s="1">
        <v>45075</v>
      </c>
      <c r="E56">
        <v>54</v>
      </c>
      <c r="F56">
        <v>85</v>
      </c>
      <c r="G56">
        <v>16</v>
      </c>
      <c r="H56" t="s">
        <v>76</v>
      </c>
      <c r="I56" t="s">
        <v>53</v>
      </c>
      <c r="J56" s="15"/>
      <c r="K56" s="15"/>
      <c r="L56" s="15"/>
      <c r="M56" s="15"/>
      <c r="N56" s="15"/>
      <c r="O56" s="28"/>
      <c r="P56" s="13"/>
      <c r="Q56" s="13"/>
      <c r="R56" s="25"/>
      <c r="S56" s="13"/>
      <c r="T56" s="13"/>
      <c r="U56" s="14"/>
      <c r="V56" s="13"/>
      <c r="W56" s="14"/>
      <c r="X56" s="14"/>
      <c r="Y56" s="30"/>
      <c r="Z56" s="13"/>
      <c r="AA56" s="18"/>
    </row>
    <row r="57" spans="1:27" x14ac:dyDescent="0.3">
      <c r="A57" t="s">
        <v>81</v>
      </c>
      <c r="B57" t="s">
        <v>28</v>
      </c>
      <c r="C57" t="s">
        <v>29</v>
      </c>
      <c r="D57" s="1">
        <v>45076</v>
      </c>
      <c r="E57">
        <v>55</v>
      </c>
      <c r="F57">
        <v>85</v>
      </c>
      <c r="G57">
        <v>17</v>
      </c>
      <c r="H57" t="s">
        <v>78</v>
      </c>
      <c r="I57" t="s">
        <v>53</v>
      </c>
      <c r="J57" s="3">
        <v>7.0449999999999999</v>
      </c>
      <c r="K57" s="3">
        <v>2.83</v>
      </c>
      <c r="L57" s="3">
        <v>1.17</v>
      </c>
      <c r="M57">
        <v>363</v>
      </c>
      <c r="N57" s="6">
        <f>AVERAGE(85.058,175.409,157.789)</f>
        <v>139.41866666666667</v>
      </c>
      <c r="O57" s="28"/>
      <c r="P57">
        <f>AVERAGE(23,
11,
65,
35,22,
16,
14,
18,48)</f>
        <v>28</v>
      </c>
      <c r="Q57" s="13"/>
      <c r="R57" s="25"/>
      <c r="S57" s="13"/>
      <c r="T57" s="13"/>
      <c r="U57" s="14"/>
      <c r="V57" s="13"/>
      <c r="W57" s="14"/>
      <c r="X57" s="14"/>
      <c r="Y57" s="30"/>
      <c r="Z57" s="13"/>
      <c r="AA57" s="18"/>
    </row>
    <row r="58" spans="1:27" x14ac:dyDescent="0.3">
      <c r="A58" t="s">
        <v>81</v>
      </c>
      <c r="B58" t="s">
        <v>28</v>
      </c>
      <c r="C58" t="s">
        <v>29</v>
      </c>
      <c r="D58" s="1">
        <v>45077</v>
      </c>
      <c r="E58">
        <v>56</v>
      </c>
      <c r="F58">
        <v>85</v>
      </c>
      <c r="G58">
        <v>18</v>
      </c>
      <c r="H58" t="s">
        <v>76</v>
      </c>
      <c r="I58" t="s">
        <v>53</v>
      </c>
      <c r="J58" s="15"/>
      <c r="K58" s="15"/>
      <c r="L58" s="15"/>
      <c r="M58" s="15"/>
      <c r="N58" s="15"/>
      <c r="O58" s="28"/>
      <c r="P58" s="13"/>
      <c r="Q58" s="13"/>
      <c r="R58" s="25"/>
      <c r="S58" s="13"/>
      <c r="T58" s="13"/>
      <c r="U58" s="14"/>
      <c r="V58" s="13"/>
      <c r="W58" s="14"/>
      <c r="X58" s="14"/>
      <c r="Y58" s="30"/>
      <c r="Z58" s="13"/>
      <c r="AA58" s="18"/>
    </row>
    <row r="59" spans="1:27" x14ac:dyDescent="0.3">
      <c r="A59" t="s">
        <v>81</v>
      </c>
      <c r="B59" t="s">
        <v>28</v>
      </c>
      <c r="C59" t="s">
        <v>29</v>
      </c>
      <c r="D59" s="1">
        <v>45078</v>
      </c>
      <c r="E59">
        <v>57</v>
      </c>
      <c r="F59">
        <v>85</v>
      </c>
      <c r="G59">
        <v>19</v>
      </c>
      <c r="H59" t="s">
        <v>78</v>
      </c>
      <c r="I59" t="s">
        <v>53</v>
      </c>
      <c r="J59" s="3">
        <v>7.069</v>
      </c>
      <c r="K59" s="3">
        <v>2.91</v>
      </c>
      <c r="L59" s="3">
        <v>1.1200000000000001</v>
      </c>
      <c r="M59">
        <v>265</v>
      </c>
      <c r="N59">
        <f>AVERAGE(127.847,199.324,106.548)</f>
        <v>144.57300000000001</v>
      </c>
      <c r="O59" s="28"/>
      <c r="P59" s="43">
        <f>AVERAGE(24,18,13,
46,
4,
3)</f>
        <v>18</v>
      </c>
      <c r="Q59" s="13"/>
      <c r="R59" s="25"/>
      <c r="S59" s="13"/>
      <c r="T59" s="13"/>
      <c r="U59" s="14"/>
      <c r="V59" s="13"/>
      <c r="W59" s="14"/>
      <c r="X59" s="14"/>
      <c r="Y59" s="30"/>
      <c r="Z59" s="13"/>
      <c r="AA59" s="18"/>
    </row>
    <row r="60" spans="1:27" x14ac:dyDescent="0.3">
      <c r="A60" t="s">
        <v>81</v>
      </c>
      <c r="B60" t="s">
        <v>28</v>
      </c>
      <c r="C60" t="s">
        <v>29</v>
      </c>
      <c r="D60" s="1">
        <v>45079</v>
      </c>
      <c r="E60">
        <v>58</v>
      </c>
      <c r="F60">
        <v>85</v>
      </c>
      <c r="G60">
        <v>20</v>
      </c>
      <c r="H60" t="s">
        <v>76</v>
      </c>
      <c r="I60" t="s">
        <v>53</v>
      </c>
      <c r="J60" s="15"/>
      <c r="K60" s="15"/>
      <c r="L60" s="15"/>
      <c r="M60" s="15"/>
      <c r="N60" s="15"/>
      <c r="O60" s="28"/>
      <c r="P60" s="13"/>
      <c r="Q60" s="13"/>
      <c r="R60" s="25"/>
      <c r="S60" s="13"/>
      <c r="T60" s="13"/>
      <c r="U60" s="14"/>
      <c r="V60" s="13"/>
      <c r="W60" s="14"/>
      <c r="X60" s="14"/>
      <c r="Y60" s="30"/>
      <c r="Z60" s="13"/>
      <c r="AA60" s="18"/>
    </row>
    <row r="61" spans="1:27" x14ac:dyDescent="0.3">
      <c r="A61" t="s">
        <v>81</v>
      </c>
      <c r="B61" t="s">
        <v>28</v>
      </c>
      <c r="C61" t="s">
        <v>29</v>
      </c>
      <c r="D61" s="1">
        <v>45080</v>
      </c>
      <c r="E61">
        <v>59</v>
      </c>
      <c r="F61">
        <v>85</v>
      </c>
      <c r="G61">
        <v>21</v>
      </c>
      <c r="H61" t="s">
        <v>78</v>
      </c>
      <c r="I61" t="s">
        <v>53</v>
      </c>
      <c r="J61" s="3">
        <v>7.0970000000000004</v>
      </c>
      <c r="K61" s="3">
        <v>3.09</v>
      </c>
      <c r="L61" s="3">
        <v>0.97</v>
      </c>
      <c r="M61">
        <v>249</v>
      </c>
      <c r="N61">
        <v>92.525000000000006</v>
      </c>
      <c r="O61" s="28"/>
      <c r="P61" s="44">
        <f>AVERAGE(134,412,362)</f>
        <v>302.66666666666669</v>
      </c>
      <c r="Q61" s="13"/>
      <c r="R61" s="25"/>
      <c r="S61" s="13"/>
      <c r="T61" s="13"/>
      <c r="U61" s="14"/>
      <c r="V61" s="13"/>
      <c r="W61" s="14"/>
      <c r="X61" s="14"/>
      <c r="Y61" s="30"/>
      <c r="Z61" s="13"/>
      <c r="AA61" s="18"/>
    </row>
    <row r="62" spans="1:27" x14ac:dyDescent="0.3">
      <c r="A62" t="s">
        <v>81</v>
      </c>
      <c r="B62" t="s">
        <v>28</v>
      </c>
      <c r="C62" t="s">
        <v>29</v>
      </c>
      <c r="D62" s="1">
        <v>45081</v>
      </c>
      <c r="E62">
        <v>60</v>
      </c>
      <c r="F62">
        <v>85</v>
      </c>
      <c r="G62">
        <v>22</v>
      </c>
      <c r="H62" t="s">
        <v>76</v>
      </c>
      <c r="I62" t="s">
        <v>53</v>
      </c>
      <c r="J62" s="15"/>
      <c r="K62" s="15"/>
      <c r="L62" s="15"/>
      <c r="M62" s="15"/>
      <c r="N62" s="15"/>
      <c r="O62" s="28"/>
      <c r="P62" s="13"/>
      <c r="Q62" s="13"/>
      <c r="R62" s="25"/>
      <c r="S62" s="13"/>
      <c r="T62" s="13"/>
      <c r="U62" s="14"/>
      <c r="V62" s="13"/>
      <c r="W62" s="14"/>
      <c r="X62" s="14"/>
      <c r="Y62" s="30"/>
      <c r="Z62" s="13"/>
      <c r="AA62" s="18"/>
    </row>
    <row r="63" spans="1:27" x14ac:dyDescent="0.3">
      <c r="A63" t="s">
        <v>81</v>
      </c>
      <c r="B63" t="s">
        <v>28</v>
      </c>
      <c r="C63" t="s">
        <v>29</v>
      </c>
      <c r="D63" s="1">
        <v>45082</v>
      </c>
      <c r="E63">
        <v>61</v>
      </c>
      <c r="F63">
        <v>85</v>
      </c>
      <c r="G63">
        <v>23</v>
      </c>
      <c r="H63" t="s">
        <v>82</v>
      </c>
      <c r="I63" t="s">
        <v>53</v>
      </c>
      <c r="J63" s="3">
        <v>7.157</v>
      </c>
      <c r="K63" s="3">
        <v>3.15</v>
      </c>
      <c r="L63" s="3">
        <v>0.9</v>
      </c>
      <c r="M63">
        <v>225</v>
      </c>
      <c r="N63" s="3">
        <v>70.776700000000005</v>
      </c>
      <c r="O63" s="28"/>
      <c r="P63">
        <f>AVERAGE(281,48,460)</f>
        <v>263</v>
      </c>
      <c r="Q63" s="13"/>
      <c r="R63" s="25"/>
      <c r="S63" s="13"/>
      <c r="T63" s="13"/>
      <c r="U63" s="14"/>
      <c r="V63" s="13"/>
      <c r="W63" s="14"/>
      <c r="X63" s="14"/>
      <c r="Y63" s="30"/>
      <c r="Z63" s="13"/>
      <c r="AA63" s="18"/>
    </row>
  </sheetData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C760-719C-4256-8D85-FF4E56710A53}">
  <dimension ref="A1:AE64"/>
  <sheetViews>
    <sheetView zoomScaleNormal="100" workbookViewId="0">
      <pane ySplit="1" topLeftCell="A11" activePane="bottomLeft" state="frozen"/>
      <selection pane="bottomLeft" activeCell="A30" sqref="A30:XFD30"/>
    </sheetView>
  </sheetViews>
  <sheetFormatPr defaultRowHeight="14.4" x14ac:dyDescent="0.3"/>
  <cols>
    <col min="1" max="1" width="17.21875" hidden="1" customWidth="1"/>
    <col min="2" max="2" width="5" hidden="1" customWidth="1"/>
    <col min="3" max="3" width="12.77734375" hidden="1" customWidth="1"/>
    <col min="4" max="4" width="10.21875" bestFit="1" customWidth="1"/>
    <col min="5" max="5" width="7.21875" bestFit="1" customWidth="1"/>
    <col min="7" max="7" width="7.44140625" bestFit="1" customWidth="1"/>
    <col min="8" max="8" width="11.5546875" bestFit="1" customWidth="1"/>
    <col min="9" max="9" width="10.21875" bestFit="1" customWidth="1"/>
    <col min="10" max="10" width="6.44140625" bestFit="1" customWidth="1"/>
    <col min="11" max="11" width="7.44140625" bestFit="1" customWidth="1"/>
    <col min="12" max="12" width="7.21875" bestFit="1" customWidth="1"/>
    <col min="13" max="13" width="10.21875" bestFit="1" customWidth="1"/>
    <col min="14" max="14" width="11.21875" customWidth="1"/>
    <col min="15" max="15" width="10.21875" style="29" bestFit="1" customWidth="1"/>
    <col min="16" max="16" width="11" style="29" customWidth="1"/>
    <col min="17" max="18" width="9.5546875" style="8" bestFit="1" customWidth="1"/>
    <col min="19" max="19" width="8.21875" style="29" bestFit="1" customWidth="1"/>
    <col min="20" max="20" width="9.21875" bestFit="1" customWidth="1"/>
    <col min="21" max="21" width="9.5546875" style="8" bestFit="1" customWidth="1"/>
    <col min="22" max="22" width="9.21875" bestFit="1" customWidth="1"/>
    <col min="23" max="23" width="9.5546875" style="8" bestFit="1" customWidth="1"/>
    <col min="24" max="24" width="16.77734375" style="8" bestFit="1" customWidth="1"/>
    <col min="25" max="25" width="9.21875" style="29" bestFit="1" customWidth="1"/>
    <col min="26" max="26" width="7.77734375" style="19" bestFit="1" customWidth="1"/>
    <col min="27" max="27" width="6.44140625" style="19" bestFit="1" customWidth="1"/>
  </cols>
  <sheetData>
    <row r="1" spans="1:27" s="2" customFormat="1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6" t="s">
        <v>15</v>
      </c>
      <c r="Q1" s="4" t="s">
        <v>16</v>
      </c>
      <c r="R1" s="4" t="s">
        <v>17</v>
      </c>
      <c r="S1" s="20" t="s">
        <v>18</v>
      </c>
      <c r="T1" s="4" t="s">
        <v>19</v>
      </c>
      <c r="U1" s="21" t="s">
        <v>20</v>
      </c>
      <c r="V1" s="4" t="s">
        <v>21</v>
      </c>
      <c r="W1" s="21" t="s">
        <v>22</v>
      </c>
      <c r="X1" s="37" t="s">
        <v>23</v>
      </c>
      <c r="Y1" s="33" t="s">
        <v>24</v>
      </c>
      <c r="Z1" s="23" t="s">
        <v>25</v>
      </c>
      <c r="AA1" s="24" t="s">
        <v>26</v>
      </c>
    </row>
    <row r="2" spans="1:27" x14ac:dyDescent="0.3">
      <c r="A2" t="s">
        <v>83</v>
      </c>
      <c r="B2" t="s">
        <v>28</v>
      </c>
      <c r="C2" t="s">
        <v>29</v>
      </c>
      <c r="D2" s="1">
        <v>45054</v>
      </c>
      <c r="E2">
        <v>0</v>
      </c>
      <c r="F2">
        <v>78</v>
      </c>
      <c r="G2">
        <v>0</v>
      </c>
      <c r="H2" t="s">
        <v>30</v>
      </c>
      <c r="I2" t="s">
        <v>31</v>
      </c>
      <c r="J2" s="13"/>
      <c r="K2" s="13"/>
      <c r="L2" s="13"/>
      <c r="M2" s="13"/>
      <c r="N2" s="13"/>
      <c r="O2" s="30"/>
      <c r="P2" s="13"/>
      <c r="Q2" s="8">
        <v>2440000</v>
      </c>
      <c r="R2" s="8">
        <v>1697000</v>
      </c>
      <c r="S2" s="29">
        <f>R2/Q2</f>
        <v>0.69549180327868854</v>
      </c>
      <c r="T2">
        <v>80</v>
      </c>
      <c r="U2" s="8">
        <f>R2*T2</f>
        <v>135760000</v>
      </c>
      <c r="V2">
        <v>75</v>
      </c>
      <c r="W2" s="8">
        <f>R2*V2</f>
        <v>127275000</v>
      </c>
      <c r="X2" s="8">
        <v>126400000</v>
      </c>
      <c r="Y2" s="29">
        <f>W2/X2</f>
        <v>1.0069224683544304</v>
      </c>
      <c r="Z2" s="18"/>
      <c r="AA2" s="18"/>
    </row>
    <row r="3" spans="1:27" x14ac:dyDescent="0.3">
      <c r="A3" t="s">
        <v>83</v>
      </c>
      <c r="B3" t="s">
        <v>28</v>
      </c>
      <c r="C3" t="s">
        <v>29</v>
      </c>
      <c r="D3" s="1">
        <v>45055</v>
      </c>
      <c r="E3">
        <v>1</v>
      </c>
      <c r="F3" s="3">
        <v>78</v>
      </c>
      <c r="G3">
        <v>1</v>
      </c>
      <c r="H3" t="s">
        <v>33</v>
      </c>
      <c r="I3" t="s">
        <v>31</v>
      </c>
      <c r="J3" s="3">
        <v>7.1619999999999999</v>
      </c>
      <c r="K3">
        <v>3.28</v>
      </c>
      <c r="L3">
        <v>0.64</v>
      </c>
      <c r="M3" s="13"/>
      <c r="N3" s="13"/>
      <c r="O3" s="39">
        <v>0.98</v>
      </c>
      <c r="P3" s="13"/>
      <c r="Q3" s="8">
        <v>1717000</v>
      </c>
      <c r="R3" s="8">
        <v>985000</v>
      </c>
      <c r="S3" s="29">
        <f>R3/Q3</f>
        <v>0.57367501456027958</v>
      </c>
      <c r="T3">
        <v>117</v>
      </c>
      <c r="U3" s="8">
        <f>R3*T3</f>
        <v>115245000</v>
      </c>
      <c r="V3">
        <v>117</v>
      </c>
      <c r="W3" s="8">
        <f>R3*V3</f>
        <v>115245000</v>
      </c>
      <c r="X3" s="8">
        <v>126400000</v>
      </c>
      <c r="Y3" s="29">
        <f>W3/X3</f>
        <v>0.91174841772151893</v>
      </c>
      <c r="Z3" s="19">
        <f>(U3-W2)/W2</f>
        <v>-9.4519740718915737E-2</v>
      </c>
      <c r="AA3" s="19">
        <f>Z3/(D3-D2)</f>
        <v>-9.4519740718915737E-2</v>
      </c>
    </row>
    <row r="4" spans="1:27" x14ac:dyDescent="0.3">
      <c r="A4" t="s">
        <v>83</v>
      </c>
      <c r="B4" t="s">
        <v>28</v>
      </c>
      <c r="C4" t="s">
        <v>29</v>
      </c>
      <c r="D4" s="1">
        <v>45056</v>
      </c>
      <c r="E4">
        <v>2</v>
      </c>
      <c r="F4" s="3">
        <v>79</v>
      </c>
      <c r="G4">
        <v>1</v>
      </c>
      <c r="H4" t="s">
        <v>35</v>
      </c>
      <c r="I4" t="s">
        <v>31</v>
      </c>
      <c r="J4" s="3">
        <v>7.37</v>
      </c>
      <c r="K4">
        <v>3.37</v>
      </c>
      <c r="L4">
        <v>0.16</v>
      </c>
      <c r="M4" s="13"/>
      <c r="N4" s="13"/>
      <c r="O4" s="29">
        <v>0.22</v>
      </c>
      <c r="P4" s="13"/>
      <c r="Q4" s="25"/>
      <c r="R4" s="25"/>
      <c r="S4" s="30"/>
      <c r="T4" s="13"/>
      <c r="U4" s="25"/>
      <c r="V4" s="13"/>
      <c r="W4" s="25"/>
      <c r="X4" s="25"/>
      <c r="Y4" s="30"/>
      <c r="Z4" s="18"/>
      <c r="AA4" s="18"/>
    </row>
    <row r="5" spans="1:27" x14ac:dyDescent="0.3">
      <c r="A5" t="s">
        <v>83</v>
      </c>
      <c r="B5" t="s">
        <v>28</v>
      </c>
      <c r="C5" t="s">
        <v>29</v>
      </c>
      <c r="D5" s="1">
        <v>45057</v>
      </c>
      <c r="E5">
        <v>3</v>
      </c>
      <c r="F5" s="3">
        <v>79</v>
      </c>
      <c r="G5">
        <v>2</v>
      </c>
      <c r="H5" t="s">
        <v>35</v>
      </c>
      <c r="I5" t="s">
        <v>31</v>
      </c>
      <c r="J5" s="3">
        <v>7.3280000000000003</v>
      </c>
      <c r="K5">
        <v>3.88</v>
      </c>
      <c r="L5">
        <v>0.22</v>
      </c>
      <c r="M5" s="13"/>
      <c r="N5" s="13"/>
      <c r="O5" s="29">
        <v>0.38</v>
      </c>
      <c r="P5" s="13"/>
      <c r="Q5" s="25"/>
      <c r="R5" s="25"/>
      <c r="S5" s="30"/>
      <c r="T5" s="13"/>
      <c r="U5" s="25"/>
      <c r="V5" s="13"/>
      <c r="W5" s="25"/>
      <c r="X5" s="25"/>
      <c r="Y5" s="30"/>
      <c r="Z5" s="18"/>
      <c r="AA5" s="18"/>
    </row>
    <row r="6" spans="1:27" x14ac:dyDescent="0.3">
      <c r="A6" t="s">
        <v>83</v>
      </c>
      <c r="B6" t="s">
        <v>28</v>
      </c>
      <c r="C6" t="s">
        <v>29</v>
      </c>
      <c r="D6" s="1">
        <v>45058</v>
      </c>
      <c r="E6">
        <v>4</v>
      </c>
      <c r="F6" s="3">
        <v>79</v>
      </c>
      <c r="G6">
        <v>3</v>
      </c>
      <c r="H6" t="s">
        <v>35</v>
      </c>
      <c r="I6" t="s">
        <v>31</v>
      </c>
      <c r="J6" s="3">
        <v>7.2380000000000004</v>
      </c>
      <c r="K6">
        <v>3.76</v>
      </c>
      <c r="L6">
        <v>0.36</v>
      </c>
      <c r="M6" s="13"/>
      <c r="N6" s="13"/>
      <c r="O6" s="29">
        <v>0.75</v>
      </c>
      <c r="P6" s="13"/>
      <c r="Q6" s="25"/>
      <c r="R6" s="25"/>
      <c r="S6" s="30"/>
      <c r="T6" s="13"/>
      <c r="U6" s="25"/>
      <c r="V6" s="13"/>
      <c r="W6" s="25"/>
      <c r="X6" s="25"/>
      <c r="Y6" s="30"/>
      <c r="Z6" s="18"/>
      <c r="AA6" s="18"/>
    </row>
    <row r="7" spans="1:27" x14ac:dyDescent="0.3">
      <c r="A7" t="s">
        <v>83</v>
      </c>
      <c r="B7" t="s">
        <v>28</v>
      </c>
      <c r="C7" t="s">
        <v>29</v>
      </c>
      <c r="D7" s="1">
        <v>45059</v>
      </c>
      <c r="E7">
        <v>5</v>
      </c>
      <c r="F7" s="3">
        <v>79</v>
      </c>
      <c r="G7">
        <v>4</v>
      </c>
      <c r="H7" t="s">
        <v>35</v>
      </c>
      <c r="I7" t="s">
        <v>31</v>
      </c>
      <c r="J7" s="3">
        <v>7.1760000000000002</v>
      </c>
      <c r="K7">
        <v>3.51</v>
      </c>
      <c r="L7">
        <v>0.52</v>
      </c>
      <c r="M7" s="13"/>
      <c r="N7" s="13"/>
      <c r="O7" s="29">
        <v>0.94</v>
      </c>
      <c r="P7" s="13"/>
      <c r="Q7" s="25"/>
      <c r="R7" s="25"/>
      <c r="S7" s="30"/>
      <c r="T7" s="13"/>
      <c r="U7" s="25"/>
      <c r="V7" s="13"/>
      <c r="W7" s="25"/>
      <c r="X7" s="25"/>
      <c r="Y7" s="30"/>
      <c r="Z7" s="18"/>
      <c r="AA7" s="18"/>
    </row>
    <row r="8" spans="1:27" x14ac:dyDescent="0.3">
      <c r="A8" t="s">
        <v>83</v>
      </c>
      <c r="B8" t="s">
        <v>28</v>
      </c>
      <c r="C8" t="s">
        <v>29</v>
      </c>
      <c r="D8" s="1">
        <v>45060</v>
      </c>
      <c r="E8">
        <v>6</v>
      </c>
      <c r="F8" s="3">
        <v>79</v>
      </c>
      <c r="G8">
        <v>5</v>
      </c>
      <c r="H8" t="s">
        <v>33</v>
      </c>
      <c r="I8" t="s">
        <v>31</v>
      </c>
      <c r="J8" s="3">
        <v>7.1070000000000002</v>
      </c>
      <c r="K8">
        <v>3.49</v>
      </c>
      <c r="L8">
        <v>0.56999999999999995</v>
      </c>
      <c r="M8" s="13"/>
      <c r="N8" s="13"/>
      <c r="O8" s="29">
        <v>0.96</v>
      </c>
      <c r="P8" s="13"/>
      <c r="Q8" s="8">
        <v>1877000</v>
      </c>
      <c r="R8" s="8">
        <v>1403000</v>
      </c>
      <c r="S8" s="29">
        <f>R8/Q8</f>
        <v>0.7474693660095898</v>
      </c>
      <c r="T8">
        <v>264</v>
      </c>
      <c r="U8" s="8">
        <f>R8*T8</f>
        <v>370392000</v>
      </c>
      <c r="V8">
        <v>182</v>
      </c>
      <c r="W8" s="8">
        <f>R8*V8</f>
        <v>255346000</v>
      </c>
      <c r="X8" s="8">
        <v>252800000</v>
      </c>
      <c r="Y8" s="29">
        <f>W8/X8</f>
        <v>1.0100712025316456</v>
      </c>
      <c r="Z8" s="19">
        <f>(U8-W3)/W3</f>
        <v>2.2139528829884161</v>
      </c>
      <c r="AA8" s="19">
        <f>Z8/(D8-D3)</f>
        <v>0.44279057659768323</v>
      </c>
    </row>
    <row r="9" spans="1:27" x14ac:dyDescent="0.3">
      <c r="A9" t="s">
        <v>83</v>
      </c>
      <c r="B9" t="s">
        <v>28</v>
      </c>
      <c r="C9" t="s">
        <v>29</v>
      </c>
      <c r="D9" s="1">
        <v>45061</v>
      </c>
      <c r="E9">
        <v>7</v>
      </c>
      <c r="F9" s="3">
        <v>80</v>
      </c>
      <c r="G9">
        <v>1</v>
      </c>
      <c r="H9" t="s">
        <v>35</v>
      </c>
      <c r="I9" t="s">
        <v>31</v>
      </c>
      <c r="J9" s="3">
        <v>7.36</v>
      </c>
      <c r="K9">
        <v>3.37</v>
      </c>
      <c r="L9">
        <v>0.27</v>
      </c>
      <c r="M9" s="13"/>
      <c r="N9" s="13"/>
      <c r="O9" s="29">
        <v>0.52749999999999997</v>
      </c>
      <c r="P9" s="13"/>
      <c r="Q9" s="25"/>
      <c r="R9" s="25"/>
      <c r="S9" s="30"/>
      <c r="T9" s="13"/>
      <c r="U9" s="25"/>
      <c r="V9" s="13"/>
      <c r="W9" s="25"/>
      <c r="X9" s="25"/>
      <c r="Y9" s="30"/>
      <c r="Z9" s="18"/>
      <c r="AA9" s="18"/>
    </row>
    <row r="10" spans="1:27" x14ac:dyDescent="0.3">
      <c r="A10" t="s">
        <v>83</v>
      </c>
      <c r="B10" t="s">
        <v>28</v>
      </c>
      <c r="C10" t="s">
        <v>29</v>
      </c>
      <c r="D10" s="1">
        <v>45062</v>
      </c>
      <c r="E10">
        <v>8</v>
      </c>
      <c r="F10" s="3">
        <v>80</v>
      </c>
      <c r="G10">
        <v>2</v>
      </c>
      <c r="H10" t="s">
        <v>35</v>
      </c>
      <c r="I10" t="s">
        <v>31</v>
      </c>
      <c r="J10" s="3">
        <v>7.2990000000000004</v>
      </c>
      <c r="K10">
        <v>3.76</v>
      </c>
      <c r="L10">
        <v>0.47</v>
      </c>
      <c r="M10" s="13"/>
      <c r="N10" s="13"/>
      <c r="O10" s="29">
        <v>0.68500000000000005</v>
      </c>
      <c r="P10" s="13"/>
      <c r="Q10" s="25"/>
      <c r="R10" s="25"/>
      <c r="S10" s="30"/>
      <c r="T10" s="13"/>
      <c r="U10" s="25"/>
      <c r="V10" s="13"/>
      <c r="W10" s="25"/>
      <c r="X10" s="25"/>
      <c r="Y10" s="30"/>
      <c r="Z10" s="18"/>
      <c r="AA10" s="18"/>
    </row>
    <row r="11" spans="1:27" x14ac:dyDescent="0.3">
      <c r="A11" t="s">
        <v>83</v>
      </c>
      <c r="B11" t="s">
        <v>28</v>
      </c>
      <c r="C11" t="s">
        <v>29</v>
      </c>
      <c r="D11" s="1">
        <v>45063</v>
      </c>
      <c r="E11">
        <v>9</v>
      </c>
      <c r="F11" s="3">
        <v>80</v>
      </c>
      <c r="G11">
        <v>3</v>
      </c>
      <c r="H11" t="s">
        <v>35</v>
      </c>
      <c r="I11" t="s">
        <v>31</v>
      </c>
      <c r="J11" s="3">
        <v>7.3440000000000003</v>
      </c>
      <c r="K11">
        <v>3.57</v>
      </c>
      <c r="L11">
        <v>0.49</v>
      </c>
      <c r="M11" s="13"/>
      <c r="N11" s="13"/>
      <c r="O11" s="29">
        <v>0.89</v>
      </c>
      <c r="P11" s="13"/>
      <c r="Q11" s="25"/>
      <c r="R11" s="25"/>
      <c r="S11" s="30"/>
      <c r="T11" s="13"/>
      <c r="U11" s="25"/>
      <c r="V11" s="13"/>
      <c r="W11" s="25"/>
      <c r="X11" s="25"/>
      <c r="Y11" s="30"/>
      <c r="Z11" s="18"/>
      <c r="AA11" s="18"/>
    </row>
    <row r="12" spans="1:27" x14ac:dyDescent="0.3">
      <c r="A12" t="s">
        <v>83</v>
      </c>
      <c r="B12" t="s">
        <v>28</v>
      </c>
      <c r="C12" t="s">
        <v>29</v>
      </c>
      <c r="D12" s="1">
        <v>45064</v>
      </c>
      <c r="E12">
        <v>10</v>
      </c>
      <c r="F12" s="3">
        <v>80</v>
      </c>
      <c r="G12">
        <v>4</v>
      </c>
      <c r="H12" t="s">
        <v>33</v>
      </c>
      <c r="I12" t="s">
        <v>31</v>
      </c>
      <c r="J12" s="3">
        <v>7.1130000000000004</v>
      </c>
      <c r="K12">
        <v>3.48</v>
      </c>
      <c r="L12">
        <v>0.67</v>
      </c>
      <c r="M12" s="13"/>
      <c r="N12" s="13"/>
      <c r="O12" s="29">
        <v>0.90500000000000003</v>
      </c>
      <c r="P12" s="13"/>
      <c r="Q12" s="8">
        <v>1823000</v>
      </c>
      <c r="R12" s="8">
        <v>1267000</v>
      </c>
      <c r="S12" s="29">
        <f>R12/Q12</f>
        <v>0.69500822819528252</v>
      </c>
      <c r="T12">
        <v>487</v>
      </c>
      <c r="U12" s="8">
        <f>R12*T12</f>
        <v>617029000</v>
      </c>
      <c r="V12">
        <v>487</v>
      </c>
      <c r="W12" s="8">
        <f>R12*V12</f>
        <v>617029000</v>
      </c>
      <c r="X12" s="8">
        <v>632000000</v>
      </c>
      <c r="Y12" s="29">
        <f>W12/X12</f>
        <v>0.97631170886075946</v>
      </c>
      <c r="Z12" s="19">
        <f>(U12-W8)/W8</f>
        <v>1.4164427874335215</v>
      </c>
      <c r="AA12" s="19">
        <f>Z12/(D12-D8)</f>
        <v>0.35411069685838037</v>
      </c>
    </row>
    <row r="13" spans="1:27" x14ac:dyDescent="0.3">
      <c r="A13" t="s">
        <v>83</v>
      </c>
      <c r="B13" t="s">
        <v>28</v>
      </c>
      <c r="C13" t="s">
        <v>29</v>
      </c>
      <c r="D13" s="1">
        <v>45065</v>
      </c>
      <c r="E13">
        <v>11</v>
      </c>
      <c r="F13" s="3">
        <v>81</v>
      </c>
      <c r="G13">
        <v>1</v>
      </c>
      <c r="H13" t="s">
        <v>35</v>
      </c>
      <c r="I13" t="s">
        <v>31</v>
      </c>
      <c r="J13" s="3">
        <v>7.3710000000000004</v>
      </c>
      <c r="K13">
        <v>3.49</v>
      </c>
      <c r="L13">
        <v>0.21</v>
      </c>
      <c r="M13" s="13"/>
      <c r="N13" s="13"/>
      <c r="O13" s="29">
        <v>0.39</v>
      </c>
      <c r="P13" s="13"/>
      <c r="Q13" s="25"/>
      <c r="R13" s="25"/>
      <c r="S13" s="30"/>
      <c r="T13" s="13"/>
      <c r="U13" s="25"/>
      <c r="V13" s="13"/>
      <c r="W13" s="25"/>
      <c r="X13" s="25"/>
      <c r="Y13" s="30"/>
      <c r="Z13" s="18"/>
      <c r="AA13" s="18"/>
    </row>
    <row r="14" spans="1:27" x14ac:dyDescent="0.3">
      <c r="A14" t="s">
        <v>83</v>
      </c>
      <c r="B14" t="s">
        <v>28</v>
      </c>
      <c r="C14" t="s">
        <v>29</v>
      </c>
      <c r="D14" s="1">
        <v>45066</v>
      </c>
      <c r="E14">
        <v>12</v>
      </c>
      <c r="F14" s="3">
        <v>81</v>
      </c>
      <c r="G14">
        <v>2</v>
      </c>
      <c r="H14" t="s">
        <v>35</v>
      </c>
      <c r="I14" t="s">
        <v>31</v>
      </c>
      <c r="J14" s="3">
        <v>7.3140000000000001</v>
      </c>
      <c r="K14">
        <v>3.84</v>
      </c>
      <c r="L14">
        <v>0.28999999999999998</v>
      </c>
      <c r="M14" s="13"/>
      <c r="N14" s="13"/>
      <c r="O14" s="29">
        <v>0.52500000000000002</v>
      </c>
      <c r="P14" s="13"/>
      <c r="Q14" s="25"/>
      <c r="R14" s="25"/>
      <c r="S14" s="30"/>
      <c r="T14" s="13"/>
      <c r="U14" s="25"/>
      <c r="V14" s="13"/>
      <c r="W14" s="25"/>
      <c r="X14" s="25"/>
      <c r="Y14" s="30"/>
      <c r="Z14" s="18"/>
      <c r="AA14" s="18"/>
    </row>
    <row r="15" spans="1:27" x14ac:dyDescent="0.3">
      <c r="A15" t="s">
        <v>83</v>
      </c>
      <c r="B15" t="s">
        <v>28</v>
      </c>
      <c r="C15" t="s">
        <v>29</v>
      </c>
      <c r="D15" s="1">
        <v>45067</v>
      </c>
      <c r="E15">
        <v>13</v>
      </c>
      <c r="F15" s="3">
        <v>81</v>
      </c>
      <c r="G15">
        <v>3</v>
      </c>
      <c r="H15" t="s">
        <v>35</v>
      </c>
      <c r="I15" t="s">
        <v>31</v>
      </c>
      <c r="J15" s="3">
        <v>7.2009999999999996</v>
      </c>
      <c r="K15">
        <v>3.66</v>
      </c>
      <c r="L15">
        <v>0.47</v>
      </c>
      <c r="M15" s="13"/>
      <c r="N15" s="13"/>
      <c r="O15" s="29">
        <v>0.78500000000000003</v>
      </c>
      <c r="P15" s="13"/>
      <c r="Q15" s="25"/>
      <c r="R15" s="25"/>
      <c r="S15" s="30"/>
      <c r="T15" s="13"/>
      <c r="U15" s="25"/>
      <c r="V15" s="13"/>
      <c r="W15" s="25"/>
      <c r="X15" s="25"/>
      <c r="Y15" s="30"/>
      <c r="Z15" s="18"/>
      <c r="AA15" s="18"/>
    </row>
    <row r="16" spans="1:27" x14ac:dyDescent="0.3">
      <c r="A16" t="s">
        <v>83</v>
      </c>
      <c r="B16" t="s">
        <v>28</v>
      </c>
      <c r="C16" t="s">
        <v>29</v>
      </c>
      <c r="D16" s="1">
        <v>45068</v>
      </c>
      <c r="E16">
        <v>14</v>
      </c>
      <c r="F16" s="3">
        <v>81</v>
      </c>
      <c r="G16">
        <v>4</v>
      </c>
      <c r="H16" t="s">
        <v>33</v>
      </c>
      <c r="I16" t="s">
        <v>31</v>
      </c>
      <c r="J16" s="3">
        <v>7.0860000000000003</v>
      </c>
      <c r="K16">
        <v>3.36</v>
      </c>
      <c r="L16">
        <v>0.74</v>
      </c>
      <c r="M16" s="13"/>
      <c r="N16" s="13"/>
      <c r="O16" s="29">
        <v>0.90500000000000003</v>
      </c>
      <c r="P16" s="13"/>
      <c r="Q16" s="8">
        <v>1707000</v>
      </c>
      <c r="R16" s="8">
        <v>1203000</v>
      </c>
      <c r="S16" s="29">
        <f>R16/Q16</f>
        <v>0.70474516695957823</v>
      </c>
      <c r="T16">
        <v>1320</v>
      </c>
      <c r="U16" s="8">
        <f>R16*T16</f>
        <v>1587960000</v>
      </c>
      <c r="V16">
        <v>1156</v>
      </c>
      <c r="W16" s="8">
        <f>R16*V16</f>
        <v>1390668000</v>
      </c>
      <c r="X16" s="8">
        <v>1264000000</v>
      </c>
      <c r="Y16" s="29">
        <f>W16/X16</f>
        <v>1.1002120253164558</v>
      </c>
      <c r="Z16" s="19">
        <f>(U16-W12)/W12</f>
        <v>1.573558130979257</v>
      </c>
      <c r="AA16" s="19">
        <f>Z16/(D16-D12)</f>
        <v>0.39338953274481425</v>
      </c>
    </row>
    <row r="17" spans="1:31" x14ac:dyDescent="0.3">
      <c r="A17" t="s">
        <v>83</v>
      </c>
      <c r="B17" t="s">
        <v>28</v>
      </c>
      <c r="C17" t="s">
        <v>29</v>
      </c>
      <c r="D17" s="1">
        <v>45069</v>
      </c>
      <c r="E17">
        <v>15</v>
      </c>
      <c r="F17" s="3">
        <v>82</v>
      </c>
      <c r="G17">
        <v>1</v>
      </c>
      <c r="H17" t="s">
        <v>35</v>
      </c>
      <c r="I17" t="s">
        <v>31</v>
      </c>
      <c r="J17" s="3">
        <v>7.508</v>
      </c>
      <c r="K17">
        <v>3.43</v>
      </c>
      <c r="L17">
        <v>0.16</v>
      </c>
      <c r="M17" s="13"/>
      <c r="N17" s="13"/>
      <c r="O17" s="29">
        <v>0.39250000000000002</v>
      </c>
      <c r="P17" s="13"/>
      <c r="Q17" s="25"/>
      <c r="R17" s="25"/>
      <c r="S17" s="30"/>
      <c r="T17" s="13"/>
      <c r="U17" s="25"/>
      <c r="V17" s="13"/>
      <c r="W17" s="25"/>
      <c r="X17" s="25"/>
      <c r="Y17" s="30"/>
      <c r="Z17" s="18"/>
      <c r="AA17" s="18"/>
    </row>
    <row r="18" spans="1:31" x14ac:dyDescent="0.3">
      <c r="A18" t="s">
        <v>83</v>
      </c>
      <c r="B18" t="s">
        <v>28</v>
      </c>
      <c r="C18" t="s">
        <v>29</v>
      </c>
      <c r="D18" s="1">
        <v>45070</v>
      </c>
      <c r="E18">
        <v>16</v>
      </c>
      <c r="F18" s="3">
        <v>82</v>
      </c>
      <c r="G18">
        <v>2</v>
      </c>
      <c r="H18" t="s">
        <v>35</v>
      </c>
      <c r="I18" t="s">
        <v>31</v>
      </c>
      <c r="J18" s="3">
        <v>7.3479999999999999</v>
      </c>
      <c r="K18">
        <v>3.77</v>
      </c>
      <c r="L18">
        <v>0.32</v>
      </c>
      <c r="M18" s="13"/>
      <c r="N18" s="13"/>
      <c r="O18" s="29">
        <v>0.54749999999999999</v>
      </c>
      <c r="P18" s="13"/>
      <c r="Q18" s="25"/>
      <c r="R18" s="25"/>
      <c r="S18" s="30"/>
      <c r="T18" s="13"/>
      <c r="U18" s="25"/>
      <c r="V18" s="13"/>
      <c r="W18" s="25"/>
      <c r="X18" s="25"/>
      <c r="Y18" s="30"/>
      <c r="Z18" s="18"/>
      <c r="AA18" s="18"/>
    </row>
    <row r="19" spans="1:31" x14ac:dyDescent="0.3">
      <c r="A19" t="s">
        <v>83</v>
      </c>
      <c r="B19" t="s">
        <v>28</v>
      </c>
      <c r="C19" t="s">
        <v>29</v>
      </c>
      <c r="D19" s="1">
        <v>45071</v>
      </c>
      <c r="E19">
        <v>17</v>
      </c>
      <c r="F19" s="3">
        <v>82</v>
      </c>
      <c r="G19">
        <v>3</v>
      </c>
      <c r="H19" t="s">
        <v>35</v>
      </c>
      <c r="I19" t="s">
        <v>31</v>
      </c>
      <c r="J19" s="3">
        <v>7.2050000000000001</v>
      </c>
      <c r="K19">
        <v>3.62</v>
      </c>
      <c r="L19">
        <v>0.51</v>
      </c>
      <c r="M19" s="13"/>
      <c r="N19" s="13"/>
      <c r="O19" s="29">
        <v>0.88249999999999995</v>
      </c>
      <c r="P19" s="13"/>
      <c r="Q19" s="25"/>
      <c r="R19" s="25"/>
      <c r="S19" s="30"/>
      <c r="T19" s="13"/>
      <c r="U19" s="25"/>
      <c r="V19" s="13"/>
      <c r="W19" s="25"/>
      <c r="X19" s="25"/>
      <c r="Y19" s="30"/>
      <c r="Z19" s="18"/>
      <c r="AA19" s="18"/>
    </row>
    <row r="20" spans="1:31" x14ac:dyDescent="0.3">
      <c r="A20" t="s">
        <v>83</v>
      </c>
      <c r="B20" t="s">
        <v>28</v>
      </c>
      <c r="C20" t="s">
        <v>29</v>
      </c>
      <c r="D20" s="1">
        <v>45072</v>
      </c>
      <c r="E20">
        <v>18</v>
      </c>
      <c r="F20" s="3">
        <v>82</v>
      </c>
      <c r="G20">
        <v>4</v>
      </c>
      <c r="H20" t="s">
        <v>33</v>
      </c>
      <c r="I20" t="s">
        <v>51</v>
      </c>
      <c r="J20" s="3">
        <v>7.1479999999999997</v>
      </c>
      <c r="K20">
        <v>3.5</v>
      </c>
      <c r="L20">
        <v>0.63</v>
      </c>
      <c r="M20" s="13"/>
      <c r="N20" s="13"/>
      <c r="O20" s="29">
        <v>0.96625000000000005</v>
      </c>
      <c r="P20" s="13"/>
      <c r="Q20" s="8">
        <v>1443000</v>
      </c>
      <c r="R20" s="8">
        <v>1093000</v>
      </c>
      <c r="S20" s="29">
        <f>R20/Q20</f>
        <v>0.7574497574497574</v>
      </c>
      <c r="T20">
        <v>2507</v>
      </c>
      <c r="U20" s="8">
        <f>R20*T20</f>
        <v>2740151000</v>
      </c>
      <c r="V20">
        <v>2506.4</v>
      </c>
      <c r="W20" s="8">
        <f>R20*V20</f>
        <v>2739495200</v>
      </c>
      <c r="X20" s="8">
        <v>3000000000</v>
      </c>
      <c r="Y20" s="29">
        <f>W20/X20</f>
        <v>0.91316506666666664</v>
      </c>
      <c r="Z20" s="19">
        <f>(U20-W16)/W16</f>
        <v>0.97038473596861363</v>
      </c>
      <c r="AA20" s="19">
        <f>Z20/(D20-D16)</f>
        <v>0.24259618399215341</v>
      </c>
    </row>
    <row r="21" spans="1:31" x14ac:dyDescent="0.3">
      <c r="A21" t="s">
        <v>83</v>
      </c>
      <c r="B21" t="s">
        <v>28</v>
      </c>
      <c r="C21" t="s">
        <v>29</v>
      </c>
      <c r="D21" s="1">
        <v>45073</v>
      </c>
      <c r="E21">
        <v>19</v>
      </c>
      <c r="F21" s="3">
        <v>83</v>
      </c>
      <c r="G21">
        <v>1</v>
      </c>
      <c r="H21" t="s">
        <v>35</v>
      </c>
      <c r="I21" t="s">
        <v>53</v>
      </c>
      <c r="J21" s="3">
        <v>7.29</v>
      </c>
      <c r="K21" s="3">
        <v>3.86</v>
      </c>
      <c r="L21" s="3">
        <v>0.28999999999999998</v>
      </c>
      <c r="M21" s="3">
        <v>80</v>
      </c>
      <c r="N21" s="6">
        <v>83.85776738749999</v>
      </c>
      <c r="O21" s="30"/>
      <c r="P21" s="45">
        <v>397</v>
      </c>
      <c r="Q21" s="25"/>
      <c r="R21" s="25"/>
      <c r="S21" s="30"/>
      <c r="T21" s="13"/>
      <c r="U21" s="25"/>
      <c r="V21" s="13"/>
      <c r="W21" s="25"/>
      <c r="X21" s="25"/>
      <c r="Y21" s="30"/>
      <c r="Z21" s="18"/>
      <c r="AA21" s="18"/>
    </row>
    <row r="22" spans="1:31" x14ac:dyDescent="0.3">
      <c r="A22" t="s">
        <v>83</v>
      </c>
      <c r="B22" t="s">
        <v>28</v>
      </c>
      <c r="C22" t="s">
        <v>29</v>
      </c>
      <c r="D22" s="1">
        <v>45074</v>
      </c>
      <c r="E22">
        <v>20</v>
      </c>
      <c r="F22" s="3">
        <v>83</v>
      </c>
      <c r="G22">
        <v>2</v>
      </c>
      <c r="H22" t="s">
        <v>35</v>
      </c>
      <c r="I22" t="s">
        <v>53</v>
      </c>
      <c r="J22" s="3">
        <v>7.2480000000000002</v>
      </c>
      <c r="K22" s="3">
        <v>3.68</v>
      </c>
      <c r="L22" s="3">
        <v>0.47</v>
      </c>
      <c r="M22" s="3">
        <v>110</v>
      </c>
      <c r="N22" s="6">
        <v>89.957835290000006</v>
      </c>
      <c r="O22" s="30"/>
      <c r="P22" s="43">
        <v>375</v>
      </c>
      <c r="Q22" s="25"/>
      <c r="R22" s="25"/>
      <c r="S22" s="30"/>
      <c r="T22" s="13"/>
      <c r="U22" s="25"/>
      <c r="V22" s="13"/>
      <c r="W22" s="25"/>
      <c r="X22" s="25"/>
      <c r="Y22" s="30"/>
      <c r="Z22" s="18"/>
      <c r="AA22" s="18"/>
    </row>
    <row r="23" spans="1:31" x14ac:dyDescent="0.3">
      <c r="A23" t="s">
        <v>83</v>
      </c>
      <c r="B23" t="s">
        <v>28</v>
      </c>
      <c r="C23" t="s">
        <v>29</v>
      </c>
      <c r="D23" s="1">
        <v>45075</v>
      </c>
      <c r="E23">
        <v>21</v>
      </c>
      <c r="F23" s="3">
        <v>83</v>
      </c>
      <c r="G23">
        <v>3</v>
      </c>
      <c r="H23" t="s">
        <v>35</v>
      </c>
      <c r="I23" t="s">
        <v>53</v>
      </c>
      <c r="J23" s="3">
        <v>7.19</v>
      </c>
      <c r="K23" s="3">
        <v>3.52</v>
      </c>
      <c r="L23" s="3">
        <v>0.6</v>
      </c>
      <c r="M23" s="3">
        <v>110</v>
      </c>
      <c r="N23" s="6">
        <v>100.3301359125</v>
      </c>
      <c r="O23" s="30"/>
      <c r="P23" s="43">
        <v>155</v>
      </c>
      <c r="Q23" s="25"/>
      <c r="R23" s="25"/>
      <c r="S23" s="30"/>
      <c r="T23" s="13"/>
      <c r="U23" s="25"/>
      <c r="V23" s="13"/>
      <c r="W23" s="25"/>
      <c r="X23" s="25"/>
      <c r="Y23" s="30"/>
      <c r="Z23" s="18"/>
      <c r="AA23" s="18"/>
      <c r="AE23" s="38"/>
    </row>
    <row r="24" spans="1:31" x14ac:dyDescent="0.3">
      <c r="A24" t="s">
        <v>83</v>
      </c>
      <c r="B24" t="s">
        <v>28</v>
      </c>
      <c r="C24" t="s">
        <v>29</v>
      </c>
      <c r="D24" s="1">
        <v>45076</v>
      </c>
      <c r="E24">
        <v>22</v>
      </c>
      <c r="F24" s="3">
        <v>83</v>
      </c>
      <c r="G24">
        <v>4</v>
      </c>
      <c r="H24" t="s">
        <v>35</v>
      </c>
      <c r="I24" t="s">
        <v>53</v>
      </c>
      <c r="J24" s="3">
        <v>7.1790000000000003</v>
      </c>
      <c r="K24" s="3">
        <v>3.38</v>
      </c>
      <c r="L24" s="3">
        <v>0.73</v>
      </c>
      <c r="M24" s="3">
        <v>118</v>
      </c>
      <c r="N24" s="32">
        <v>99.602486685000002</v>
      </c>
      <c r="O24" s="30"/>
      <c r="P24" s="43">
        <v>158</v>
      </c>
      <c r="Q24" s="25"/>
      <c r="R24" s="25"/>
      <c r="S24" s="30"/>
      <c r="T24" s="13"/>
      <c r="U24" s="25"/>
      <c r="V24" s="13"/>
      <c r="W24" s="25"/>
      <c r="X24" s="25"/>
      <c r="Y24" s="30"/>
      <c r="Z24" s="18"/>
      <c r="AA24" s="18"/>
    </row>
    <row r="25" spans="1:31" x14ac:dyDescent="0.3">
      <c r="A25" t="s">
        <v>83</v>
      </c>
      <c r="B25" t="s">
        <v>28</v>
      </c>
      <c r="C25" t="s">
        <v>29</v>
      </c>
      <c r="D25" s="1">
        <v>45077</v>
      </c>
      <c r="E25">
        <v>23</v>
      </c>
      <c r="F25" s="3">
        <v>83</v>
      </c>
      <c r="G25">
        <v>5</v>
      </c>
      <c r="H25" t="s">
        <v>35</v>
      </c>
      <c r="I25" t="s">
        <v>53</v>
      </c>
      <c r="J25" s="3">
        <v>7.1689999999999996</v>
      </c>
      <c r="K25" s="3">
        <v>3.39</v>
      </c>
      <c r="L25" s="3">
        <v>0.75</v>
      </c>
      <c r="M25" s="3">
        <v>143</v>
      </c>
      <c r="N25" s="6">
        <v>111.17388957999999</v>
      </c>
      <c r="O25" s="30"/>
      <c r="P25" s="43">
        <v>7</v>
      </c>
      <c r="Q25" s="25"/>
      <c r="R25" s="25"/>
      <c r="S25" s="30"/>
      <c r="T25" s="13"/>
      <c r="U25" s="25"/>
      <c r="V25" s="13"/>
      <c r="W25" s="25"/>
      <c r="X25" s="25"/>
      <c r="Y25" s="30"/>
      <c r="Z25" s="18"/>
      <c r="AA25" s="18"/>
    </row>
    <row r="26" spans="1:31" x14ac:dyDescent="0.3">
      <c r="A26" t="s">
        <v>83</v>
      </c>
      <c r="B26" t="s">
        <v>28</v>
      </c>
      <c r="C26" t="s">
        <v>29</v>
      </c>
      <c r="D26" s="1">
        <v>45078</v>
      </c>
      <c r="E26">
        <v>24</v>
      </c>
      <c r="F26" s="3">
        <v>83</v>
      </c>
      <c r="G26">
        <v>6</v>
      </c>
      <c r="H26" t="s">
        <v>35</v>
      </c>
      <c r="I26" t="s">
        <v>53</v>
      </c>
      <c r="J26" s="3">
        <v>7.1459999999999999</v>
      </c>
      <c r="K26" s="3">
        <v>3.34</v>
      </c>
      <c r="L26" s="3">
        <v>0.77</v>
      </c>
      <c r="M26" s="3">
        <v>150</v>
      </c>
      <c r="N26" s="6">
        <v>159.86816379999999</v>
      </c>
      <c r="O26" s="30"/>
      <c r="P26" s="43">
        <v>148</v>
      </c>
      <c r="Q26" s="25"/>
      <c r="R26" s="25"/>
      <c r="S26" s="30"/>
      <c r="T26" s="13"/>
      <c r="U26" s="25"/>
      <c r="V26" s="13"/>
      <c r="W26" s="25"/>
      <c r="X26" s="25"/>
      <c r="Y26" s="30"/>
      <c r="Z26" s="18"/>
      <c r="AA26" s="18"/>
    </row>
    <row r="27" spans="1:31" x14ac:dyDescent="0.3">
      <c r="A27" t="s">
        <v>83</v>
      </c>
      <c r="B27" t="s">
        <v>28</v>
      </c>
      <c r="C27" t="s">
        <v>29</v>
      </c>
      <c r="D27" s="1">
        <v>45079</v>
      </c>
      <c r="E27">
        <v>25</v>
      </c>
      <c r="F27" s="3">
        <v>83</v>
      </c>
      <c r="G27">
        <v>7</v>
      </c>
      <c r="H27" t="s">
        <v>35</v>
      </c>
      <c r="I27" t="s">
        <v>53</v>
      </c>
      <c r="J27" s="3">
        <v>7.1719999999999997</v>
      </c>
      <c r="K27" s="3">
        <v>3.3</v>
      </c>
      <c r="L27" s="3">
        <v>0.8</v>
      </c>
      <c r="M27" s="3">
        <v>312</v>
      </c>
      <c r="N27" s="6">
        <v>151.22223182499999</v>
      </c>
      <c r="O27" s="30"/>
      <c r="P27" s="43">
        <v>125</v>
      </c>
      <c r="Q27" s="25"/>
      <c r="R27" s="25"/>
      <c r="S27" s="30"/>
      <c r="T27" s="13"/>
      <c r="U27" s="25"/>
      <c r="V27" s="13"/>
      <c r="W27" s="25"/>
      <c r="X27" s="25"/>
      <c r="Y27" s="30"/>
      <c r="Z27" s="18"/>
      <c r="AA27" s="18"/>
    </row>
    <row r="28" spans="1:31" x14ac:dyDescent="0.3">
      <c r="A28" t="s">
        <v>83</v>
      </c>
      <c r="B28" t="s">
        <v>28</v>
      </c>
      <c r="C28" t="s">
        <v>29</v>
      </c>
      <c r="D28" s="1">
        <v>45080</v>
      </c>
      <c r="E28">
        <v>26</v>
      </c>
      <c r="F28" s="3">
        <v>83</v>
      </c>
      <c r="G28">
        <v>8</v>
      </c>
      <c r="H28" t="s">
        <v>35</v>
      </c>
      <c r="I28" t="s">
        <v>53</v>
      </c>
      <c r="J28" s="3">
        <v>7.0519999999999996</v>
      </c>
      <c r="K28" s="3">
        <v>3.18</v>
      </c>
      <c r="L28" s="3">
        <v>0.89</v>
      </c>
      <c r="M28" s="3">
        <v>257</v>
      </c>
      <c r="N28" s="6">
        <v>107.42455637421608</v>
      </c>
      <c r="O28" s="30"/>
      <c r="P28" s="43">
        <v>386</v>
      </c>
      <c r="Q28" s="25"/>
      <c r="R28" s="25"/>
      <c r="S28" s="30"/>
      <c r="T28" s="13"/>
      <c r="U28" s="25"/>
      <c r="V28" s="13"/>
      <c r="W28" s="25"/>
      <c r="X28" s="25"/>
      <c r="Y28" s="30"/>
      <c r="Z28" s="18"/>
      <c r="AA28" s="18"/>
    </row>
    <row r="29" spans="1:31" x14ac:dyDescent="0.3">
      <c r="A29" t="s">
        <v>83</v>
      </c>
      <c r="B29" t="s">
        <v>28</v>
      </c>
      <c r="C29" t="s">
        <v>29</v>
      </c>
      <c r="D29" s="1">
        <v>45081</v>
      </c>
      <c r="E29">
        <v>27</v>
      </c>
      <c r="F29" s="3">
        <v>83</v>
      </c>
      <c r="G29">
        <v>9</v>
      </c>
      <c r="H29" t="s">
        <v>35</v>
      </c>
      <c r="I29" t="s">
        <v>53</v>
      </c>
      <c r="J29" s="3">
        <v>7.0469999999999997</v>
      </c>
      <c r="K29" s="3">
        <v>3.18</v>
      </c>
      <c r="L29" s="3">
        <v>0.89</v>
      </c>
      <c r="M29" s="3">
        <v>197</v>
      </c>
      <c r="N29" s="6">
        <v>105.10183489500001</v>
      </c>
      <c r="O29" s="30"/>
      <c r="P29" s="43">
        <v>22</v>
      </c>
      <c r="Q29" s="25"/>
      <c r="R29" s="25"/>
      <c r="S29" s="30"/>
      <c r="T29" s="13"/>
      <c r="U29" s="25"/>
      <c r="V29" s="13"/>
      <c r="W29" s="25"/>
      <c r="X29" s="25"/>
      <c r="Y29" s="30"/>
      <c r="Z29" s="18"/>
      <c r="AA29" s="18"/>
    </row>
    <row r="30" spans="1:31" x14ac:dyDescent="0.3">
      <c r="A30" t="s">
        <v>83</v>
      </c>
      <c r="B30" t="s">
        <v>28</v>
      </c>
      <c r="C30" t="s">
        <v>29</v>
      </c>
      <c r="D30" s="1">
        <v>45082</v>
      </c>
      <c r="E30">
        <v>28</v>
      </c>
      <c r="F30" s="3">
        <v>83</v>
      </c>
      <c r="G30">
        <v>10</v>
      </c>
      <c r="H30" t="s">
        <v>33</v>
      </c>
      <c r="I30" t="s">
        <v>53</v>
      </c>
      <c r="J30" s="3">
        <v>7.0780000000000003</v>
      </c>
      <c r="K30" s="3">
        <v>3.09</v>
      </c>
      <c r="L30" s="3">
        <v>0.97</v>
      </c>
      <c r="M30" s="3">
        <v>287</v>
      </c>
      <c r="N30" s="41">
        <v>121.065</v>
      </c>
      <c r="O30" s="30"/>
      <c r="P30" s="43">
        <v>270</v>
      </c>
      <c r="Q30" s="8">
        <v>6107000</v>
      </c>
      <c r="R30" s="8">
        <v>3867000</v>
      </c>
      <c r="S30" s="29">
        <f>R30/Q30</f>
        <v>0.63320779433437036</v>
      </c>
      <c r="T30">
        <v>1800</v>
      </c>
      <c r="U30" s="8">
        <f>R30*T30</f>
        <v>6960600000</v>
      </c>
      <c r="V30">
        <v>1800</v>
      </c>
      <c r="W30" s="8">
        <f>R30*V30</f>
        <v>6960600000</v>
      </c>
      <c r="X30" s="8">
        <v>6750000000</v>
      </c>
      <c r="Y30" s="29">
        <f>W30/X30</f>
        <v>1.0311999999999999</v>
      </c>
      <c r="Z30" s="19">
        <f>(U30-W20)/W20</f>
        <v>1.5408330702678361</v>
      </c>
      <c r="AA30" s="19">
        <f>Z30/(D30-D20)</f>
        <v>0.15408330702678361</v>
      </c>
    </row>
    <row r="31" spans="1:31" x14ac:dyDescent="0.3">
      <c r="A31" t="s">
        <v>83</v>
      </c>
      <c r="B31" t="s">
        <v>28</v>
      </c>
      <c r="C31" t="s">
        <v>29</v>
      </c>
      <c r="D31" s="1">
        <v>45083</v>
      </c>
      <c r="E31">
        <v>29</v>
      </c>
      <c r="F31" s="3">
        <v>84</v>
      </c>
      <c r="G31">
        <v>1</v>
      </c>
      <c r="H31" t="s">
        <v>35</v>
      </c>
      <c r="I31" t="s">
        <v>53</v>
      </c>
      <c r="J31" s="3">
        <v>7.3810000000000002</v>
      </c>
      <c r="K31" s="3">
        <v>3.74</v>
      </c>
      <c r="L31" s="3">
        <v>0.19</v>
      </c>
      <c r="M31" s="3">
        <v>73</v>
      </c>
      <c r="N31" s="6">
        <v>84.803946323000005</v>
      </c>
      <c r="O31" s="30"/>
      <c r="P31" s="46">
        <f>AVERAGE(366,353)</f>
        <v>359.5</v>
      </c>
      <c r="Q31" s="25"/>
      <c r="R31" s="25"/>
      <c r="S31" s="30"/>
      <c r="T31" s="13"/>
      <c r="U31" s="25"/>
      <c r="V31" s="13"/>
      <c r="W31" s="25"/>
      <c r="X31" s="25"/>
      <c r="Y31" s="30"/>
      <c r="Z31" s="18"/>
      <c r="AA31" s="18"/>
    </row>
    <row r="32" spans="1:31" x14ac:dyDescent="0.3">
      <c r="A32" t="s">
        <v>83</v>
      </c>
      <c r="B32" t="s">
        <v>28</v>
      </c>
      <c r="C32" t="s">
        <v>29</v>
      </c>
      <c r="D32" s="1">
        <v>45084</v>
      </c>
      <c r="E32">
        <v>30</v>
      </c>
      <c r="F32" s="3">
        <v>84</v>
      </c>
      <c r="G32">
        <v>2</v>
      </c>
      <c r="H32" t="s">
        <v>35</v>
      </c>
      <c r="I32" t="s">
        <v>53</v>
      </c>
      <c r="J32" s="3">
        <v>7.31</v>
      </c>
      <c r="K32" s="3">
        <v>3.69</v>
      </c>
      <c r="L32" s="3">
        <v>0.4</v>
      </c>
      <c r="M32" s="3">
        <v>89</v>
      </c>
      <c r="N32" s="6">
        <v>54.831853500000001</v>
      </c>
      <c r="O32" s="30"/>
      <c r="P32" s="43">
        <f>AVERAGE(822,398)</f>
        <v>610</v>
      </c>
      <c r="Q32" s="25"/>
      <c r="R32" s="25"/>
      <c r="S32" s="30"/>
      <c r="T32" s="13"/>
      <c r="U32" s="25"/>
      <c r="V32" s="13"/>
      <c r="W32" s="25"/>
      <c r="X32" s="25"/>
      <c r="Y32" s="30"/>
      <c r="Z32" s="18"/>
      <c r="AA32" s="18"/>
    </row>
    <row r="33" spans="1:27" x14ac:dyDescent="0.3">
      <c r="A33" t="s">
        <v>83</v>
      </c>
      <c r="B33" t="s">
        <v>28</v>
      </c>
      <c r="C33" t="s">
        <v>29</v>
      </c>
      <c r="D33" s="1">
        <v>45085</v>
      </c>
      <c r="E33">
        <v>31</v>
      </c>
      <c r="F33" s="3">
        <v>84</v>
      </c>
      <c r="G33">
        <v>3</v>
      </c>
      <c r="H33" t="s">
        <v>35</v>
      </c>
      <c r="I33" t="s">
        <v>53</v>
      </c>
      <c r="J33" s="3">
        <v>7.3559999999999999</v>
      </c>
      <c r="K33" s="40">
        <v>3.66</v>
      </c>
      <c r="L33" s="40">
        <v>0.47</v>
      </c>
      <c r="M33" s="3">
        <v>110.95</v>
      </c>
      <c r="N33" s="3">
        <v>88.822000000000003</v>
      </c>
      <c r="O33" s="30"/>
      <c r="P33" s="46">
        <f>AVERAGE(401,164)</f>
        <v>282.5</v>
      </c>
      <c r="Q33" s="25"/>
      <c r="R33" s="25"/>
      <c r="S33" s="30"/>
      <c r="T33" s="13"/>
      <c r="U33" s="25"/>
      <c r="V33" s="13"/>
      <c r="W33" s="25"/>
      <c r="X33" s="25"/>
      <c r="Y33" s="30"/>
      <c r="Z33" s="18"/>
      <c r="AA33" s="18"/>
    </row>
    <row r="34" spans="1:27" x14ac:dyDescent="0.3">
      <c r="A34" t="s">
        <v>83</v>
      </c>
      <c r="B34" t="s">
        <v>28</v>
      </c>
      <c r="C34" t="s">
        <v>29</v>
      </c>
      <c r="D34" s="1">
        <v>45086</v>
      </c>
      <c r="E34">
        <v>32</v>
      </c>
      <c r="F34" s="3">
        <v>84</v>
      </c>
      <c r="G34">
        <v>4</v>
      </c>
      <c r="H34" t="s">
        <v>35</v>
      </c>
      <c r="I34" t="s">
        <v>53</v>
      </c>
      <c r="J34" s="3">
        <v>7.3259999999999996</v>
      </c>
      <c r="K34" s="3">
        <v>3.53</v>
      </c>
      <c r="L34" s="3">
        <v>0.57999999999999996</v>
      </c>
      <c r="M34" s="3">
        <v>158</v>
      </c>
      <c r="N34" s="6">
        <v>105.3864697125</v>
      </c>
      <c r="O34" s="30"/>
      <c r="P34" s="43">
        <f>AVERAGE(216,162)</f>
        <v>189</v>
      </c>
      <c r="Q34" s="25"/>
      <c r="R34" s="25"/>
      <c r="S34" s="30"/>
      <c r="T34" s="13"/>
      <c r="U34" s="25"/>
      <c r="V34" s="13"/>
      <c r="W34" s="25"/>
      <c r="X34" s="25"/>
      <c r="Y34" s="30"/>
      <c r="Z34" s="18"/>
      <c r="AA34" s="18"/>
    </row>
    <row r="35" spans="1:27" x14ac:dyDescent="0.3">
      <c r="A35" t="s">
        <v>83</v>
      </c>
      <c r="B35" t="s">
        <v>28</v>
      </c>
      <c r="C35" t="s">
        <v>29</v>
      </c>
      <c r="D35" s="1">
        <v>45087</v>
      </c>
      <c r="E35">
        <v>33</v>
      </c>
      <c r="F35" s="3">
        <v>84</v>
      </c>
      <c r="G35">
        <v>5</v>
      </c>
      <c r="H35" t="s">
        <v>35</v>
      </c>
      <c r="I35" t="s">
        <v>53</v>
      </c>
      <c r="J35" s="3">
        <v>7.2809999999999997</v>
      </c>
      <c r="K35" s="3">
        <v>3.51</v>
      </c>
      <c r="L35" s="3">
        <v>0.62</v>
      </c>
      <c r="M35" s="3">
        <v>140</v>
      </c>
      <c r="N35" s="32">
        <v>94.310935627500015</v>
      </c>
      <c r="O35" s="30"/>
      <c r="P35" s="45">
        <f>AVERAGE(137,175)</f>
        <v>156</v>
      </c>
      <c r="Q35" s="25"/>
      <c r="R35" s="25"/>
      <c r="S35" s="30"/>
      <c r="T35" s="13"/>
      <c r="U35" s="25"/>
      <c r="V35" s="13"/>
      <c r="W35" s="25"/>
      <c r="X35" s="25"/>
      <c r="Y35" s="30"/>
      <c r="Z35" s="18"/>
      <c r="AA35" s="18"/>
    </row>
    <row r="36" spans="1:27" x14ac:dyDescent="0.3">
      <c r="A36" t="s">
        <v>83</v>
      </c>
      <c r="B36" t="s">
        <v>28</v>
      </c>
      <c r="C36" t="s">
        <v>29</v>
      </c>
      <c r="D36" s="1">
        <v>45088</v>
      </c>
      <c r="E36">
        <v>34</v>
      </c>
      <c r="F36" s="3">
        <v>84</v>
      </c>
      <c r="G36">
        <v>6</v>
      </c>
      <c r="H36" t="s">
        <v>35</v>
      </c>
      <c r="I36" t="s">
        <v>53</v>
      </c>
      <c r="J36" s="3">
        <v>7.234</v>
      </c>
      <c r="K36" s="3">
        <v>3.39</v>
      </c>
      <c r="L36" s="3">
        <v>0.7</v>
      </c>
      <c r="M36" s="3">
        <v>178</v>
      </c>
      <c r="N36" s="6">
        <v>132.31725717999998</v>
      </c>
      <c r="O36" s="30"/>
      <c r="P36" s="45">
        <f>AVERAGE(70,198)</f>
        <v>134</v>
      </c>
      <c r="Q36" s="25"/>
      <c r="R36" s="25"/>
      <c r="S36" s="30"/>
      <c r="T36" s="13"/>
      <c r="U36" s="25"/>
      <c r="V36" s="13"/>
      <c r="W36" s="25"/>
      <c r="X36" s="25"/>
      <c r="Y36" s="30"/>
      <c r="Z36" s="18"/>
      <c r="AA36" s="18"/>
    </row>
    <row r="37" spans="1:27" x14ac:dyDescent="0.3">
      <c r="A37" t="s">
        <v>83</v>
      </c>
      <c r="B37" t="s">
        <v>28</v>
      </c>
      <c r="C37" t="s">
        <v>29</v>
      </c>
      <c r="D37" s="1">
        <v>45089</v>
      </c>
      <c r="E37">
        <v>35</v>
      </c>
      <c r="F37" s="3">
        <v>84</v>
      </c>
      <c r="G37">
        <v>7</v>
      </c>
      <c r="H37" t="s">
        <v>35</v>
      </c>
      <c r="I37" t="s">
        <v>53</v>
      </c>
      <c r="J37" s="3">
        <v>7.1289999999999996</v>
      </c>
      <c r="K37" s="3">
        <v>3.19</v>
      </c>
      <c r="L37" s="3">
        <v>0.86</v>
      </c>
      <c r="M37" s="3">
        <v>211</v>
      </c>
      <c r="N37" s="6">
        <v>144.64483465000001</v>
      </c>
      <c r="O37" s="30"/>
      <c r="P37" s="45">
        <f>AVERAGE(139,209)</f>
        <v>174</v>
      </c>
      <c r="Q37" s="25"/>
      <c r="R37" s="25"/>
      <c r="S37" s="30"/>
      <c r="T37" s="13"/>
      <c r="U37" s="25"/>
      <c r="V37" s="13"/>
      <c r="W37" s="25"/>
      <c r="X37" s="25"/>
      <c r="Y37" s="30"/>
      <c r="Z37" s="18"/>
      <c r="AA37" s="18"/>
    </row>
    <row r="38" spans="1:27" x14ac:dyDescent="0.3">
      <c r="A38" t="s">
        <v>83</v>
      </c>
      <c r="B38" t="s">
        <v>28</v>
      </c>
      <c r="C38" t="s">
        <v>29</v>
      </c>
      <c r="D38" s="1">
        <v>45090</v>
      </c>
      <c r="E38">
        <v>36</v>
      </c>
      <c r="F38" s="3">
        <v>84</v>
      </c>
      <c r="G38">
        <v>8</v>
      </c>
      <c r="H38" t="s">
        <v>35</v>
      </c>
      <c r="I38" t="s">
        <v>53</v>
      </c>
      <c r="J38" s="3">
        <v>7.0919999999999996</v>
      </c>
      <c r="K38" s="3">
        <v>3.19</v>
      </c>
      <c r="L38" s="3">
        <v>0.86</v>
      </c>
      <c r="M38" s="3">
        <v>244</v>
      </c>
      <c r="N38" s="6">
        <v>140.2695183125</v>
      </c>
      <c r="O38" s="30"/>
      <c r="P38" s="45">
        <f>AVERAGE(81,87)</f>
        <v>84</v>
      </c>
      <c r="Q38" s="25"/>
      <c r="R38" s="25"/>
      <c r="S38" s="30"/>
      <c r="T38" s="13"/>
      <c r="U38" s="25"/>
      <c r="V38" s="13"/>
      <c r="W38" s="25"/>
      <c r="X38" s="25"/>
      <c r="Y38" s="30"/>
      <c r="Z38" s="18"/>
      <c r="AA38" s="18"/>
    </row>
    <row r="39" spans="1:27" x14ac:dyDescent="0.3">
      <c r="A39" t="s">
        <v>83</v>
      </c>
      <c r="B39" t="s">
        <v>28</v>
      </c>
      <c r="C39" t="s">
        <v>29</v>
      </c>
      <c r="D39" s="1">
        <v>45091</v>
      </c>
      <c r="E39">
        <v>37</v>
      </c>
      <c r="F39" s="3">
        <v>84</v>
      </c>
      <c r="G39">
        <v>9</v>
      </c>
      <c r="H39" t="s">
        <v>35</v>
      </c>
      <c r="I39" t="s">
        <v>53</v>
      </c>
      <c r="J39" s="3">
        <v>7.1159999999999997</v>
      </c>
      <c r="K39" s="3">
        <v>3.23</v>
      </c>
      <c r="L39" s="3">
        <v>0.85</v>
      </c>
      <c r="M39" s="3">
        <v>253</v>
      </c>
      <c r="N39" s="6">
        <v>163.17447473749999</v>
      </c>
      <c r="O39" s="30"/>
      <c r="P39" s="45">
        <f>AVERAGE(108,80)</f>
        <v>94</v>
      </c>
      <c r="Q39" s="25"/>
      <c r="R39" s="25"/>
      <c r="S39" s="30"/>
      <c r="T39" s="13"/>
      <c r="U39" s="25"/>
      <c r="V39" s="13"/>
      <c r="W39" s="25"/>
      <c r="X39" s="25"/>
      <c r="Y39" s="30"/>
      <c r="Z39" s="18"/>
      <c r="AA39" s="18"/>
    </row>
    <row r="40" spans="1:27" x14ac:dyDescent="0.3">
      <c r="A40" t="s">
        <v>83</v>
      </c>
      <c r="B40" t="s">
        <v>28</v>
      </c>
      <c r="C40" t="s">
        <v>29</v>
      </c>
      <c r="D40" s="1">
        <v>45092</v>
      </c>
      <c r="E40">
        <v>38</v>
      </c>
      <c r="F40" s="3">
        <v>84</v>
      </c>
      <c r="G40">
        <v>10</v>
      </c>
      <c r="H40" t="s">
        <v>33</v>
      </c>
      <c r="I40" t="s">
        <v>53</v>
      </c>
      <c r="J40" s="3">
        <v>7.04</v>
      </c>
      <c r="K40" s="3">
        <v>3.17</v>
      </c>
      <c r="L40" s="3">
        <v>0.98</v>
      </c>
      <c r="M40" s="3">
        <v>294</v>
      </c>
      <c r="N40" s="17">
        <v>125.87460050749999</v>
      </c>
      <c r="O40" s="30"/>
      <c r="P40" s="45">
        <f>AVERAGE(84,190)</f>
        <v>137</v>
      </c>
      <c r="Q40" s="8">
        <v>5817000</v>
      </c>
      <c r="R40" s="8">
        <v>3852000</v>
      </c>
      <c r="S40" s="29">
        <f>R40/Q40</f>
        <v>0.66219700876740584</v>
      </c>
      <c r="T40">
        <v>3700</v>
      </c>
      <c r="U40" s="8">
        <f>(1900*3137000)+(1800*4567000)</f>
        <v>14180900000</v>
      </c>
      <c r="V40">
        <v>2276</v>
      </c>
      <c r="W40" s="8">
        <f>(526*3137000)+(1750*4567000)</f>
        <v>9642312000</v>
      </c>
      <c r="X40" s="8">
        <v>9000000000</v>
      </c>
      <c r="Y40" s="29">
        <f>W40/X40</f>
        <v>1.0713680000000001</v>
      </c>
      <c r="Z40" s="19">
        <f>(U40-W30)/W30</f>
        <v>1.0373100020113208</v>
      </c>
      <c r="AA40" s="19">
        <f>Z40/(D40-D30)</f>
        <v>0.10373100020113209</v>
      </c>
    </row>
    <row r="41" spans="1:27" x14ac:dyDescent="0.3">
      <c r="A41" t="s">
        <v>83</v>
      </c>
      <c r="B41" t="s">
        <v>28</v>
      </c>
      <c r="C41" t="s">
        <v>29</v>
      </c>
      <c r="D41" s="1">
        <v>45093</v>
      </c>
      <c r="E41">
        <v>39</v>
      </c>
      <c r="F41" s="3">
        <v>85</v>
      </c>
      <c r="G41">
        <v>1</v>
      </c>
      <c r="H41" t="s">
        <v>35</v>
      </c>
      <c r="I41" t="s">
        <v>53</v>
      </c>
      <c r="J41" s="3">
        <v>7.3730000000000002</v>
      </c>
      <c r="K41" s="3">
        <v>3.79</v>
      </c>
      <c r="L41" s="3">
        <v>0.23</v>
      </c>
      <c r="M41" s="3">
        <v>73</v>
      </c>
      <c r="N41" s="6">
        <f>AVERAGE(59.92521294,71.86094764,64.63430503)</f>
        <v>65.473488536666665</v>
      </c>
      <c r="O41" s="30"/>
      <c r="P41" s="45">
        <f>AVERAGE(397,246,350)</f>
        <v>331</v>
      </c>
      <c r="Q41" s="25"/>
      <c r="R41" s="25"/>
      <c r="S41" s="30"/>
      <c r="T41" s="13"/>
      <c r="U41" s="25"/>
      <c r="V41" s="13"/>
      <c r="W41" s="25"/>
      <c r="X41" s="25"/>
      <c r="Y41" s="30"/>
      <c r="Z41" s="18"/>
      <c r="AA41" s="18"/>
    </row>
    <row r="42" spans="1:27" x14ac:dyDescent="0.3">
      <c r="A42" t="s">
        <v>83</v>
      </c>
      <c r="B42" t="s">
        <v>28</v>
      </c>
      <c r="C42" t="s">
        <v>29</v>
      </c>
      <c r="D42" s="1">
        <v>45094</v>
      </c>
      <c r="E42">
        <v>40</v>
      </c>
      <c r="F42" s="3">
        <v>85</v>
      </c>
      <c r="G42">
        <v>2</v>
      </c>
      <c r="H42" t="s">
        <v>76</v>
      </c>
      <c r="I42" t="s">
        <v>53</v>
      </c>
      <c r="J42" s="13"/>
      <c r="K42" s="13"/>
      <c r="L42" s="13"/>
      <c r="M42" s="13"/>
      <c r="N42" s="13"/>
      <c r="O42" s="30"/>
      <c r="P42" s="25"/>
      <c r="Q42" s="25"/>
      <c r="R42" s="25"/>
      <c r="S42" s="30"/>
      <c r="T42" s="13"/>
      <c r="U42" s="25"/>
      <c r="V42" s="13"/>
      <c r="W42" s="25"/>
      <c r="X42" s="25"/>
      <c r="Y42" s="30"/>
      <c r="Z42" s="18"/>
      <c r="AA42" s="18"/>
    </row>
    <row r="43" spans="1:27" x14ac:dyDescent="0.3">
      <c r="A43" t="s">
        <v>83</v>
      </c>
      <c r="B43" t="s">
        <v>28</v>
      </c>
      <c r="C43" t="s">
        <v>29</v>
      </c>
      <c r="D43" s="1">
        <v>45095</v>
      </c>
      <c r="E43">
        <v>41</v>
      </c>
      <c r="F43" s="3">
        <v>85</v>
      </c>
      <c r="G43">
        <v>3</v>
      </c>
      <c r="H43" t="s">
        <v>78</v>
      </c>
      <c r="I43" t="s">
        <v>53</v>
      </c>
      <c r="J43" s="3">
        <v>7.202</v>
      </c>
      <c r="K43" s="3">
        <v>3.44</v>
      </c>
      <c r="L43" s="3">
        <v>0.73</v>
      </c>
      <c r="M43">
        <v>110</v>
      </c>
      <c r="N43" s="3">
        <v>108.41200000000001</v>
      </c>
      <c r="O43" s="30"/>
      <c r="P43" s="47">
        <f>AVERAGE(60,241,163)</f>
        <v>154.66666666666666</v>
      </c>
      <c r="Q43" s="25"/>
      <c r="R43" s="25"/>
      <c r="S43" s="30"/>
      <c r="T43" s="13"/>
      <c r="U43" s="25"/>
      <c r="V43" s="13"/>
      <c r="W43" s="25"/>
      <c r="X43" s="25"/>
      <c r="Y43" s="30"/>
      <c r="Z43" s="18"/>
      <c r="AA43" s="18"/>
    </row>
    <row r="44" spans="1:27" x14ac:dyDescent="0.3">
      <c r="A44" t="s">
        <v>83</v>
      </c>
      <c r="B44" t="s">
        <v>28</v>
      </c>
      <c r="C44" t="s">
        <v>29</v>
      </c>
      <c r="D44" s="1">
        <v>45096</v>
      </c>
      <c r="E44">
        <v>42</v>
      </c>
      <c r="F44" s="3">
        <v>85</v>
      </c>
      <c r="G44">
        <v>4</v>
      </c>
      <c r="H44" t="s">
        <v>76</v>
      </c>
      <c r="I44" t="s">
        <v>53</v>
      </c>
      <c r="J44" s="13"/>
      <c r="K44" s="13"/>
      <c r="L44" s="13"/>
      <c r="M44" s="13"/>
      <c r="N44" s="15"/>
      <c r="O44" s="30"/>
      <c r="P44" s="25"/>
      <c r="Q44" s="25"/>
      <c r="R44" s="25"/>
      <c r="S44" s="30"/>
      <c r="T44" s="13"/>
      <c r="U44" s="25"/>
      <c r="V44" s="13"/>
      <c r="W44" s="25"/>
      <c r="X44" s="25"/>
      <c r="Y44" s="30"/>
      <c r="Z44" s="18"/>
      <c r="AA44" s="18"/>
    </row>
    <row r="45" spans="1:27" x14ac:dyDescent="0.3">
      <c r="A45" t="s">
        <v>83</v>
      </c>
      <c r="B45" t="s">
        <v>28</v>
      </c>
      <c r="C45" t="s">
        <v>29</v>
      </c>
      <c r="D45" s="1">
        <v>45097</v>
      </c>
      <c r="E45">
        <v>43</v>
      </c>
      <c r="F45" s="3">
        <v>85</v>
      </c>
      <c r="G45">
        <v>5</v>
      </c>
      <c r="H45" t="s">
        <v>78</v>
      </c>
      <c r="I45" t="s">
        <v>53</v>
      </c>
      <c r="J45" s="3">
        <v>7.11</v>
      </c>
      <c r="K45" s="3">
        <v>3.19</v>
      </c>
      <c r="L45" s="3">
        <v>0.97</v>
      </c>
      <c r="M45">
        <v>176</v>
      </c>
      <c r="N45" s="3">
        <v>89.635000000000005</v>
      </c>
      <c r="O45" s="30"/>
      <c r="P45" s="47">
        <f>AVERAGE(122,173,36,
117,
81,
20)</f>
        <v>91.5</v>
      </c>
      <c r="Q45" s="25"/>
      <c r="R45" s="25"/>
      <c r="S45" s="30"/>
      <c r="T45" s="13"/>
      <c r="U45" s="25"/>
      <c r="V45" s="13"/>
      <c r="W45" s="25"/>
      <c r="X45" s="25"/>
      <c r="Y45" s="30"/>
      <c r="Z45" s="18"/>
      <c r="AA45" s="18"/>
    </row>
    <row r="46" spans="1:27" x14ac:dyDescent="0.3">
      <c r="A46" t="s">
        <v>83</v>
      </c>
      <c r="B46" t="s">
        <v>28</v>
      </c>
      <c r="C46" t="s">
        <v>29</v>
      </c>
      <c r="D46" s="1">
        <v>45098</v>
      </c>
      <c r="E46">
        <v>44</v>
      </c>
      <c r="F46" s="3">
        <v>85</v>
      </c>
      <c r="G46">
        <v>6</v>
      </c>
      <c r="H46" t="s">
        <v>76</v>
      </c>
      <c r="I46" t="s">
        <v>53</v>
      </c>
      <c r="J46" s="13"/>
      <c r="K46" s="13"/>
      <c r="L46" s="13"/>
      <c r="M46" s="13"/>
      <c r="N46" s="13"/>
      <c r="O46" s="30"/>
      <c r="P46" s="25"/>
      <c r="Q46" s="25"/>
      <c r="R46" s="25"/>
      <c r="S46" s="30"/>
      <c r="T46" s="13"/>
      <c r="U46" s="25"/>
      <c r="V46" s="13"/>
      <c r="W46" s="25"/>
      <c r="X46" s="25"/>
      <c r="Y46" s="30"/>
      <c r="Z46" s="18"/>
      <c r="AA46" s="18"/>
    </row>
    <row r="47" spans="1:27" x14ac:dyDescent="0.3">
      <c r="A47" t="s">
        <v>83</v>
      </c>
      <c r="B47" t="s">
        <v>28</v>
      </c>
      <c r="C47" t="s">
        <v>29</v>
      </c>
      <c r="D47" s="1">
        <v>45099</v>
      </c>
      <c r="E47">
        <v>45</v>
      </c>
      <c r="F47" s="3">
        <v>85</v>
      </c>
      <c r="G47">
        <v>7</v>
      </c>
      <c r="H47" t="s">
        <v>78</v>
      </c>
      <c r="I47" t="s">
        <v>53</v>
      </c>
      <c r="J47" s="3">
        <v>7.0670000000000002</v>
      </c>
      <c r="K47" s="3">
        <v>3.03</v>
      </c>
      <c r="L47" s="3">
        <v>1.0900000000000001</v>
      </c>
      <c r="M47">
        <v>175</v>
      </c>
      <c r="N47" s="3">
        <v>137.82</v>
      </c>
      <c r="O47" s="30"/>
      <c r="P47" s="47">
        <f>AVERAGE(109,42,15,
4,
4,
3)</f>
        <v>29.5</v>
      </c>
      <c r="Q47" s="25"/>
      <c r="R47" s="25"/>
      <c r="S47" s="30"/>
      <c r="T47" s="13"/>
      <c r="U47" s="25"/>
      <c r="V47" s="13"/>
      <c r="W47" s="25"/>
      <c r="X47" s="25"/>
      <c r="Y47" s="30"/>
      <c r="Z47" s="18"/>
      <c r="AA47" s="18"/>
    </row>
    <row r="48" spans="1:27" x14ac:dyDescent="0.3">
      <c r="A48" t="s">
        <v>83</v>
      </c>
      <c r="B48" t="s">
        <v>28</v>
      </c>
      <c r="C48" t="s">
        <v>29</v>
      </c>
      <c r="D48" s="1">
        <v>45100</v>
      </c>
      <c r="E48">
        <v>46</v>
      </c>
      <c r="F48" s="3">
        <v>85</v>
      </c>
      <c r="G48">
        <v>8</v>
      </c>
      <c r="H48" t="s">
        <v>76</v>
      </c>
      <c r="I48" t="s">
        <v>53</v>
      </c>
      <c r="J48" s="13"/>
      <c r="K48" s="13"/>
      <c r="L48" s="13"/>
      <c r="M48" s="13"/>
      <c r="N48" s="13"/>
      <c r="O48" s="30"/>
      <c r="P48" s="25"/>
      <c r="Q48" s="25"/>
      <c r="R48" s="25"/>
      <c r="S48" s="30"/>
      <c r="T48" s="13"/>
      <c r="U48" s="25"/>
      <c r="V48" s="13"/>
      <c r="W48" s="25"/>
      <c r="X48" s="25"/>
      <c r="Y48" s="30"/>
      <c r="Z48" s="18"/>
      <c r="AA48" s="18"/>
    </row>
    <row r="49" spans="1:27" x14ac:dyDescent="0.3">
      <c r="A49" t="s">
        <v>83</v>
      </c>
      <c r="B49" t="s">
        <v>28</v>
      </c>
      <c r="C49" t="s">
        <v>29</v>
      </c>
      <c r="D49" s="1">
        <v>45101</v>
      </c>
      <c r="E49">
        <v>47</v>
      </c>
      <c r="F49" s="3">
        <v>85</v>
      </c>
      <c r="G49">
        <v>9</v>
      </c>
      <c r="H49" t="s">
        <v>78</v>
      </c>
      <c r="I49" t="s">
        <v>53</v>
      </c>
      <c r="J49" s="3">
        <v>7.0519999999999996</v>
      </c>
      <c r="K49" s="3">
        <v>2.95</v>
      </c>
      <c r="L49" s="3">
        <v>1.2</v>
      </c>
      <c r="M49">
        <v>173</v>
      </c>
      <c r="N49" s="3">
        <v>153.94999999999999</v>
      </c>
      <c r="O49" s="30"/>
      <c r="P49" s="45">
        <f>AVERAGE(67,55,52)</f>
        <v>58</v>
      </c>
      <c r="Q49" s="25"/>
      <c r="R49" s="25"/>
      <c r="S49" s="30"/>
      <c r="T49" s="13"/>
      <c r="U49" s="25"/>
      <c r="V49" s="13"/>
      <c r="W49" s="25"/>
      <c r="X49" s="25"/>
      <c r="Y49" s="30"/>
      <c r="Z49" s="18"/>
      <c r="AA49" s="18"/>
    </row>
    <row r="50" spans="1:27" x14ac:dyDescent="0.3">
      <c r="A50" t="s">
        <v>83</v>
      </c>
      <c r="B50" t="s">
        <v>28</v>
      </c>
      <c r="C50" t="s">
        <v>29</v>
      </c>
      <c r="D50" s="1">
        <v>45102</v>
      </c>
      <c r="E50">
        <v>48</v>
      </c>
      <c r="F50" s="3">
        <v>85</v>
      </c>
      <c r="G50">
        <v>10</v>
      </c>
      <c r="H50" t="s">
        <v>76</v>
      </c>
      <c r="I50" t="s">
        <v>53</v>
      </c>
      <c r="J50" s="13"/>
      <c r="K50" s="13"/>
      <c r="L50" s="13"/>
      <c r="M50" s="13"/>
      <c r="N50" s="13"/>
      <c r="O50" s="30"/>
      <c r="P50" s="25"/>
      <c r="Q50" s="25"/>
      <c r="R50" s="25"/>
      <c r="S50" s="30"/>
      <c r="T50" s="13"/>
      <c r="U50" s="25"/>
      <c r="V50" s="13"/>
      <c r="W50" s="25"/>
      <c r="X50" s="25"/>
      <c r="Y50" s="30"/>
      <c r="Z50" s="18"/>
      <c r="AA50" s="18"/>
    </row>
    <row r="51" spans="1:27" x14ac:dyDescent="0.3">
      <c r="A51" t="s">
        <v>83</v>
      </c>
      <c r="B51" t="s">
        <v>28</v>
      </c>
      <c r="C51" t="s">
        <v>29</v>
      </c>
      <c r="D51" s="1">
        <v>45103</v>
      </c>
      <c r="E51">
        <v>49</v>
      </c>
      <c r="F51" s="3">
        <v>85</v>
      </c>
      <c r="G51">
        <v>11</v>
      </c>
      <c r="H51" t="s">
        <v>78</v>
      </c>
      <c r="I51" t="s">
        <v>53</v>
      </c>
      <c r="J51" s="3">
        <v>7.0469999999999997</v>
      </c>
      <c r="K51" s="3">
        <v>2.83</v>
      </c>
      <c r="L51" s="3">
        <v>1.23</v>
      </c>
      <c r="M51">
        <v>217</v>
      </c>
      <c r="N51" s="3">
        <v>158.20099999999999</v>
      </c>
      <c r="O51" s="30"/>
      <c r="P51" s="47">
        <f>AVERAGE(69,7,33)</f>
        <v>36.333333333333336</v>
      </c>
      <c r="Q51" s="25"/>
      <c r="R51" s="25"/>
      <c r="S51" s="30"/>
      <c r="T51" s="13"/>
      <c r="U51" s="25"/>
      <c r="V51" s="13"/>
      <c r="W51" s="25"/>
      <c r="X51" s="25"/>
      <c r="Y51" s="30"/>
      <c r="Z51" s="18"/>
      <c r="AA51" s="18"/>
    </row>
    <row r="52" spans="1:27" x14ac:dyDescent="0.3">
      <c r="A52" t="s">
        <v>83</v>
      </c>
      <c r="B52" t="s">
        <v>28</v>
      </c>
      <c r="C52" t="s">
        <v>29</v>
      </c>
      <c r="D52" s="1">
        <v>45104</v>
      </c>
      <c r="E52">
        <v>50</v>
      </c>
      <c r="F52" s="3">
        <v>85</v>
      </c>
      <c r="G52">
        <v>12</v>
      </c>
      <c r="H52" t="s">
        <v>76</v>
      </c>
      <c r="I52" t="s">
        <v>53</v>
      </c>
      <c r="J52" s="13"/>
      <c r="K52" s="13"/>
      <c r="L52" s="13"/>
      <c r="M52" s="13"/>
      <c r="N52" s="13"/>
      <c r="O52" s="30"/>
      <c r="P52" s="25"/>
      <c r="Q52" s="25"/>
      <c r="R52" s="25"/>
      <c r="S52" s="30"/>
      <c r="T52" s="13"/>
      <c r="U52" s="25"/>
      <c r="V52" s="13"/>
      <c r="W52" s="25"/>
      <c r="X52" s="25"/>
      <c r="Y52" s="30"/>
      <c r="Z52" s="18"/>
      <c r="AA52" s="18"/>
    </row>
    <row r="53" spans="1:27" x14ac:dyDescent="0.3">
      <c r="A53" t="s">
        <v>83</v>
      </c>
      <c r="B53" t="s">
        <v>28</v>
      </c>
      <c r="C53" t="s">
        <v>29</v>
      </c>
      <c r="D53" s="1">
        <v>45105</v>
      </c>
      <c r="E53">
        <v>51</v>
      </c>
      <c r="F53" s="3">
        <v>85</v>
      </c>
      <c r="G53">
        <v>13</v>
      </c>
      <c r="H53" t="s">
        <v>78</v>
      </c>
      <c r="I53" t="s">
        <v>53</v>
      </c>
      <c r="J53" s="3">
        <v>7.0030000000000001</v>
      </c>
      <c r="K53" s="3">
        <v>2.75</v>
      </c>
      <c r="L53" s="3">
        <v>1.22</v>
      </c>
      <c r="M53">
        <v>257</v>
      </c>
      <c r="N53" s="3">
        <v>137.226</v>
      </c>
      <c r="O53" s="30"/>
      <c r="P53" s="47">
        <f>AVERAGE(38,19,26,
37,
31,
3)</f>
        <v>25.666666666666668</v>
      </c>
      <c r="Q53" s="25"/>
      <c r="R53" s="25"/>
      <c r="S53" s="30"/>
      <c r="T53" s="13"/>
      <c r="U53" s="25"/>
      <c r="V53" s="13"/>
      <c r="W53" s="25"/>
      <c r="X53" s="25"/>
      <c r="Y53" s="30"/>
      <c r="Z53" s="18"/>
      <c r="AA53" s="18"/>
    </row>
    <row r="54" spans="1:27" x14ac:dyDescent="0.3">
      <c r="A54" t="s">
        <v>83</v>
      </c>
      <c r="B54" t="s">
        <v>28</v>
      </c>
      <c r="C54" t="s">
        <v>29</v>
      </c>
      <c r="D54" s="1">
        <v>45106</v>
      </c>
      <c r="E54">
        <v>52</v>
      </c>
      <c r="F54" s="3">
        <v>85</v>
      </c>
      <c r="G54">
        <v>14</v>
      </c>
      <c r="H54" t="s">
        <v>76</v>
      </c>
      <c r="I54" t="s">
        <v>53</v>
      </c>
      <c r="J54" s="13"/>
      <c r="K54" s="13"/>
      <c r="L54" s="13"/>
      <c r="M54" s="13"/>
      <c r="N54" s="13"/>
      <c r="O54" s="30"/>
      <c r="P54" s="25"/>
      <c r="Q54" s="25"/>
      <c r="R54" s="25"/>
      <c r="S54" s="30"/>
      <c r="T54" s="13"/>
      <c r="U54" s="25"/>
      <c r="V54" s="13"/>
      <c r="W54" s="25"/>
      <c r="X54" s="25"/>
      <c r="Y54" s="30"/>
      <c r="Z54" s="18"/>
      <c r="AA54" s="18"/>
    </row>
    <row r="55" spans="1:27" x14ac:dyDescent="0.3">
      <c r="A55" t="s">
        <v>83</v>
      </c>
      <c r="B55" t="s">
        <v>28</v>
      </c>
      <c r="C55" t="s">
        <v>29</v>
      </c>
      <c r="D55" s="1">
        <v>45107</v>
      </c>
      <c r="E55">
        <v>53</v>
      </c>
      <c r="F55" s="3">
        <v>85</v>
      </c>
      <c r="G55">
        <v>15</v>
      </c>
      <c r="H55" t="s">
        <v>78</v>
      </c>
      <c r="I55" t="s">
        <v>53</v>
      </c>
      <c r="J55" s="3">
        <v>7.0129999999999999</v>
      </c>
      <c r="K55" s="3">
        <v>2.77</v>
      </c>
      <c r="L55" s="3">
        <v>1.24</v>
      </c>
      <c r="M55">
        <v>235</v>
      </c>
      <c r="N55" s="3">
        <v>127.26300000000001</v>
      </c>
      <c r="O55" s="30"/>
      <c r="P55" s="45">
        <f>AVERAGE(70,37,
30,
79,
41,91)</f>
        <v>58</v>
      </c>
      <c r="Q55" s="25"/>
      <c r="R55" s="25"/>
      <c r="S55" s="30"/>
      <c r="T55" s="13"/>
      <c r="U55" s="25"/>
      <c r="V55" s="13"/>
      <c r="W55" s="25"/>
      <c r="X55" s="25"/>
      <c r="Y55" s="30"/>
      <c r="Z55" s="18"/>
      <c r="AA55" s="18"/>
    </row>
    <row r="56" spans="1:27" x14ac:dyDescent="0.3">
      <c r="A56" t="s">
        <v>83</v>
      </c>
      <c r="B56" t="s">
        <v>28</v>
      </c>
      <c r="C56" t="s">
        <v>29</v>
      </c>
      <c r="D56" s="1">
        <v>45108</v>
      </c>
      <c r="E56">
        <v>54</v>
      </c>
      <c r="F56" s="3">
        <v>85</v>
      </c>
      <c r="G56">
        <v>16</v>
      </c>
      <c r="H56" t="s">
        <v>76</v>
      </c>
      <c r="I56" t="s">
        <v>53</v>
      </c>
      <c r="J56" s="13"/>
      <c r="K56" s="13"/>
      <c r="L56" s="13"/>
      <c r="M56" s="13"/>
      <c r="N56" s="13"/>
      <c r="O56" s="30"/>
      <c r="P56" s="25"/>
      <c r="Q56" s="25"/>
      <c r="R56" s="25"/>
      <c r="S56" s="30"/>
      <c r="T56" s="13"/>
      <c r="U56" s="25"/>
      <c r="V56" s="13"/>
      <c r="W56" s="25"/>
      <c r="X56" s="25"/>
      <c r="Y56" s="30"/>
      <c r="Z56" s="18"/>
      <c r="AA56" s="18"/>
    </row>
    <row r="57" spans="1:27" x14ac:dyDescent="0.3">
      <c r="A57" t="s">
        <v>83</v>
      </c>
      <c r="B57" t="s">
        <v>28</v>
      </c>
      <c r="C57" t="s">
        <v>29</v>
      </c>
      <c r="D57" s="1">
        <v>45109</v>
      </c>
      <c r="E57">
        <v>55</v>
      </c>
      <c r="F57" s="3">
        <v>85</v>
      </c>
      <c r="G57">
        <v>17</v>
      </c>
      <c r="H57" t="s">
        <v>78</v>
      </c>
      <c r="I57" t="s">
        <v>53</v>
      </c>
      <c r="J57" s="3">
        <v>7.0620000000000003</v>
      </c>
      <c r="K57" s="3">
        <v>2.89</v>
      </c>
      <c r="L57" s="3">
        <v>1.1299999999999999</v>
      </c>
      <c r="M57">
        <v>293</v>
      </c>
      <c r="N57" s="3">
        <v>193.38800000000001</v>
      </c>
      <c r="O57" s="30"/>
      <c r="P57" s="45">
        <f>AVERAGE(20,83,23)</f>
        <v>42</v>
      </c>
      <c r="Q57" s="25"/>
      <c r="R57" s="25"/>
      <c r="S57" s="30"/>
      <c r="T57" s="13"/>
      <c r="U57" s="25"/>
      <c r="V57" s="13"/>
      <c r="W57" s="25"/>
      <c r="X57" s="25"/>
      <c r="Y57" s="30"/>
      <c r="Z57" s="18"/>
      <c r="AA57" s="18"/>
    </row>
    <row r="58" spans="1:27" x14ac:dyDescent="0.3">
      <c r="A58" t="s">
        <v>83</v>
      </c>
      <c r="B58" t="s">
        <v>28</v>
      </c>
      <c r="C58" t="s">
        <v>29</v>
      </c>
      <c r="D58" s="1">
        <v>45110</v>
      </c>
      <c r="E58">
        <v>56</v>
      </c>
      <c r="F58" s="3">
        <v>85</v>
      </c>
      <c r="G58">
        <v>18</v>
      </c>
      <c r="H58" t="s">
        <v>76</v>
      </c>
      <c r="I58" t="s">
        <v>53</v>
      </c>
      <c r="J58" s="13"/>
      <c r="K58" s="13"/>
      <c r="L58" s="13"/>
      <c r="M58" s="13"/>
      <c r="N58" s="13"/>
      <c r="O58" s="30"/>
      <c r="P58" s="25"/>
      <c r="Q58" s="25"/>
      <c r="R58" s="25"/>
      <c r="S58" s="30"/>
      <c r="T58" s="13"/>
      <c r="U58" s="25"/>
      <c r="V58" s="13"/>
      <c r="W58" s="25"/>
      <c r="X58" s="25"/>
      <c r="Y58" s="30"/>
      <c r="Z58" s="18"/>
      <c r="AA58" s="18"/>
    </row>
    <row r="59" spans="1:27" x14ac:dyDescent="0.3">
      <c r="A59" t="s">
        <v>83</v>
      </c>
      <c r="B59" t="s">
        <v>28</v>
      </c>
      <c r="C59" t="s">
        <v>29</v>
      </c>
      <c r="D59" s="1">
        <v>45111</v>
      </c>
      <c r="E59">
        <v>57</v>
      </c>
      <c r="F59" s="3">
        <v>85</v>
      </c>
      <c r="G59">
        <v>19</v>
      </c>
      <c r="H59" t="s">
        <v>78</v>
      </c>
      <c r="I59" t="s">
        <v>53</v>
      </c>
      <c r="J59" s="3">
        <v>7.0759999999999996</v>
      </c>
      <c r="K59" s="3">
        <v>2.92</v>
      </c>
      <c r="L59" s="3">
        <v>1.08</v>
      </c>
      <c r="M59">
        <v>300</v>
      </c>
      <c r="N59" s="3">
        <v>183.655</v>
      </c>
      <c r="O59" s="30"/>
      <c r="P59" s="45">
        <f>AVERAGE(21,20,25)</f>
        <v>22</v>
      </c>
      <c r="Q59" s="25"/>
      <c r="R59" s="25"/>
      <c r="S59" s="30"/>
      <c r="T59" s="13"/>
      <c r="U59" s="25"/>
      <c r="V59" s="13"/>
      <c r="W59" s="25"/>
      <c r="X59" s="25"/>
      <c r="Y59" s="30"/>
      <c r="Z59" s="18"/>
      <c r="AA59" s="18"/>
    </row>
    <row r="60" spans="1:27" x14ac:dyDescent="0.3">
      <c r="A60" t="s">
        <v>83</v>
      </c>
      <c r="B60" t="s">
        <v>28</v>
      </c>
      <c r="C60" t="s">
        <v>29</v>
      </c>
      <c r="D60" s="1">
        <v>45112</v>
      </c>
      <c r="E60">
        <v>58</v>
      </c>
      <c r="F60" s="3">
        <v>85</v>
      </c>
      <c r="G60">
        <v>20</v>
      </c>
      <c r="H60" t="s">
        <v>76</v>
      </c>
      <c r="I60" t="s">
        <v>53</v>
      </c>
      <c r="J60" s="13"/>
      <c r="K60" s="13"/>
      <c r="L60" s="13"/>
      <c r="M60" s="13"/>
      <c r="N60" s="13"/>
      <c r="O60" s="30"/>
      <c r="P60" s="25"/>
      <c r="Q60" s="25"/>
      <c r="R60" s="25"/>
      <c r="S60" s="30"/>
      <c r="T60" s="13"/>
      <c r="U60" s="25"/>
      <c r="V60" s="13"/>
      <c r="W60" s="25"/>
      <c r="X60" s="25"/>
      <c r="Y60" s="30"/>
      <c r="Z60" s="18"/>
      <c r="AA60" s="18"/>
    </row>
    <row r="61" spans="1:27" x14ac:dyDescent="0.3">
      <c r="A61" t="s">
        <v>83</v>
      </c>
      <c r="B61" t="s">
        <v>28</v>
      </c>
      <c r="C61" t="s">
        <v>29</v>
      </c>
      <c r="D61" s="1">
        <v>45113</v>
      </c>
      <c r="E61">
        <v>59</v>
      </c>
      <c r="F61" s="3">
        <v>85</v>
      </c>
      <c r="G61">
        <v>21</v>
      </c>
      <c r="H61" t="s">
        <v>78</v>
      </c>
      <c r="I61" t="s">
        <v>53</v>
      </c>
      <c r="J61" s="3">
        <v>7.12</v>
      </c>
      <c r="K61" s="3">
        <v>3.13</v>
      </c>
      <c r="L61" s="3">
        <v>0.99</v>
      </c>
      <c r="M61">
        <v>242</v>
      </c>
      <c r="N61" s="3">
        <v>132.322</v>
      </c>
      <c r="O61" s="30"/>
      <c r="P61" s="45">
        <f>AVERAGE(2,150,49)</f>
        <v>67</v>
      </c>
      <c r="Q61" s="25"/>
      <c r="R61" s="25"/>
      <c r="S61" s="30"/>
      <c r="T61" s="13"/>
      <c r="U61" s="25"/>
      <c r="V61" s="13"/>
      <c r="W61" s="25"/>
      <c r="X61" s="25"/>
      <c r="Y61" s="30"/>
      <c r="Z61" s="18"/>
      <c r="AA61" s="18"/>
    </row>
    <row r="62" spans="1:27" x14ac:dyDescent="0.3">
      <c r="A62" t="s">
        <v>83</v>
      </c>
      <c r="B62" t="s">
        <v>28</v>
      </c>
      <c r="C62" t="s">
        <v>29</v>
      </c>
      <c r="D62" s="1">
        <v>45114</v>
      </c>
      <c r="E62">
        <v>60</v>
      </c>
      <c r="F62" s="3">
        <v>85</v>
      </c>
      <c r="G62">
        <v>22</v>
      </c>
      <c r="H62" t="s">
        <v>76</v>
      </c>
      <c r="I62" t="s">
        <v>53</v>
      </c>
      <c r="J62" s="13"/>
      <c r="K62" s="13"/>
      <c r="L62" s="13"/>
      <c r="M62" s="13"/>
      <c r="N62" s="13"/>
      <c r="O62" s="30"/>
      <c r="P62" s="25"/>
      <c r="Q62" s="25"/>
      <c r="R62" s="25"/>
      <c r="S62" s="30"/>
      <c r="T62" s="13"/>
      <c r="U62" s="25"/>
      <c r="V62" s="13"/>
      <c r="W62" s="25"/>
      <c r="X62" s="25"/>
      <c r="Y62" s="30"/>
      <c r="Z62" s="18"/>
      <c r="AA62" s="18"/>
    </row>
    <row r="63" spans="1:27" x14ac:dyDescent="0.3">
      <c r="A63" t="s">
        <v>83</v>
      </c>
      <c r="B63" t="s">
        <v>28</v>
      </c>
      <c r="C63" t="s">
        <v>29</v>
      </c>
      <c r="D63" s="1">
        <v>45115</v>
      </c>
      <c r="E63">
        <v>61</v>
      </c>
      <c r="F63" s="3">
        <v>85</v>
      </c>
      <c r="G63">
        <v>23</v>
      </c>
      <c r="H63" t="s">
        <v>82</v>
      </c>
      <c r="I63" t="s">
        <v>53</v>
      </c>
      <c r="J63" s="40">
        <v>7.1520000000000001</v>
      </c>
      <c r="K63" s="40">
        <v>3.24</v>
      </c>
      <c r="L63" s="40">
        <v>0.88</v>
      </c>
      <c r="M63" s="3">
        <v>242.917</v>
      </c>
      <c r="N63" s="3">
        <v>177.815</v>
      </c>
      <c r="O63" s="30"/>
      <c r="P63" s="45">
        <f>AVERAGE(23,11,29)</f>
        <v>21</v>
      </c>
      <c r="Q63" s="25"/>
      <c r="R63" s="25"/>
      <c r="S63" s="30"/>
      <c r="T63" s="13"/>
      <c r="U63" s="25"/>
      <c r="V63" s="13"/>
      <c r="W63" s="25"/>
      <c r="X63" s="25"/>
      <c r="Y63" s="30"/>
      <c r="Z63" s="18"/>
      <c r="AA63" s="18"/>
    </row>
    <row r="64" spans="1:27" x14ac:dyDescent="0.3">
      <c r="P64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AE02-F380-481E-A91E-F7976DBAEAF1}">
  <dimension ref="A1:AA42"/>
  <sheetViews>
    <sheetView topLeftCell="D1" workbookViewId="0">
      <pane ySplit="1" topLeftCell="A34" activePane="bottomLeft" state="frozen"/>
      <selection pane="bottomLeft" activeCell="F22" sqref="F22"/>
    </sheetView>
  </sheetViews>
  <sheetFormatPr defaultRowHeight="14.4" x14ac:dyDescent="0.3"/>
  <cols>
    <col min="1" max="1" width="17.21875" hidden="1" customWidth="1"/>
    <col min="2" max="2" width="0" hidden="1" customWidth="1"/>
    <col min="3" max="3" width="12.5546875" hidden="1" customWidth="1"/>
    <col min="4" max="4" width="9.77734375" bestFit="1" customWidth="1"/>
    <col min="5" max="5" width="7.21875" bestFit="1" customWidth="1"/>
    <col min="6" max="7" width="7.5546875" bestFit="1" customWidth="1"/>
    <col min="8" max="8" width="9.5546875" bestFit="1" customWidth="1"/>
    <col min="9" max="9" width="10.44140625" bestFit="1" customWidth="1"/>
    <col min="10" max="10" width="5.77734375" bestFit="1" customWidth="1"/>
    <col min="11" max="11" width="7.77734375" bestFit="1" customWidth="1"/>
    <col min="12" max="12" width="6.77734375" bestFit="1" customWidth="1"/>
    <col min="13" max="14" width="12.21875" customWidth="1"/>
    <col min="15" max="16" width="10.44140625" customWidth="1"/>
    <col min="17" max="18" width="9.44140625" style="8" bestFit="1" customWidth="1"/>
    <col min="19" max="19" width="8" style="19" bestFit="1" customWidth="1"/>
    <col min="20" max="20" width="10.77734375" customWidth="1"/>
    <col min="21" max="21" width="9.44140625" style="8" bestFit="1" customWidth="1"/>
    <col min="22" max="22" width="10.44140625" customWidth="1"/>
    <col min="23" max="23" width="9.44140625" style="8" bestFit="1" customWidth="1"/>
    <col min="24" max="24" width="10.77734375" style="8" bestFit="1" customWidth="1"/>
    <col min="25" max="25" width="8.77734375" style="29" bestFit="1" customWidth="1"/>
    <col min="26" max="27" width="7.5546875" style="19" customWidth="1"/>
  </cols>
  <sheetData>
    <row r="1" spans="1:27" s="2" customFormat="1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6" t="s">
        <v>15</v>
      </c>
      <c r="Q1" s="4" t="s">
        <v>16</v>
      </c>
      <c r="R1" s="4" t="s">
        <v>17</v>
      </c>
      <c r="S1" s="20" t="s">
        <v>18</v>
      </c>
      <c r="T1" s="4" t="s">
        <v>19</v>
      </c>
      <c r="U1" s="21" t="s">
        <v>20</v>
      </c>
      <c r="V1" s="4" t="s">
        <v>21</v>
      </c>
      <c r="W1" s="21" t="s">
        <v>22</v>
      </c>
      <c r="X1" s="37" t="s">
        <v>23</v>
      </c>
      <c r="Y1" s="33" t="s">
        <v>24</v>
      </c>
      <c r="Z1" s="23" t="s">
        <v>25</v>
      </c>
      <c r="AA1" s="24" t="s">
        <v>26</v>
      </c>
    </row>
    <row r="2" spans="1:27" x14ac:dyDescent="0.3">
      <c r="A2" t="s">
        <v>84</v>
      </c>
      <c r="B2" t="s">
        <v>28</v>
      </c>
      <c r="C2" t="s">
        <v>29</v>
      </c>
      <c r="D2" s="1">
        <v>45073</v>
      </c>
      <c r="E2">
        <v>0</v>
      </c>
      <c r="F2">
        <v>78</v>
      </c>
      <c r="G2">
        <v>0</v>
      </c>
      <c r="H2" t="s">
        <v>30</v>
      </c>
      <c r="I2" t="s">
        <v>31</v>
      </c>
      <c r="J2" s="13"/>
      <c r="K2" s="13"/>
      <c r="L2" s="13"/>
      <c r="M2" s="13"/>
      <c r="N2" s="13"/>
      <c r="O2" s="13"/>
      <c r="P2" s="13"/>
      <c r="Q2" s="8">
        <v>2903000</v>
      </c>
      <c r="R2" s="8">
        <v>2057000</v>
      </c>
      <c r="S2" s="19">
        <f>R2/Q2</f>
        <v>0.70857733379262833</v>
      </c>
      <c r="T2">
        <v>80</v>
      </c>
      <c r="U2" s="8">
        <f>R2*T2</f>
        <v>164560000</v>
      </c>
      <c r="V2">
        <v>80</v>
      </c>
      <c r="W2" s="8">
        <f>R2*V2</f>
        <v>164560000</v>
      </c>
      <c r="X2" s="8">
        <v>126400000</v>
      </c>
      <c r="Y2" s="29">
        <f>W2/X2</f>
        <v>1.3018987341772152</v>
      </c>
      <c r="Z2" s="18"/>
      <c r="AA2" s="18"/>
    </row>
    <row r="3" spans="1:27" x14ac:dyDescent="0.3">
      <c r="A3" t="s">
        <v>84</v>
      </c>
      <c r="B3" t="s">
        <v>28</v>
      </c>
      <c r="C3" t="s">
        <v>29</v>
      </c>
      <c r="D3" s="1">
        <v>45074</v>
      </c>
      <c r="E3">
        <v>1</v>
      </c>
      <c r="F3">
        <v>78</v>
      </c>
      <c r="G3">
        <v>1</v>
      </c>
      <c r="H3" t="s">
        <v>33</v>
      </c>
      <c r="I3" t="s">
        <v>31</v>
      </c>
      <c r="J3">
        <v>7.2</v>
      </c>
      <c r="K3">
        <v>3.23</v>
      </c>
      <c r="L3">
        <v>0.71</v>
      </c>
      <c r="M3" s="13"/>
      <c r="N3" s="13"/>
      <c r="O3">
        <v>96.2</v>
      </c>
      <c r="P3" s="13"/>
      <c r="Q3" s="8">
        <v>1580000</v>
      </c>
      <c r="R3" s="8">
        <v>1113000</v>
      </c>
      <c r="S3" s="19">
        <f>R3/Q3</f>
        <v>0.70443037974683542</v>
      </c>
      <c r="T3">
        <v>132</v>
      </c>
      <c r="U3" s="8">
        <f>R3*T3</f>
        <v>146916000</v>
      </c>
      <c r="V3">
        <v>114</v>
      </c>
      <c r="W3" s="8">
        <f>R3*V3</f>
        <v>126882000</v>
      </c>
      <c r="X3" s="8">
        <v>126400000</v>
      </c>
      <c r="Y3" s="29">
        <f>W3/X3</f>
        <v>1.0038132911392406</v>
      </c>
      <c r="Z3" s="19">
        <f>(U3-W2)/W2</f>
        <v>-0.1072192513368984</v>
      </c>
      <c r="AA3" s="19">
        <f>Z3/(D3-D2)</f>
        <v>-0.1072192513368984</v>
      </c>
    </row>
    <row r="4" spans="1:27" x14ac:dyDescent="0.3">
      <c r="A4" t="s">
        <v>84</v>
      </c>
      <c r="B4" t="s">
        <v>28</v>
      </c>
      <c r="C4" t="s">
        <v>29</v>
      </c>
      <c r="D4" s="1">
        <v>45075</v>
      </c>
      <c r="E4">
        <v>2</v>
      </c>
      <c r="F4">
        <v>79</v>
      </c>
      <c r="G4">
        <v>1</v>
      </c>
      <c r="H4" t="s">
        <v>35</v>
      </c>
      <c r="I4" t="s">
        <v>31</v>
      </c>
      <c r="J4">
        <v>7.2969999999999997</v>
      </c>
      <c r="K4">
        <v>3.1</v>
      </c>
      <c r="L4">
        <v>0.45</v>
      </c>
      <c r="M4" s="13"/>
      <c r="N4" s="13"/>
      <c r="O4">
        <v>77</v>
      </c>
      <c r="P4" s="13"/>
      <c r="Q4" s="25"/>
      <c r="R4" s="25"/>
      <c r="S4" s="18"/>
      <c r="T4" s="13"/>
      <c r="U4" s="25"/>
      <c r="V4" s="13"/>
      <c r="W4" s="25"/>
      <c r="X4" s="25"/>
      <c r="Y4" s="30"/>
      <c r="Z4" s="18"/>
      <c r="AA4" s="18"/>
    </row>
    <row r="5" spans="1:27" x14ac:dyDescent="0.3">
      <c r="A5" t="s">
        <v>84</v>
      </c>
      <c r="B5" t="s">
        <v>28</v>
      </c>
      <c r="C5" t="s">
        <v>29</v>
      </c>
      <c r="D5" s="1">
        <v>45076</v>
      </c>
      <c r="E5">
        <v>3</v>
      </c>
      <c r="F5">
        <v>79</v>
      </c>
      <c r="G5">
        <v>2</v>
      </c>
      <c r="H5" t="s">
        <v>35</v>
      </c>
      <c r="I5" t="s">
        <v>31</v>
      </c>
      <c r="J5">
        <v>7.2110000000000003</v>
      </c>
      <c r="K5">
        <v>3.42</v>
      </c>
      <c r="L5">
        <v>0.66</v>
      </c>
      <c r="M5" s="13"/>
      <c r="N5" s="13"/>
      <c r="O5">
        <v>95</v>
      </c>
      <c r="P5" s="13"/>
      <c r="Q5" s="25"/>
      <c r="R5" s="25"/>
      <c r="S5" s="18"/>
      <c r="T5" s="13"/>
      <c r="U5" s="25"/>
      <c r="V5" s="13"/>
      <c r="W5" s="25"/>
      <c r="X5" s="25"/>
      <c r="Y5" s="30"/>
      <c r="Z5" s="18"/>
      <c r="AA5" s="18"/>
    </row>
    <row r="6" spans="1:27" x14ac:dyDescent="0.3">
      <c r="A6" t="s">
        <v>84</v>
      </c>
      <c r="B6" t="s">
        <v>28</v>
      </c>
      <c r="C6" t="s">
        <v>29</v>
      </c>
      <c r="D6" s="1">
        <v>45077</v>
      </c>
      <c r="E6">
        <v>4</v>
      </c>
      <c r="F6">
        <v>79</v>
      </c>
      <c r="G6">
        <v>3</v>
      </c>
      <c r="H6" t="s">
        <v>33</v>
      </c>
      <c r="I6" t="s">
        <v>31</v>
      </c>
      <c r="J6">
        <v>7.09</v>
      </c>
      <c r="K6">
        <v>3.36</v>
      </c>
      <c r="L6">
        <v>0.72</v>
      </c>
      <c r="M6" s="13"/>
      <c r="N6" s="13"/>
      <c r="O6">
        <v>100</v>
      </c>
      <c r="P6" s="13"/>
      <c r="Q6" s="8">
        <v>1750000</v>
      </c>
      <c r="R6" s="8">
        <v>1177000</v>
      </c>
      <c r="S6" s="19">
        <f>R6/Q6</f>
        <v>0.6725714285714286</v>
      </c>
      <c r="T6">
        <v>264</v>
      </c>
      <c r="U6" s="8">
        <f>R6*T6</f>
        <v>310728000</v>
      </c>
      <c r="V6">
        <v>216</v>
      </c>
      <c r="W6" s="8">
        <f>R6*V6</f>
        <v>254232000</v>
      </c>
      <c r="X6" s="8">
        <v>252800000</v>
      </c>
      <c r="Y6" s="29">
        <f>W6/X6</f>
        <v>1.0056645569620253</v>
      </c>
      <c r="Z6" s="19">
        <f>(U6-W3)/W3</f>
        <v>1.4489525701045065</v>
      </c>
      <c r="AA6" s="19">
        <f>Z6/(D6-D3)</f>
        <v>0.4829841900348355</v>
      </c>
    </row>
    <row r="7" spans="1:27" x14ac:dyDescent="0.3">
      <c r="A7" t="s">
        <v>84</v>
      </c>
      <c r="B7" t="s">
        <v>28</v>
      </c>
      <c r="C7" t="s">
        <v>29</v>
      </c>
      <c r="D7" s="1">
        <v>45078</v>
      </c>
      <c r="E7">
        <v>5</v>
      </c>
      <c r="F7">
        <v>80</v>
      </c>
      <c r="G7">
        <v>1</v>
      </c>
      <c r="H7" t="s">
        <v>35</v>
      </c>
      <c r="I7" t="s">
        <v>31</v>
      </c>
      <c r="J7">
        <v>7.4089999999999998</v>
      </c>
      <c r="K7">
        <v>3.38</v>
      </c>
      <c r="L7">
        <v>0.21</v>
      </c>
      <c r="M7" s="13"/>
      <c r="N7" s="13"/>
      <c r="O7">
        <v>52</v>
      </c>
      <c r="P7" s="13"/>
      <c r="Q7" s="25"/>
      <c r="R7" s="25"/>
      <c r="S7" s="18"/>
      <c r="T7" s="13"/>
      <c r="U7" s="25"/>
      <c r="V7" s="13"/>
      <c r="W7" s="25"/>
      <c r="X7" s="25"/>
      <c r="Y7" s="30"/>
      <c r="Z7" s="18"/>
      <c r="AA7" s="18"/>
    </row>
    <row r="8" spans="1:27" x14ac:dyDescent="0.3">
      <c r="A8" t="s">
        <v>84</v>
      </c>
      <c r="B8" t="s">
        <v>28</v>
      </c>
      <c r="C8" t="s">
        <v>29</v>
      </c>
      <c r="D8" s="1">
        <v>45079</v>
      </c>
      <c r="E8">
        <v>6</v>
      </c>
      <c r="F8">
        <v>80</v>
      </c>
      <c r="G8">
        <v>2</v>
      </c>
      <c r="H8" t="s">
        <v>35</v>
      </c>
      <c r="I8" t="s">
        <v>31</v>
      </c>
      <c r="J8">
        <v>7.327</v>
      </c>
      <c r="K8">
        <v>3.74</v>
      </c>
      <c r="L8">
        <v>0.34</v>
      </c>
      <c r="M8" s="13"/>
      <c r="N8" s="13"/>
      <c r="O8">
        <v>77</v>
      </c>
      <c r="P8" s="13"/>
      <c r="Q8" s="25"/>
      <c r="R8" s="25"/>
      <c r="S8" s="18"/>
      <c r="T8" s="13"/>
      <c r="U8" s="25"/>
      <c r="V8" s="13"/>
      <c r="W8" s="25"/>
      <c r="X8" s="25"/>
      <c r="Y8" s="30"/>
      <c r="Z8" s="18"/>
      <c r="AA8" s="18"/>
    </row>
    <row r="9" spans="1:27" x14ac:dyDescent="0.3">
      <c r="A9" t="s">
        <v>84</v>
      </c>
      <c r="B9" t="s">
        <v>28</v>
      </c>
      <c r="C9" t="s">
        <v>29</v>
      </c>
      <c r="D9" s="1">
        <v>45080</v>
      </c>
      <c r="E9">
        <v>7</v>
      </c>
      <c r="F9">
        <v>80</v>
      </c>
      <c r="G9">
        <v>3</v>
      </c>
      <c r="H9" t="s">
        <v>35</v>
      </c>
      <c r="I9" t="s">
        <v>31</v>
      </c>
      <c r="J9">
        <v>7.1959999999999997</v>
      </c>
      <c r="K9">
        <v>3.64</v>
      </c>
      <c r="L9">
        <v>0.46</v>
      </c>
      <c r="M9" s="13"/>
      <c r="N9" s="13"/>
      <c r="O9">
        <v>76</v>
      </c>
      <c r="P9" s="13"/>
      <c r="Q9" s="25"/>
      <c r="R9" s="25"/>
      <c r="S9" s="18"/>
      <c r="T9" s="13"/>
      <c r="U9" s="25"/>
      <c r="V9" s="13"/>
      <c r="W9" s="25"/>
      <c r="X9" s="25"/>
      <c r="Y9" s="30"/>
      <c r="Z9" s="18"/>
      <c r="AA9" s="18"/>
    </row>
    <row r="10" spans="1:27" x14ac:dyDescent="0.3">
      <c r="A10" t="s">
        <v>84</v>
      </c>
      <c r="B10" t="s">
        <v>28</v>
      </c>
      <c r="C10" t="s">
        <v>29</v>
      </c>
      <c r="D10" s="1">
        <v>45081</v>
      </c>
      <c r="E10">
        <v>8</v>
      </c>
      <c r="F10">
        <v>80</v>
      </c>
      <c r="G10">
        <v>4</v>
      </c>
      <c r="H10" t="s">
        <v>35</v>
      </c>
      <c r="I10" t="s">
        <v>31</v>
      </c>
      <c r="J10">
        <v>7.0890000000000004</v>
      </c>
      <c r="K10">
        <v>3.51</v>
      </c>
      <c r="L10">
        <v>0.57999999999999996</v>
      </c>
      <c r="M10" s="13"/>
      <c r="N10" s="13"/>
      <c r="O10">
        <v>92.5</v>
      </c>
      <c r="P10" s="13"/>
      <c r="Q10" s="25"/>
      <c r="R10" s="25"/>
      <c r="S10" s="18"/>
      <c r="T10" s="13"/>
      <c r="U10" s="25"/>
      <c r="V10" s="13"/>
      <c r="W10" s="25"/>
      <c r="X10" s="25"/>
      <c r="Y10" s="30"/>
      <c r="Z10" s="18"/>
      <c r="AA10" s="18"/>
    </row>
    <row r="11" spans="1:27" x14ac:dyDescent="0.3">
      <c r="A11" t="s">
        <v>84</v>
      </c>
      <c r="B11" t="s">
        <v>28</v>
      </c>
      <c r="C11" t="s">
        <v>29</v>
      </c>
      <c r="D11" s="1">
        <v>45082</v>
      </c>
      <c r="E11">
        <v>9</v>
      </c>
      <c r="F11">
        <v>80</v>
      </c>
      <c r="G11">
        <v>5</v>
      </c>
      <c r="H11" t="s">
        <v>33</v>
      </c>
      <c r="I11" t="s">
        <v>31</v>
      </c>
      <c r="J11">
        <v>7.1440000000000001</v>
      </c>
      <c r="K11">
        <v>3.38</v>
      </c>
      <c r="L11">
        <v>0.72</v>
      </c>
      <c r="M11" s="13"/>
      <c r="N11" s="13"/>
      <c r="O11">
        <v>98.8</v>
      </c>
      <c r="P11" s="13"/>
      <c r="Q11" s="8">
        <v>2960000</v>
      </c>
      <c r="R11" s="8">
        <v>2260000</v>
      </c>
      <c r="S11" s="19">
        <f>R11/Q11</f>
        <v>0.76351351351351349</v>
      </c>
      <c r="T11">
        <v>528</v>
      </c>
      <c r="U11" s="8">
        <f>R11*T11</f>
        <v>1193280000</v>
      </c>
      <c r="V11">
        <v>308</v>
      </c>
      <c r="W11" s="8">
        <f>R11*V11</f>
        <v>696080000</v>
      </c>
      <c r="X11" s="8">
        <v>632000000</v>
      </c>
      <c r="Y11" s="29">
        <f>W11/X11</f>
        <v>1.1013924050632911</v>
      </c>
      <c r="Z11" s="19">
        <f>(U11-W6)/W6</f>
        <v>3.6936656282450673</v>
      </c>
      <c r="AA11" s="19">
        <f>Z11/(D11-D6)</f>
        <v>0.7387331256490135</v>
      </c>
    </row>
    <row r="12" spans="1:27" x14ac:dyDescent="0.3">
      <c r="A12" t="s">
        <v>84</v>
      </c>
      <c r="B12" t="s">
        <v>28</v>
      </c>
      <c r="C12" t="s">
        <v>29</v>
      </c>
      <c r="D12" s="1">
        <v>45083</v>
      </c>
      <c r="E12">
        <v>10</v>
      </c>
      <c r="F12">
        <v>81</v>
      </c>
      <c r="G12">
        <v>1</v>
      </c>
      <c r="H12" t="s">
        <v>35</v>
      </c>
      <c r="I12" t="s">
        <v>31</v>
      </c>
      <c r="J12">
        <v>7.45</v>
      </c>
      <c r="K12">
        <v>3.51</v>
      </c>
      <c r="L12">
        <v>0.24</v>
      </c>
      <c r="M12" s="13"/>
      <c r="N12" s="13"/>
      <c r="O12">
        <v>44</v>
      </c>
      <c r="P12" s="13"/>
      <c r="Q12" s="25"/>
      <c r="R12" s="25"/>
      <c r="S12" s="18"/>
      <c r="T12" s="13"/>
      <c r="U12" s="25"/>
      <c r="V12" s="13"/>
      <c r="W12" s="25"/>
      <c r="X12" s="25"/>
      <c r="Y12" s="30"/>
      <c r="Z12" s="18"/>
      <c r="AA12" s="18"/>
    </row>
    <row r="13" spans="1:27" x14ac:dyDescent="0.3">
      <c r="A13" t="s">
        <v>84</v>
      </c>
      <c r="B13" t="s">
        <v>28</v>
      </c>
      <c r="C13" t="s">
        <v>29</v>
      </c>
      <c r="D13" s="1">
        <v>45084</v>
      </c>
      <c r="E13">
        <v>11</v>
      </c>
      <c r="F13">
        <v>81</v>
      </c>
      <c r="G13">
        <v>2</v>
      </c>
      <c r="H13" t="s">
        <v>35</v>
      </c>
      <c r="I13" t="s">
        <v>31</v>
      </c>
      <c r="J13">
        <v>7.3490000000000002</v>
      </c>
      <c r="K13">
        <v>3.7</v>
      </c>
      <c r="L13">
        <v>0.34</v>
      </c>
      <c r="M13" s="13"/>
      <c r="N13" s="13"/>
      <c r="O13">
        <v>80.75</v>
      </c>
      <c r="P13" s="13"/>
      <c r="Q13" s="25"/>
      <c r="R13" s="25"/>
      <c r="S13" s="18"/>
      <c r="T13" s="13"/>
      <c r="U13" s="25"/>
      <c r="V13" s="13"/>
      <c r="W13" s="25"/>
      <c r="X13" s="25"/>
      <c r="Y13" s="30"/>
      <c r="Z13" s="18"/>
      <c r="AA13" s="18"/>
    </row>
    <row r="14" spans="1:27" x14ac:dyDescent="0.3">
      <c r="A14" t="s">
        <v>84</v>
      </c>
      <c r="B14" t="s">
        <v>28</v>
      </c>
      <c r="C14" t="s">
        <v>29</v>
      </c>
      <c r="D14" s="1">
        <v>45085</v>
      </c>
      <c r="E14">
        <v>12</v>
      </c>
      <c r="F14">
        <v>81</v>
      </c>
      <c r="G14">
        <v>3</v>
      </c>
      <c r="H14" t="s">
        <v>35</v>
      </c>
      <c r="I14" t="s">
        <v>31</v>
      </c>
      <c r="J14">
        <v>7.2119999999999997</v>
      </c>
      <c r="K14">
        <v>3.56</v>
      </c>
      <c r="L14">
        <v>0.53</v>
      </c>
      <c r="M14" s="13"/>
      <c r="N14" s="13"/>
      <c r="O14">
        <v>94.5</v>
      </c>
      <c r="P14" s="13"/>
      <c r="Q14" s="25"/>
      <c r="R14" s="25"/>
      <c r="S14" s="18"/>
      <c r="T14" s="13"/>
      <c r="U14" s="25"/>
      <c r="V14" s="13"/>
      <c r="W14" s="25"/>
      <c r="X14" s="25"/>
      <c r="Y14" s="30"/>
      <c r="Z14" s="18"/>
      <c r="AA14" s="18"/>
    </row>
    <row r="15" spans="1:27" x14ac:dyDescent="0.3">
      <c r="A15" t="s">
        <v>84</v>
      </c>
      <c r="B15" t="s">
        <v>28</v>
      </c>
      <c r="C15" t="s">
        <v>29</v>
      </c>
      <c r="D15" s="1">
        <v>45086</v>
      </c>
      <c r="E15">
        <v>13</v>
      </c>
      <c r="F15">
        <v>81</v>
      </c>
      <c r="G15">
        <v>4</v>
      </c>
      <c r="H15" t="s">
        <v>33</v>
      </c>
      <c r="I15" t="s">
        <v>31</v>
      </c>
      <c r="J15">
        <v>7.1559999999999997</v>
      </c>
      <c r="K15">
        <v>3.44</v>
      </c>
      <c r="L15">
        <v>0.64</v>
      </c>
      <c r="M15" s="13"/>
      <c r="N15" s="13"/>
      <c r="O15">
        <v>99.6</v>
      </c>
      <c r="P15" s="13"/>
      <c r="Q15" s="8">
        <v>1697000</v>
      </c>
      <c r="R15" s="8">
        <v>1153000</v>
      </c>
      <c r="S15" s="19">
        <f>R15/Q15</f>
        <v>0.67943429581614612</v>
      </c>
      <c r="T15">
        <v>1320</v>
      </c>
      <c r="U15" s="8">
        <f>R15*T15</f>
        <v>1521960000</v>
      </c>
      <c r="V15">
        <v>1208</v>
      </c>
      <c r="W15" s="8">
        <f>R15*V15</f>
        <v>1392824000</v>
      </c>
      <c r="X15" s="8">
        <v>1264000000</v>
      </c>
      <c r="Y15" s="29">
        <f>W15/X15</f>
        <v>1.1019177215189873</v>
      </c>
      <c r="Z15" s="19">
        <f>(U15-W11)/W11</f>
        <v>1.186472819216182</v>
      </c>
      <c r="AA15" s="19">
        <f>Z15/(D15-D11)</f>
        <v>0.29661820480404549</v>
      </c>
    </row>
    <row r="16" spans="1:27" x14ac:dyDescent="0.3">
      <c r="A16" t="s">
        <v>84</v>
      </c>
      <c r="B16" t="s">
        <v>28</v>
      </c>
      <c r="C16" t="s">
        <v>29</v>
      </c>
      <c r="D16" s="1">
        <v>45087</v>
      </c>
      <c r="E16">
        <v>14</v>
      </c>
      <c r="F16">
        <v>82</v>
      </c>
      <c r="G16">
        <v>1</v>
      </c>
      <c r="H16" t="s">
        <v>35</v>
      </c>
      <c r="I16" t="s">
        <v>31</v>
      </c>
      <c r="J16">
        <v>7.4870000000000001</v>
      </c>
      <c r="K16">
        <v>3.36</v>
      </c>
      <c r="L16">
        <v>0.18</v>
      </c>
      <c r="M16" s="13"/>
      <c r="N16" s="13"/>
      <c r="O16">
        <v>45.5</v>
      </c>
      <c r="P16" s="13"/>
      <c r="Q16" s="25"/>
      <c r="R16" s="25"/>
      <c r="S16" s="18"/>
      <c r="T16" s="13"/>
      <c r="U16" s="25"/>
      <c r="V16" s="13"/>
      <c r="W16" s="25"/>
      <c r="X16" s="25"/>
      <c r="Y16" s="30"/>
      <c r="Z16" s="18"/>
      <c r="AA16" s="18"/>
    </row>
    <row r="17" spans="1:27" x14ac:dyDescent="0.3">
      <c r="A17" t="s">
        <v>84</v>
      </c>
      <c r="B17" t="s">
        <v>28</v>
      </c>
      <c r="C17" t="s">
        <v>29</v>
      </c>
      <c r="D17" s="1">
        <v>45088</v>
      </c>
      <c r="E17">
        <v>15</v>
      </c>
      <c r="F17">
        <v>82</v>
      </c>
      <c r="G17">
        <v>2</v>
      </c>
      <c r="H17" t="s">
        <v>35</v>
      </c>
      <c r="I17" t="s">
        <v>31</v>
      </c>
      <c r="J17">
        <v>7.3570000000000002</v>
      </c>
      <c r="K17">
        <v>3.74</v>
      </c>
      <c r="L17">
        <v>0.33</v>
      </c>
      <c r="M17" s="13"/>
      <c r="N17" s="13"/>
      <c r="O17">
        <v>62.5</v>
      </c>
      <c r="P17" s="13"/>
      <c r="Q17" s="25"/>
      <c r="R17" s="25"/>
      <c r="S17" s="18"/>
      <c r="T17" s="13"/>
      <c r="U17" s="25"/>
      <c r="V17" s="13"/>
      <c r="W17" s="25"/>
      <c r="X17" s="25"/>
      <c r="Y17" s="30"/>
      <c r="Z17" s="18"/>
      <c r="AA17" s="18"/>
    </row>
    <row r="18" spans="1:27" x14ac:dyDescent="0.3">
      <c r="A18" t="s">
        <v>84</v>
      </c>
      <c r="B18" t="s">
        <v>28</v>
      </c>
      <c r="C18" t="s">
        <v>29</v>
      </c>
      <c r="D18" s="1">
        <v>45089</v>
      </c>
      <c r="E18">
        <v>16</v>
      </c>
      <c r="F18">
        <v>82</v>
      </c>
      <c r="G18">
        <v>3</v>
      </c>
      <c r="H18" t="s">
        <v>35</v>
      </c>
      <c r="I18" t="s">
        <v>31</v>
      </c>
      <c r="J18">
        <v>7.2960000000000003</v>
      </c>
      <c r="K18">
        <v>3.69</v>
      </c>
      <c r="L18">
        <v>0.41</v>
      </c>
      <c r="M18" s="13"/>
      <c r="N18" s="13"/>
      <c r="O18">
        <v>90.75</v>
      </c>
      <c r="P18" s="13"/>
      <c r="Q18" s="25"/>
      <c r="R18" s="25"/>
      <c r="S18" s="18"/>
      <c r="T18" s="13"/>
      <c r="U18" s="25"/>
      <c r="V18" s="13"/>
      <c r="W18" s="25"/>
      <c r="X18" s="25"/>
      <c r="Y18" s="30"/>
      <c r="Z18" s="18"/>
      <c r="AA18" s="18"/>
    </row>
    <row r="19" spans="1:27" x14ac:dyDescent="0.3">
      <c r="A19" t="s">
        <v>84</v>
      </c>
      <c r="B19" t="s">
        <v>28</v>
      </c>
      <c r="C19" t="s">
        <v>29</v>
      </c>
      <c r="D19" s="1">
        <v>45090</v>
      </c>
      <c r="E19">
        <v>17</v>
      </c>
      <c r="F19">
        <v>82</v>
      </c>
      <c r="G19">
        <v>4</v>
      </c>
      <c r="H19" t="s">
        <v>33</v>
      </c>
      <c r="I19" t="s">
        <v>51</v>
      </c>
      <c r="J19">
        <v>7.1920000000000002</v>
      </c>
      <c r="K19">
        <v>3.58</v>
      </c>
      <c r="L19">
        <v>0.52</v>
      </c>
      <c r="M19" s="13"/>
      <c r="N19" s="13"/>
      <c r="O19">
        <v>92</v>
      </c>
      <c r="P19" s="13"/>
      <c r="Q19" s="8">
        <v>1068000</v>
      </c>
      <c r="R19" s="8">
        <v>794000</v>
      </c>
      <c r="S19" s="19">
        <f>R19/Q19</f>
        <v>0.74344569288389517</v>
      </c>
      <c r="T19">
        <v>2494</v>
      </c>
      <c r="U19" s="8">
        <f>(1236*810000)+(1258*778000)</f>
        <v>1979884000</v>
      </c>
      <c r="V19">
        <v>2494</v>
      </c>
      <c r="W19" s="8">
        <f>(1236*810000)+(1258*778000)</f>
        <v>1979884000</v>
      </c>
      <c r="X19" s="8">
        <v>2250000000</v>
      </c>
      <c r="Y19" s="29">
        <f>W19/X19</f>
        <v>0.87994844444444442</v>
      </c>
      <c r="Z19" s="19">
        <f>(U19-W15)/W15</f>
        <v>0.42148900363577885</v>
      </c>
      <c r="AA19" s="19">
        <f>Z19/(D19-D15)</f>
        <v>0.10537225090894471</v>
      </c>
    </row>
    <row r="20" spans="1:27" x14ac:dyDescent="0.3">
      <c r="A20" t="s">
        <v>84</v>
      </c>
      <c r="B20" t="s">
        <v>28</v>
      </c>
      <c r="C20" t="s">
        <v>29</v>
      </c>
      <c r="D20" s="1">
        <v>45091</v>
      </c>
      <c r="E20">
        <v>18</v>
      </c>
      <c r="F20">
        <v>83</v>
      </c>
      <c r="G20">
        <v>1</v>
      </c>
      <c r="H20" t="s">
        <v>35</v>
      </c>
      <c r="I20" t="s">
        <v>53</v>
      </c>
      <c r="J20">
        <v>7.2690000000000001</v>
      </c>
      <c r="K20">
        <v>3.7</v>
      </c>
      <c r="L20">
        <v>0.32</v>
      </c>
      <c r="M20">
        <v>80</v>
      </c>
      <c r="N20">
        <v>37.307000000000002</v>
      </c>
      <c r="O20" s="13"/>
      <c r="P20" s="43">
        <v>88</v>
      </c>
      <c r="Q20" s="25"/>
      <c r="R20" s="25"/>
      <c r="S20" s="18"/>
      <c r="T20" s="13"/>
      <c r="U20" s="25"/>
      <c r="V20" s="13"/>
      <c r="W20" s="25"/>
      <c r="X20" s="25"/>
      <c r="Y20" s="30"/>
      <c r="Z20" s="18"/>
      <c r="AA20" s="18"/>
    </row>
    <row r="21" spans="1:27" x14ac:dyDescent="0.3">
      <c r="A21" t="s">
        <v>84</v>
      </c>
      <c r="B21" t="s">
        <v>28</v>
      </c>
      <c r="C21" t="s">
        <v>29</v>
      </c>
      <c r="D21" s="1">
        <v>45092</v>
      </c>
      <c r="E21">
        <v>19</v>
      </c>
      <c r="F21">
        <v>83</v>
      </c>
      <c r="G21">
        <v>2</v>
      </c>
      <c r="H21" t="s">
        <v>35</v>
      </c>
      <c r="I21" t="s">
        <v>53</v>
      </c>
      <c r="J21">
        <v>7.226</v>
      </c>
      <c r="K21">
        <v>3.53</v>
      </c>
      <c r="L21">
        <v>0.57999999999999996</v>
      </c>
      <c r="M21">
        <v>163.30000000000001</v>
      </c>
      <c r="N21" s="42">
        <v>70.959701469999999</v>
      </c>
      <c r="O21" s="13"/>
      <c r="P21" s="43">
        <v>311</v>
      </c>
      <c r="Q21" s="25"/>
      <c r="R21" s="25"/>
      <c r="S21" s="18"/>
      <c r="T21" s="13"/>
      <c r="U21" s="25"/>
      <c r="V21" s="13"/>
      <c r="W21" s="25"/>
      <c r="X21" s="25"/>
      <c r="Y21" s="30"/>
      <c r="Z21" s="18"/>
      <c r="AA21" s="18"/>
    </row>
    <row r="22" spans="1:27" x14ac:dyDescent="0.3">
      <c r="A22" t="s">
        <v>84</v>
      </c>
      <c r="B22" t="s">
        <v>28</v>
      </c>
      <c r="C22" t="s">
        <v>29</v>
      </c>
      <c r="D22" s="1">
        <v>45093</v>
      </c>
      <c r="E22">
        <v>20</v>
      </c>
      <c r="F22">
        <v>83</v>
      </c>
      <c r="G22">
        <v>3</v>
      </c>
      <c r="H22" t="s">
        <v>35</v>
      </c>
      <c r="I22" t="s">
        <v>53</v>
      </c>
      <c r="J22">
        <v>7.1980000000000004</v>
      </c>
      <c r="K22">
        <v>3.68</v>
      </c>
      <c r="L22">
        <v>0.5</v>
      </c>
      <c r="M22">
        <v>110</v>
      </c>
      <c r="N22" s="42">
        <v>59.997359320000001</v>
      </c>
      <c r="O22" s="13"/>
      <c r="P22" s="43">
        <v>197</v>
      </c>
      <c r="Q22" s="25"/>
      <c r="R22" s="25"/>
      <c r="S22" s="18"/>
      <c r="T22" s="13"/>
      <c r="U22" s="25"/>
      <c r="V22" s="13"/>
      <c r="W22" s="25"/>
      <c r="X22" s="25"/>
      <c r="Y22" s="30"/>
      <c r="Z22" s="18"/>
      <c r="AA22" s="18"/>
    </row>
    <row r="23" spans="1:27" x14ac:dyDescent="0.3">
      <c r="A23" t="s">
        <v>84</v>
      </c>
      <c r="B23" t="s">
        <v>28</v>
      </c>
      <c r="C23" t="s">
        <v>29</v>
      </c>
      <c r="D23" s="1">
        <v>45094</v>
      </c>
      <c r="E23">
        <v>21</v>
      </c>
      <c r="F23">
        <v>83</v>
      </c>
      <c r="G23">
        <v>4</v>
      </c>
      <c r="H23" t="s">
        <v>35</v>
      </c>
      <c r="I23" t="s">
        <v>53</v>
      </c>
      <c r="J23">
        <v>7.1820000000000004</v>
      </c>
      <c r="K23">
        <v>3.47</v>
      </c>
      <c r="L23">
        <v>0.65</v>
      </c>
      <c r="M23">
        <v>176.67</v>
      </c>
      <c r="N23" s="42">
        <v>74.139510169999994</v>
      </c>
      <c r="O23" s="13"/>
      <c r="P23" s="43">
        <v>352</v>
      </c>
      <c r="Q23" s="25"/>
      <c r="R23" s="25"/>
      <c r="S23" s="18"/>
      <c r="T23" s="13"/>
      <c r="U23" s="25"/>
      <c r="V23" s="13"/>
      <c r="W23" s="25"/>
      <c r="X23" s="25"/>
      <c r="Y23" s="30"/>
      <c r="Z23" s="18"/>
      <c r="AA23" s="18"/>
    </row>
    <row r="24" spans="1:27" x14ac:dyDescent="0.3">
      <c r="A24" t="s">
        <v>84</v>
      </c>
      <c r="B24" t="s">
        <v>28</v>
      </c>
      <c r="C24" t="s">
        <v>29</v>
      </c>
      <c r="D24" s="1">
        <v>45095</v>
      </c>
      <c r="E24">
        <v>22</v>
      </c>
      <c r="F24">
        <v>83</v>
      </c>
      <c r="G24">
        <v>5</v>
      </c>
      <c r="H24" t="s">
        <v>35</v>
      </c>
      <c r="I24" t="s">
        <v>53</v>
      </c>
      <c r="J24">
        <v>7.1639999999999997</v>
      </c>
      <c r="K24">
        <v>3.31</v>
      </c>
      <c r="L24">
        <v>0.81</v>
      </c>
      <c r="M24">
        <v>155</v>
      </c>
      <c r="N24" s="42">
        <f>AVERAGE(103.9398709,91.4815294)</f>
        <v>97.710700150000008</v>
      </c>
      <c r="O24" s="13"/>
      <c r="P24" s="46">
        <f>AVERAGE(300,345)</f>
        <v>322.5</v>
      </c>
      <c r="Q24" s="25"/>
      <c r="R24" s="25"/>
      <c r="S24" s="18"/>
      <c r="T24" s="13"/>
      <c r="U24" s="25"/>
      <c r="V24" s="13"/>
      <c r="W24" s="25"/>
      <c r="X24" s="25"/>
      <c r="Y24" s="30"/>
      <c r="Z24" s="18"/>
      <c r="AA24" s="18"/>
    </row>
    <row r="25" spans="1:27" x14ac:dyDescent="0.3">
      <c r="A25" t="s">
        <v>84</v>
      </c>
      <c r="B25" t="s">
        <v>28</v>
      </c>
      <c r="C25" t="s">
        <v>29</v>
      </c>
      <c r="D25" s="1">
        <v>45096</v>
      </c>
      <c r="E25">
        <v>23</v>
      </c>
      <c r="F25">
        <v>83</v>
      </c>
      <c r="G25">
        <v>6</v>
      </c>
      <c r="H25" t="s">
        <v>35</v>
      </c>
      <c r="I25" t="s">
        <v>53</v>
      </c>
      <c r="J25">
        <v>7.0430000000000001</v>
      </c>
      <c r="K25">
        <v>3.21</v>
      </c>
      <c r="L25">
        <v>0.91</v>
      </c>
      <c r="M25">
        <v>196.67</v>
      </c>
      <c r="N25" s="42">
        <v>89.521980580000005</v>
      </c>
      <c r="O25" s="13"/>
      <c r="P25" s="43">
        <v>169</v>
      </c>
      <c r="Q25" s="25"/>
      <c r="R25" s="25"/>
      <c r="S25" s="18"/>
      <c r="T25" s="13"/>
      <c r="U25" s="25"/>
      <c r="V25" s="13"/>
      <c r="W25" s="25"/>
      <c r="X25" s="25"/>
      <c r="Y25" s="30"/>
      <c r="Z25" s="18"/>
      <c r="AA25" s="18"/>
    </row>
    <row r="26" spans="1:27" x14ac:dyDescent="0.3">
      <c r="A26" t="s">
        <v>84</v>
      </c>
      <c r="B26" t="s">
        <v>28</v>
      </c>
      <c r="C26" t="s">
        <v>29</v>
      </c>
      <c r="D26" s="1">
        <v>45097</v>
      </c>
      <c r="E26">
        <v>24</v>
      </c>
      <c r="F26">
        <v>83</v>
      </c>
      <c r="G26">
        <v>7</v>
      </c>
      <c r="H26" t="s">
        <v>35</v>
      </c>
      <c r="I26" t="s">
        <v>53</v>
      </c>
      <c r="J26">
        <v>7.0229999999999997</v>
      </c>
      <c r="K26">
        <v>3.17</v>
      </c>
      <c r="L26">
        <v>0.96</v>
      </c>
      <c r="M26">
        <v>180</v>
      </c>
      <c r="N26" s="42">
        <v>120.6142431</v>
      </c>
      <c r="O26" s="13"/>
      <c r="P26" s="43">
        <v>129</v>
      </c>
      <c r="Q26" s="25"/>
      <c r="R26" s="25"/>
      <c r="S26" s="18"/>
      <c r="T26" s="13"/>
      <c r="U26" s="25"/>
      <c r="V26" s="13"/>
      <c r="W26" s="25"/>
      <c r="X26" s="25"/>
      <c r="Y26" s="30"/>
      <c r="Z26" s="18"/>
      <c r="AA26" s="18"/>
    </row>
    <row r="27" spans="1:27" x14ac:dyDescent="0.3">
      <c r="A27" t="s">
        <v>84</v>
      </c>
      <c r="B27" t="s">
        <v>28</v>
      </c>
      <c r="C27" t="s">
        <v>29</v>
      </c>
      <c r="D27" s="1">
        <v>45098</v>
      </c>
      <c r="E27">
        <v>25</v>
      </c>
      <c r="F27">
        <v>83</v>
      </c>
      <c r="G27">
        <v>8</v>
      </c>
      <c r="H27" t="s">
        <v>35</v>
      </c>
      <c r="I27" t="s">
        <v>53</v>
      </c>
      <c r="J27">
        <v>7.0049999999999999</v>
      </c>
      <c r="K27">
        <v>3.19</v>
      </c>
      <c r="L27">
        <v>0.97</v>
      </c>
      <c r="M27">
        <v>204.25</v>
      </c>
      <c r="N27" s="42">
        <v>144.49052839999999</v>
      </c>
      <c r="O27" s="13"/>
      <c r="P27" s="43">
        <v>85</v>
      </c>
      <c r="Q27" s="25"/>
      <c r="R27" s="25"/>
      <c r="S27" s="18"/>
      <c r="T27" s="13"/>
      <c r="U27" s="25"/>
      <c r="V27" s="13"/>
      <c r="W27" s="25"/>
      <c r="X27" s="25"/>
      <c r="Y27" s="30"/>
      <c r="Z27" s="18"/>
      <c r="AA27" s="18"/>
    </row>
    <row r="28" spans="1:27" x14ac:dyDescent="0.3">
      <c r="A28" t="s">
        <v>84</v>
      </c>
      <c r="B28" t="s">
        <v>28</v>
      </c>
      <c r="C28" t="s">
        <v>29</v>
      </c>
      <c r="D28" s="1">
        <v>45099</v>
      </c>
      <c r="E28">
        <v>26</v>
      </c>
      <c r="F28">
        <v>83</v>
      </c>
      <c r="G28">
        <v>9</v>
      </c>
      <c r="H28" t="s">
        <v>35</v>
      </c>
      <c r="I28" t="s">
        <v>53</v>
      </c>
      <c r="J28">
        <v>7.0049999999999999</v>
      </c>
      <c r="K28">
        <v>3.03</v>
      </c>
      <c r="L28">
        <v>1.08</v>
      </c>
      <c r="M28">
        <v>200</v>
      </c>
      <c r="N28" s="42">
        <v>152.21515249999999</v>
      </c>
      <c r="O28" s="13"/>
      <c r="P28" s="43">
        <v>173</v>
      </c>
      <c r="Q28" s="25"/>
      <c r="R28" s="25"/>
      <c r="S28" s="18"/>
      <c r="T28" s="13"/>
      <c r="U28" s="25"/>
      <c r="V28" s="13"/>
      <c r="W28" s="25"/>
      <c r="X28" s="25"/>
      <c r="Y28" s="30"/>
      <c r="Z28" s="18"/>
      <c r="AA28" s="18"/>
    </row>
    <row r="29" spans="1:27" x14ac:dyDescent="0.3">
      <c r="A29" t="s">
        <v>84</v>
      </c>
      <c r="B29" t="s">
        <v>28</v>
      </c>
      <c r="C29" t="s">
        <v>29</v>
      </c>
      <c r="D29" s="1">
        <v>45100</v>
      </c>
      <c r="E29">
        <v>27</v>
      </c>
      <c r="F29">
        <v>83</v>
      </c>
      <c r="G29">
        <v>10</v>
      </c>
      <c r="H29" t="s">
        <v>33</v>
      </c>
      <c r="I29" t="s">
        <v>53</v>
      </c>
      <c r="J29">
        <v>6.9850000000000003</v>
      </c>
      <c r="K29">
        <v>2.94</v>
      </c>
      <c r="L29">
        <v>1.1299999999999999</v>
      </c>
      <c r="M29">
        <v>264.60000000000002</v>
      </c>
      <c r="N29" s="42">
        <v>147.0220162</v>
      </c>
      <c r="O29" s="13"/>
      <c r="P29" s="43">
        <v>75</v>
      </c>
      <c r="Q29" s="8">
        <v>7406000</v>
      </c>
      <c r="R29" s="8">
        <v>4775000</v>
      </c>
      <c r="S29" s="19">
        <f>R29/Q29</f>
        <v>0.64474750202538478</v>
      </c>
      <c r="T29">
        <v>1350</v>
      </c>
      <c r="U29" s="8">
        <f>(900*4400000)+(450*5520000)</f>
        <v>6444000000</v>
      </c>
      <c r="V29">
        <v>1307</v>
      </c>
      <c r="W29" s="8">
        <f>(875*4400000)+(432*5520000)</f>
        <v>6234640000</v>
      </c>
      <c r="X29" s="8">
        <v>6000000000</v>
      </c>
      <c r="Y29" s="29">
        <f>W29/X29</f>
        <v>1.0391066666666666</v>
      </c>
      <c r="Z29" s="19">
        <f>(U29-W19)/W19</f>
        <v>2.2547361360564557</v>
      </c>
      <c r="AA29" s="19">
        <f>Z29/(D29-D19)</f>
        <v>0.22547361360564558</v>
      </c>
    </row>
    <row r="30" spans="1:27" x14ac:dyDescent="0.3">
      <c r="A30" t="s">
        <v>84</v>
      </c>
      <c r="B30" t="s">
        <v>28</v>
      </c>
      <c r="C30" t="s">
        <v>29</v>
      </c>
      <c r="D30" s="1">
        <v>45101</v>
      </c>
      <c r="E30">
        <v>28</v>
      </c>
      <c r="F30">
        <v>84</v>
      </c>
      <c r="G30">
        <v>1</v>
      </c>
      <c r="H30" t="s">
        <v>35</v>
      </c>
      <c r="I30" t="s">
        <v>53</v>
      </c>
      <c r="J30">
        <v>7.3449999999999998</v>
      </c>
      <c r="K30">
        <v>3.89</v>
      </c>
      <c r="L30">
        <v>0.17</v>
      </c>
      <c r="M30">
        <v>63.2</v>
      </c>
      <c r="N30" s="6">
        <f>AVERAGE(52.19774923,56.27078944)</f>
        <v>54.234269335</v>
      </c>
      <c r="O30" s="13"/>
      <c r="P30" s="44">
        <f>AVERAGE(484,681)</f>
        <v>582.5</v>
      </c>
      <c r="Q30" s="25"/>
      <c r="R30" s="25"/>
      <c r="S30" s="18"/>
      <c r="T30" s="13"/>
      <c r="U30" s="25"/>
      <c r="V30" s="13"/>
      <c r="W30" s="25"/>
      <c r="X30" s="25"/>
      <c r="Y30" s="30"/>
      <c r="Z30" s="18"/>
      <c r="AA30" s="18"/>
    </row>
    <row r="31" spans="1:27" x14ac:dyDescent="0.3">
      <c r="A31" t="s">
        <v>84</v>
      </c>
      <c r="B31" t="s">
        <v>28</v>
      </c>
      <c r="C31" t="s">
        <v>29</v>
      </c>
      <c r="D31" s="1">
        <v>45102</v>
      </c>
      <c r="E31">
        <v>29</v>
      </c>
      <c r="F31">
        <v>84</v>
      </c>
      <c r="G31">
        <v>2</v>
      </c>
      <c r="H31" t="s">
        <v>35</v>
      </c>
      <c r="I31" t="s">
        <v>53</v>
      </c>
      <c r="J31">
        <v>7.39</v>
      </c>
      <c r="K31">
        <v>3.79</v>
      </c>
      <c r="L31">
        <v>0.34</v>
      </c>
      <c r="M31">
        <v>81</v>
      </c>
      <c r="N31" s="6">
        <f>AVERAGE(50.72893296,
34.65500289,30.80426822,30.58190093,75.20570013)</f>
        <v>44.395161025999997</v>
      </c>
      <c r="O31" s="13"/>
      <c r="P31" s="44">
        <f>AVERAGE(457,108,
235,
214,
202)</f>
        <v>243.2</v>
      </c>
      <c r="Q31" s="25"/>
      <c r="R31" s="25"/>
      <c r="S31" s="18"/>
      <c r="T31" s="13"/>
      <c r="U31" s="25"/>
      <c r="V31" s="13"/>
      <c r="W31" s="25"/>
      <c r="X31" s="25"/>
      <c r="Y31" s="30"/>
      <c r="Z31" s="18"/>
      <c r="AA31" s="18"/>
    </row>
    <row r="32" spans="1:27" x14ac:dyDescent="0.3">
      <c r="A32" t="s">
        <v>84</v>
      </c>
      <c r="B32" t="s">
        <v>28</v>
      </c>
      <c r="C32" t="s">
        <v>29</v>
      </c>
      <c r="D32" s="1">
        <v>45103</v>
      </c>
      <c r="E32">
        <v>30</v>
      </c>
      <c r="F32">
        <v>84</v>
      </c>
      <c r="G32">
        <v>3</v>
      </c>
      <c r="H32" t="s">
        <v>35</v>
      </c>
      <c r="I32" t="s">
        <v>53</v>
      </c>
      <c r="J32">
        <v>7.2519999999999998</v>
      </c>
      <c r="K32">
        <v>3.62</v>
      </c>
      <c r="L32">
        <v>0.51</v>
      </c>
      <c r="M32">
        <v>90</v>
      </c>
      <c r="N32" s="6">
        <f>AVERAGE(95.61771623,
97.88002171,
108.2492308,
95.3929801,77.61194054)</f>
        <v>94.95037787599999</v>
      </c>
      <c r="O32" s="13"/>
      <c r="P32" s="44">
        <f>AVERAGE(34,38,
48,
34,
37)</f>
        <v>38.200000000000003</v>
      </c>
      <c r="Q32" s="25"/>
      <c r="R32" s="25"/>
      <c r="S32" s="18"/>
      <c r="T32" s="13"/>
      <c r="U32" s="25"/>
      <c r="V32" s="13"/>
      <c r="W32" s="25"/>
      <c r="X32" s="25"/>
      <c r="Y32" s="30"/>
      <c r="Z32" s="18"/>
      <c r="AA32" s="18"/>
    </row>
    <row r="33" spans="1:27" x14ac:dyDescent="0.3">
      <c r="A33" t="s">
        <v>84</v>
      </c>
      <c r="B33" t="s">
        <v>28</v>
      </c>
      <c r="C33" t="s">
        <v>29</v>
      </c>
      <c r="D33" s="1">
        <v>45104</v>
      </c>
      <c r="E33">
        <v>31</v>
      </c>
      <c r="F33">
        <v>84</v>
      </c>
      <c r="G33">
        <v>4</v>
      </c>
      <c r="H33" t="s">
        <v>35</v>
      </c>
      <c r="I33" t="s">
        <v>53</v>
      </c>
      <c r="J33">
        <v>7.2469999999999999</v>
      </c>
      <c r="K33">
        <v>3.49</v>
      </c>
      <c r="L33">
        <v>0.62</v>
      </c>
      <c r="M33">
        <v>121.5</v>
      </c>
      <c r="N33" s="6">
        <f>AVERAGE(98.72910765,101.7652684,104.3962463,105.1355011,103.2879576)</f>
        <v>102.66281621</v>
      </c>
      <c r="O33" s="13"/>
      <c r="P33" s="44">
        <f>AVERAGE(30,
29,
36,
27,197)</f>
        <v>63.8</v>
      </c>
      <c r="Q33" s="25"/>
      <c r="R33" s="25"/>
      <c r="S33" s="18"/>
      <c r="T33" s="13"/>
      <c r="U33" s="25"/>
      <c r="V33" s="13"/>
      <c r="W33" s="25"/>
      <c r="X33" s="25"/>
      <c r="Y33" s="30"/>
      <c r="Z33" s="18"/>
      <c r="AA33" s="18"/>
    </row>
    <row r="34" spans="1:27" x14ac:dyDescent="0.3">
      <c r="A34" t="s">
        <v>84</v>
      </c>
      <c r="B34" t="s">
        <v>28</v>
      </c>
      <c r="C34" t="s">
        <v>29</v>
      </c>
      <c r="D34" s="1">
        <v>45105</v>
      </c>
      <c r="E34">
        <v>32</v>
      </c>
      <c r="F34">
        <v>84</v>
      </c>
      <c r="G34">
        <v>5</v>
      </c>
      <c r="H34" t="s">
        <v>35</v>
      </c>
      <c r="I34" t="s">
        <v>53</v>
      </c>
      <c r="J34">
        <v>7.2489999999999997</v>
      </c>
      <c r="K34">
        <v>3.52</v>
      </c>
      <c r="L34">
        <v>0.57999999999999996</v>
      </c>
      <c r="M34">
        <v>205</v>
      </c>
      <c r="N34" s="6">
        <f>AVERAGE(112.8357767,52.19774923)</f>
        <v>82.516762964999998</v>
      </c>
      <c r="O34" s="13"/>
      <c r="P34">
        <f>AVERAGE(72,138)</f>
        <v>105</v>
      </c>
      <c r="Q34" s="25"/>
      <c r="R34" s="25"/>
      <c r="S34" s="18"/>
      <c r="T34" s="13"/>
      <c r="U34" s="25"/>
      <c r="V34" s="13"/>
      <c r="W34" s="25"/>
      <c r="X34" s="25"/>
      <c r="Y34" s="30"/>
      <c r="Z34" s="18"/>
      <c r="AA34" s="18"/>
    </row>
    <row r="35" spans="1:27" x14ac:dyDescent="0.3">
      <c r="A35" t="s">
        <v>84</v>
      </c>
      <c r="B35" t="s">
        <v>28</v>
      </c>
      <c r="C35" t="s">
        <v>29</v>
      </c>
      <c r="D35" s="1">
        <v>45106</v>
      </c>
      <c r="E35">
        <v>33</v>
      </c>
      <c r="F35">
        <v>84</v>
      </c>
      <c r="G35">
        <v>6</v>
      </c>
      <c r="H35" t="s">
        <v>35</v>
      </c>
      <c r="I35" t="s">
        <v>53</v>
      </c>
      <c r="J35">
        <v>7.1680000000000001</v>
      </c>
      <c r="K35">
        <v>3.37</v>
      </c>
      <c r="L35">
        <v>0.67</v>
      </c>
      <c r="M35">
        <v>188.33</v>
      </c>
      <c r="N35" s="6">
        <f>AVERAGE(94.55804289,
123.7966532,
78.35798711,
117.3883346,115.3262896)</f>
        <v>105.88546148</v>
      </c>
      <c r="O35" s="13"/>
      <c r="P35" s="44">
        <f>AVERAGE(71,25,
38,
21,
27)</f>
        <v>36.4</v>
      </c>
      <c r="Q35" s="25"/>
      <c r="R35" s="25"/>
      <c r="S35" s="18"/>
      <c r="T35" s="13"/>
      <c r="U35" s="25"/>
      <c r="V35" s="13"/>
      <c r="W35" s="25"/>
      <c r="X35" s="25"/>
      <c r="Y35" s="30"/>
      <c r="Z35" s="18"/>
      <c r="AA35" s="18"/>
    </row>
    <row r="36" spans="1:27" x14ac:dyDescent="0.3">
      <c r="A36" t="s">
        <v>84</v>
      </c>
      <c r="B36" t="s">
        <v>28</v>
      </c>
      <c r="C36" t="s">
        <v>29</v>
      </c>
      <c r="D36" s="1">
        <v>45107</v>
      </c>
      <c r="E36">
        <v>34</v>
      </c>
      <c r="F36">
        <v>84</v>
      </c>
      <c r="G36">
        <v>7</v>
      </c>
      <c r="H36" t="s">
        <v>35</v>
      </c>
      <c r="I36" t="s">
        <v>53</v>
      </c>
      <c r="J36">
        <v>7.1479999999999997</v>
      </c>
      <c r="K36">
        <v>3.26</v>
      </c>
      <c r="L36">
        <v>0.76</v>
      </c>
      <c r="M36">
        <v>275</v>
      </c>
      <c r="N36" s="49">
        <f>AVERAGE(140.3078253,154.1045219)</f>
        <v>147.2061736</v>
      </c>
      <c r="O36" s="13"/>
      <c r="P36" s="44">
        <f>AVERAGE(109,92,
51,
13,
16)</f>
        <v>56.2</v>
      </c>
      <c r="Q36" s="25"/>
      <c r="R36" s="25"/>
      <c r="S36" s="18"/>
      <c r="T36" s="13"/>
      <c r="U36" s="25"/>
      <c r="V36" s="13"/>
      <c r="W36" s="25"/>
      <c r="X36" s="25"/>
      <c r="Y36" s="30"/>
      <c r="Z36" s="18"/>
      <c r="AA36" s="18"/>
    </row>
    <row r="37" spans="1:27" x14ac:dyDescent="0.3">
      <c r="A37" t="s">
        <v>84</v>
      </c>
      <c r="B37" t="s">
        <v>28</v>
      </c>
      <c r="C37" t="s">
        <v>29</v>
      </c>
      <c r="D37" s="1">
        <v>45108</v>
      </c>
      <c r="E37">
        <v>35</v>
      </c>
      <c r="F37">
        <v>84</v>
      </c>
      <c r="G37">
        <v>8</v>
      </c>
      <c r="H37" t="s">
        <v>35</v>
      </c>
      <c r="I37" t="s">
        <v>53</v>
      </c>
      <c r="J37">
        <v>7.093</v>
      </c>
      <c r="K37">
        <v>3.22</v>
      </c>
      <c r="L37">
        <v>0.8</v>
      </c>
      <c r="M37">
        <v>225</v>
      </c>
      <c r="N37" s="6">
        <f>AVERAGE(190.4095508,
185.6040582,
194.6992124,151.7773654)</f>
        <v>180.62254669999999</v>
      </c>
      <c r="O37" s="13"/>
      <c r="P37" s="44">
        <f>AVERAGE(12,
2,
45,18)</f>
        <v>19.25</v>
      </c>
      <c r="Q37" s="25"/>
      <c r="R37" s="25"/>
      <c r="S37" s="18"/>
      <c r="T37" s="13"/>
      <c r="U37" s="25"/>
      <c r="V37" s="13"/>
      <c r="W37" s="25"/>
      <c r="X37" s="25"/>
      <c r="Y37" s="30"/>
      <c r="Z37" s="18"/>
      <c r="AA37" s="18"/>
    </row>
    <row r="38" spans="1:27" x14ac:dyDescent="0.3">
      <c r="A38" t="s">
        <v>84</v>
      </c>
      <c r="B38" t="s">
        <v>28</v>
      </c>
      <c r="C38" t="s">
        <v>29</v>
      </c>
      <c r="D38" s="1">
        <v>45109</v>
      </c>
      <c r="E38">
        <v>36</v>
      </c>
      <c r="F38">
        <v>84</v>
      </c>
      <c r="G38">
        <v>9</v>
      </c>
      <c r="H38" t="s">
        <v>35</v>
      </c>
      <c r="I38" t="s">
        <v>53</v>
      </c>
      <c r="J38">
        <v>7.0650000000000004</v>
      </c>
      <c r="K38">
        <v>3.1</v>
      </c>
      <c r="L38">
        <v>0.91</v>
      </c>
      <c r="M38">
        <v>250</v>
      </c>
      <c r="N38" s="6">
        <f>AVERAGE(153.9576694,263.7431457)</f>
        <v>208.85040755</v>
      </c>
      <c r="O38" s="13"/>
      <c r="P38" s="44">
        <f>AVERAGE(57,16)</f>
        <v>36.5</v>
      </c>
      <c r="Q38" s="25"/>
      <c r="R38" s="25"/>
      <c r="S38" s="18"/>
      <c r="T38" s="13"/>
      <c r="U38" s="25"/>
      <c r="V38" s="13"/>
      <c r="W38" s="25"/>
      <c r="X38" s="25"/>
      <c r="Y38" s="30"/>
      <c r="Z38" s="18"/>
      <c r="AA38" s="18"/>
    </row>
    <row r="39" spans="1:27" x14ac:dyDescent="0.3">
      <c r="A39" t="s">
        <v>84</v>
      </c>
      <c r="B39" t="s">
        <v>28</v>
      </c>
      <c r="C39" t="s">
        <v>29</v>
      </c>
      <c r="D39" s="1">
        <v>45110</v>
      </c>
      <c r="E39">
        <v>37</v>
      </c>
      <c r="F39">
        <v>84</v>
      </c>
      <c r="G39">
        <v>10</v>
      </c>
      <c r="H39" t="s">
        <v>33</v>
      </c>
      <c r="I39" t="s">
        <v>53</v>
      </c>
      <c r="J39">
        <v>7.1130000000000004</v>
      </c>
      <c r="K39">
        <v>3.02</v>
      </c>
      <c r="L39">
        <v>0.97</v>
      </c>
      <c r="M39">
        <v>253.333</v>
      </c>
      <c r="N39" s="6">
        <f>AVERAGE(205.8360455,112.4066881)</f>
        <v>159.1213668</v>
      </c>
      <c r="O39" s="13"/>
      <c r="P39" s="44">
        <f>AVERAGE(61,5,
12,
74,
14)</f>
        <v>33.200000000000003</v>
      </c>
      <c r="Q39" s="8">
        <v>6267000</v>
      </c>
      <c r="R39" s="8">
        <v>3897000</v>
      </c>
      <c r="S39" s="19">
        <f>R39/Q39</f>
        <v>0.62182862613690759</v>
      </c>
      <c r="T39">
        <v>6475</v>
      </c>
      <c r="U39" s="8">
        <f>(1750*3620000)+(1725*4173000)</f>
        <v>13533425000</v>
      </c>
      <c r="V39">
        <v>2496</v>
      </c>
      <c r="W39" s="8">
        <f>(912*3620000)+(1584*4173000)</f>
        <v>9911472000</v>
      </c>
      <c r="X39" s="8">
        <v>9000000000</v>
      </c>
      <c r="Y39" s="29">
        <f>W39/X39</f>
        <v>1.1012746666666666</v>
      </c>
      <c r="Z39" s="19">
        <f>(U39-W29)/W29</f>
        <v>1.1706826697291264</v>
      </c>
      <c r="AA39" s="19">
        <f>Z39/(D39-D29)</f>
        <v>0.11706826697291264</v>
      </c>
    </row>
    <row r="40" spans="1:27" x14ac:dyDescent="0.3">
      <c r="A40" t="s">
        <v>84</v>
      </c>
      <c r="B40" t="s">
        <v>28</v>
      </c>
      <c r="C40" t="s">
        <v>29</v>
      </c>
      <c r="D40" s="1">
        <v>45111</v>
      </c>
      <c r="E40">
        <v>38</v>
      </c>
      <c r="F40">
        <v>85</v>
      </c>
      <c r="G40">
        <v>1</v>
      </c>
      <c r="H40" t="s">
        <v>35</v>
      </c>
      <c r="I40" t="s">
        <v>53</v>
      </c>
      <c r="J40">
        <v>7.3460000000000001</v>
      </c>
      <c r="K40">
        <v>3.62</v>
      </c>
      <c r="L40">
        <v>0.16</v>
      </c>
      <c r="M40">
        <v>90</v>
      </c>
      <c r="N40" s="6">
        <f>AVERAGE(144.8070681, 113.7968351,
117.4807527,
117.2008581,
112.34888)</f>
        <v>121.12687879999999</v>
      </c>
      <c r="O40" s="13"/>
      <c r="P40" s="44">
        <f>AVERAGE(65,60,
31,
17,
26)</f>
        <v>39.799999999999997</v>
      </c>
      <c r="Q40" s="25"/>
      <c r="R40" s="25"/>
      <c r="S40" s="18"/>
      <c r="T40" s="13"/>
      <c r="U40" s="25"/>
      <c r="V40" s="13"/>
      <c r="W40" s="25"/>
      <c r="X40" s="25"/>
      <c r="Y40" s="30"/>
      <c r="Z40" s="18"/>
      <c r="AA40" s="18"/>
    </row>
    <row r="41" spans="1:27" x14ac:dyDescent="0.3">
      <c r="A41" t="s">
        <v>84</v>
      </c>
      <c r="B41" t="s">
        <v>28</v>
      </c>
      <c r="C41" t="s">
        <v>29</v>
      </c>
      <c r="D41" s="1">
        <v>45112</v>
      </c>
      <c r="E41">
        <v>39</v>
      </c>
      <c r="F41">
        <v>85</v>
      </c>
      <c r="G41">
        <v>2</v>
      </c>
      <c r="H41" t="s">
        <v>76</v>
      </c>
      <c r="I41" t="s">
        <v>53</v>
      </c>
      <c r="J41" s="13"/>
      <c r="K41" s="13"/>
      <c r="L41" s="13"/>
      <c r="M41" s="13"/>
      <c r="N41" s="48"/>
      <c r="O41" s="13"/>
      <c r="P41" s="25"/>
      <c r="Q41" s="25"/>
      <c r="R41" s="25"/>
      <c r="S41" s="18"/>
      <c r="T41" s="13"/>
      <c r="U41" s="25"/>
      <c r="V41" s="13"/>
      <c r="W41" s="25"/>
      <c r="X41" s="25"/>
      <c r="Y41" s="30"/>
      <c r="Z41" s="18"/>
      <c r="AA41" s="18"/>
    </row>
    <row r="42" spans="1:27" x14ac:dyDescent="0.3">
      <c r="A42" t="s">
        <v>84</v>
      </c>
      <c r="B42" t="s">
        <v>28</v>
      </c>
      <c r="C42" t="s">
        <v>29</v>
      </c>
      <c r="D42" s="1">
        <v>45113</v>
      </c>
      <c r="E42">
        <v>40</v>
      </c>
      <c r="F42">
        <v>85</v>
      </c>
      <c r="G42">
        <v>3</v>
      </c>
      <c r="H42" t="s">
        <v>78</v>
      </c>
      <c r="I42" t="s">
        <v>53</v>
      </c>
      <c r="J42">
        <v>7.2779999999999996</v>
      </c>
      <c r="K42">
        <v>3.43</v>
      </c>
      <c r="L42">
        <v>0.68300000000000005</v>
      </c>
      <c r="M42">
        <v>144.44399999999999</v>
      </c>
      <c r="N42" s="6">
        <f>AVERAGE(60.13975916,91.30410795,
92.9358615,
81.23589706,
91.38704482,90.77622785,
96.30881491,
69.00401624,
91.7173155)</f>
        <v>84.978782776666677</v>
      </c>
      <c r="O42" s="13"/>
      <c r="P42" s="44">
        <f>AVERAGE(273,91.30410795,
92.9358615,
81.23589706,
91.38704482,101,102,9,13)</f>
        <v>94.984767925555559</v>
      </c>
      <c r="Q42" s="25"/>
      <c r="R42" s="25"/>
      <c r="S42" s="18"/>
      <c r="T42" s="13"/>
      <c r="U42" s="25"/>
      <c r="V42" s="13"/>
      <c r="W42" s="25"/>
      <c r="X42" s="25"/>
      <c r="Y42" s="30"/>
      <c r="Z42" s="18"/>
      <c r="AA4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4D49-F686-416D-A809-7426B0D9ADC2}">
  <dimension ref="A1:Z68"/>
  <sheetViews>
    <sheetView tabSelected="1" topLeftCell="D1" zoomScaleNormal="100" workbookViewId="0">
      <pane ySplit="1" topLeftCell="A2" activePane="bottomLeft" state="frozen"/>
      <selection activeCell="D1" sqref="D1"/>
      <selection pane="bottomLeft" activeCell="AC4" sqref="AC4"/>
    </sheetView>
  </sheetViews>
  <sheetFormatPr defaultColWidth="8.77734375" defaultRowHeight="14.4" x14ac:dyDescent="0.3"/>
  <cols>
    <col min="1" max="1" width="16.21875" style="53" hidden="1" customWidth="1"/>
    <col min="2" max="2" width="5" style="53" hidden="1" customWidth="1"/>
    <col min="3" max="3" width="12.77734375" style="53" hidden="1" customWidth="1"/>
    <col min="4" max="4" width="9.5546875" style="53" bestFit="1" customWidth="1"/>
    <col min="5" max="5" width="7.21875" style="53" bestFit="1" customWidth="1"/>
    <col min="6" max="6" width="8.77734375" style="53"/>
    <col min="7" max="7" width="7.44140625" style="53" bestFit="1" customWidth="1"/>
    <col min="8" max="8" width="11.21875" style="53" customWidth="1"/>
    <col min="9" max="9" width="10.44140625" style="53" bestFit="1" customWidth="1"/>
    <col min="10" max="10" width="6.44140625" style="53" bestFit="1" customWidth="1"/>
    <col min="11" max="11" width="7.77734375" style="53" customWidth="1"/>
    <col min="12" max="12" width="7.21875" style="53" bestFit="1" customWidth="1"/>
    <col min="13" max="13" width="9.21875" style="53" bestFit="1" customWidth="1"/>
    <col min="14" max="14" width="12.33203125" style="53" bestFit="1" customWidth="1"/>
    <col min="15" max="15" width="10.77734375" style="52" customWidth="1"/>
    <col min="16" max="17" width="10.21875" style="51" bestFit="1" customWidth="1"/>
    <col min="18" max="18" width="8.77734375" style="52" customWidth="1"/>
    <col min="19" max="19" width="10.5546875" style="53" customWidth="1"/>
    <col min="20" max="20" width="9.5546875" style="51" bestFit="1" customWidth="1"/>
    <col min="21" max="21" width="10.77734375" style="53" customWidth="1"/>
    <col min="22" max="22" width="9.44140625" style="51" bestFit="1" customWidth="1"/>
    <col min="23" max="23" width="10.21875" style="51" bestFit="1" customWidth="1"/>
    <col min="24" max="25" width="8.77734375" style="54" bestFit="1" customWidth="1"/>
    <col min="26" max="26" width="7.77734375" style="54" bestFit="1" customWidth="1"/>
    <col min="27" max="16384" width="8.77734375" style="53"/>
  </cols>
  <sheetData>
    <row r="1" spans="1:26" s="2" customFormat="1" ht="70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16</v>
      </c>
      <c r="Q1" s="4" t="s">
        <v>17</v>
      </c>
      <c r="R1" s="20" t="s">
        <v>18</v>
      </c>
      <c r="S1" s="4" t="s">
        <v>19</v>
      </c>
      <c r="T1" s="21" t="s">
        <v>20</v>
      </c>
      <c r="U1" s="4" t="s">
        <v>21</v>
      </c>
      <c r="V1" s="21" t="s">
        <v>22</v>
      </c>
      <c r="W1" s="37" t="s">
        <v>23</v>
      </c>
      <c r="X1" s="33" t="s">
        <v>24</v>
      </c>
      <c r="Y1" s="23" t="s">
        <v>25</v>
      </c>
      <c r="Z1" s="24" t="s">
        <v>26</v>
      </c>
    </row>
    <row r="2" spans="1:26" x14ac:dyDescent="0.3">
      <c r="A2" s="53" t="s">
        <v>85</v>
      </c>
      <c r="B2" s="53" t="s">
        <v>28</v>
      </c>
      <c r="C2" s="53" t="s">
        <v>29</v>
      </c>
      <c r="D2" s="55">
        <v>45118</v>
      </c>
      <c r="E2" s="53">
        <v>0</v>
      </c>
      <c r="F2" s="53">
        <v>78</v>
      </c>
      <c r="G2" s="53">
        <v>0</v>
      </c>
      <c r="H2" s="53" t="s">
        <v>30</v>
      </c>
      <c r="I2" s="53" t="s">
        <v>31</v>
      </c>
      <c r="J2" s="56"/>
      <c r="K2" s="56"/>
      <c r="L2" s="56"/>
      <c r="M2" s="56"/>
      <c r="N2" s="56"/>
      <c r="O2" s="50"/>
      <c r="P2" s="51">
        <v>1940000</v>
      </c>
      <c r="Q2" s="51">
        <v>1430000</v>
      </c>
      <c r="R2" s="52">
        <f>Q2/P2</f>
        <v>0.73711340206185572</v>
      </c>
      <c r="S2" s="53">
        <v>79</v>
      </c>
      <c r="T2" s="51">
        <f>Q2*S2</f>
        <v>112970000</v>
      </c>
      <c r="U2" s="53">
        <v>79</v>
      </c>
      <c r="V2" s="51">
        <f>Q2*U2</f>
        <v>112970000</v>
      </c>
      <c r="W2" s="51">
        <v>126400000</v>
      </c>
      <c r="X2" s="54">
        <f>V2/W2</f>
        <v>0.89375000000000004</v>
      </c>
      <c r="Y2" s="57"/>
      <c r="Z2" s="57"/>
    </row>
    <row r="3" spans="1:26" x14ac:dyDescent="0.3">
      <c r="A3" s="53" t="s">
        <v>85</v>
      </c>
      <c r="B3" s="53" t="s">
        <v>28</v>
      </c>
      <c r="C3" s="53" t="s">
        <v>29</v>
      </c>
      <c r="D3" s="55">
        <v>45119</v>
      </c>
      <c r="E3" s="53">
        <v>1</v>
      </c>
      <c r="F3" s="53">
        <v>78</v>
      </c>
      <c r="G3" s="53">
        <v>1</v>
      </c>
      <c r="H3" s="53" t="s">
        <v>35</v>
      </c>
      <c r="I3" s="53" t="s">
        <v>31</v>
      </c>
      <c r="J3" s="53">
        <v>7.1619999999999999</v>
      </c>
      <c r="K3" s="53">
        <v>3.27</v>
      </c>
      <c r="L3" s="53">
        <v>0.69</v>
      </c>
      <c r="M3" s="56"/>
      <c r="N3" s="56"/>
      <c r="O3" s="52">
        <v>0.97499999999999998</v>
      </c>
      <c r="Q3" s="58"/>
      <c r="R3" s="50"/>
      <c r="S3" s="56"/>
      <c r="T3" s="58"/>
      <c r="U3" s="56"/>
      <c r="V3" s="58"/>
      <c r="W3" s="58"/>
      <c r="X3" s="57"/>
      <c r="Y3" s="57"/>
      <c r="Z3" s="57"/>
    </row>
    <row r="4" spans="1:26" x14ac:dyDescent="0.3">
      <c r="A4" s="53" t="s">
        <v>85</v>
      </c>
      <c r="B4" s="53" t="s">
        <v>28</v>
      </c>
      <c r="C4" s="53" t="s">
        <v>29</v>
      </c>
      <c r="D4" s="55">
        <v>45120</v>
      </c>
      <c r="E4" s="53">
        <v>2</v>
      </c>
      <c r="F4" s="53">
        <v>78</v>
      </c>
      <c r="G4" s="53">
        <v>2</v>
      </c>
      <c r="H4" s="53" t="s">
        <v>33</v>
      </c>
      <c r="I4" s="53" t="s">
        <v>31</v>
      </c>
      <c r="J4" s="53">
        <v>6.98</v>
      </c>
      <c r="K4" s="53">
        <v>2.98</v>
      </c>
      <c r="L4" s="53">
        <v>1.04</v>
      </c>
      <c r="M4" s="56"/>
      <c r="N4" s="56"/>
      <c r="O4" s="52">
        <v>0.996</v>
      </c>
      <c r="P4" s="51">
        <v>3010000</v>
      </c>
      <c r="Q4" s="51">
        <v>1900000</v>
      </c>
      <c r="R4" s="52">
        <f>Q4/P4</f>
        <v>0.6312292358803987</v>
      </c>
      <c r="S4" s="53">
        <v>119.5</v>
      </c>
      <c r="T4" s="51">
        <f>Q4*S4</f>
        <v>227050000</v>
      </c>
      <c r="U4" s="53">
        <v>73</v>
      </c>
      <c r="V4" s="51">
        <f>Q4*U4</f>
        <v>138700000</v>
      </c>
      <c r="W4" s="51">
        <v>126400000</v>
      </c>
      <c r="X4" s="54">
        <f>V4/W4</f>
        <v>1.0973101265822784</v>
      </c>
      <c r="Y4" s="54">
        <f>(T4-V2)/V2</f>
        <v>1.0098256174205542</v>
      </c>
      <c r="Z4" s="54">
        <f>Y4/(D4-D2)</f>
        <v>0.50491280871027711</v>
      </c>
    </row>
    <row r="5" spans="1:26" x14ac:dyDescent="0.3">
      <c r="A5" s="53" t="s">
        <v>85</v>
      </c>
      <c r="B5" s="53" t="s">
        <v>28</v>
      </c>
      <c r="C5" s="53" t="s">
        <v>29</v>
      </c>
      <c r="D5" s="55">
        <v>45121</v>
      </c>
      <c r="E5" s="53">
        <v>3</v>
      </c>
      <c r="F5" s="53">
        <v>79</v>
      </c>
      <c r="G5" s="53">
        <v>1</v>
      </c>
      <c r="H5" s="53" t="s">
        <v>35</v>
      </c>
      <c r="I5" s="53" t="s">
        <v>31</v>
      </c>
      <c r="J5" s="53">
        <v>7.5540000000000003</v>
      </c>
      <c r="K5" s="53">
        <v>3.55</v>
      </c>
      <c r="L5" s="53">
        <v>0.16</v>
      </c>
      <c r="M5" s="56"/>
      <c r="N5" s="56"/>
      <c r="O5" s="52">
        <v>0.43</v>
      </c>
      <c r="P5" s="58"/>
      <c r="Q5" s="58"/>
      <c r="R5" s="50"/>
      <c r="S5" s="56"/>
      <c r="T5" s="58"/>
      <c r="U5" s="56"/>
      <c r="V5" s="58"/>
      <c r="W5" s="58"/>
      <c r="X5" s="57"/>
      <c r="Y5" s="57"/>
      <c r="Z5" s="57"/>
    </row>
    <row r="6" spans="1:26" x14ac:dyDescent="0.3">
      <c r="A6" s="53" t="s">
        <v>85</v>
      </c>
      <c r="B6" s="53" t="s">
        <v>28</v>
      </c>
      <c r="C6" s="53" t="s">
        <v>29</v>
      </c>
      <c r="D6" s="55">
        <v>45122</v>
      </c>
      <c r="E6" s="53">
        <v>4</v>
      </c>
      <c r="F6" s="53">
        <v>79</v>
      </c>
      <c r="G6" s="53">
        <v>2</v>
      </c>
      <c r="H6" s="53" t="s">
        <v>35</v>
      </c>
      <c r="I6" s="53" t="s">
        <v>31</v>
      </c>
      <c r="J6" s="53">
        <v>7.3860000000000001</v>
      </c>
      <c r="K6" s="53">
        <v>3.84</v>
      </c>
      <c r="L6" s="53">
        <v>0.27</v>
      </c>
      <c r="M6" s="56"/>
      <c r="N6" s="56"/>
      <c r="O6" s="52">
        <v>0.625</v>
      </c>
      <c r="P6" s="58"/>
      <c r="Q6" s="58"/>
      <c r="R6" s="50"/>
      <c r="S6" s="56"/>
      <c r="T6" s="58"/>
      <c r="U6" s="56"/>
      <c r="V6" s="58"/>
      <c r="W6" s="58"/>
      <c r="X6" s="57"/>
      <c r="Y6" s="57"/>
      <c r="Z6" s="57"/>
    </row>
    <row r="7" spans="1:26" x14ac:dyDescent="0.3">
      <c r="A7" s="53" t="s">
        <v>85</v>
      </c>
      <c r="B7" s="53" t="s">
        <v>28</v>
      </c>
      <c r="C7" s="53" t="s">
        <v>29</v>
      </c>
      <c r="D7" s="55">
        <v>45123</v>
      </c>
      <c r="E7" s="53">
        <v>5</v>
      </c>
      <c r="F7" s="53">
        <v>79</v>
      </c>
      <c r="G7" s="53">
        <v>3</v>
      </c>
      <c r="H7" s="53" t="s">
        <v>35</v>
      </c>
      <c r="I7" s="53" t="s">
        <v>31</v>
      </c>
      <c r="J7" s="53">
        <v>7.3689999999999998</v>
      </c>
      <c r="K7" s="53">
        <v>3.68</v>
      </c>
      <c r="L7" s="53">
        <v>0.44</v>
      </c>
      <c r="M7" s="56"/>
      <c r="N7" s="56"/>
      <c r="O7" s="52">
        <v>0.86499999999999999</v>
      </c>
      <c r="P7" s="58"/>
      <c r="Q7" s="58"/>
      <c r="R7" s="50"/>
      <c r="S7" s="56"/>
      <c r="T7" s="58"/>
      <c r="U7" s="56"/>
      <c r="V7" s="58"/>
      <c r="W7" s="58"/>
      <c r="X7" s="57"/>
      <c r="Y7" s="57"/>
      <c r="Z7" s="57"/>
    </row>
    <row r="8" spans="1:26" x14ac:dyDescent="0.3">
      <c r="A8" s="53" t="s">
        <v>85</v>
      </c>
      <c r="B8" s="53" t="s">
        <v>28</v>
      </c>
      <c r="C8" s="53" t="s">
        <v>29</v>
      </c>
      <c r="D8" s="55">
        <v>45124</v>
      </c>
      <c r="E8" s="53">
        <v>6</v>
      </c>
      <c r="F8" s="53">
        <v>79</v>
      </c>
      <c r="G8" s="53">
        <v>4</v>
      </c>
      <c r="H8" s="53" t="s">
        <v>35</v>
      </c>
      <c r="I8" s="53" t="s">
        <v>31</v>
      </c>
      <c r="J8" s="53">
        <v>7.1280000000000001</v>
      </c>
      <c r="K8" s="53">
        <v>3.44</v>
      </c>
      <c r="L8" s="53">
        <v>0.64</v>
      </c>
      <c r="M8" s="56"/>
      <c r="N8" s="56"/>
      <c r="O8" s="52">
        <v>0.95499999999999996</v>
      </c>
      <c r="P8" s="58"/>
      <c r="Q8" s="58"/>
      <c r="R8" s="50"/>
      <c r="S8" s="56"/>
      <c r="T8" s="58"/>
      <c r="U8" s="56"/>
      <c r="V8" s="58"/>
      <c r="W8" s="58"/>
      <c r="X8" s="57"/>
      <c r="Y8" s="57"/>
      <c r="Z8" s="57"/>
    </row>
    <row r="9" spans="1:26" x14ac:dyDescent="0.3">
      <c r="A9" s="53" t="s">
        <v>85</v>
      </c>
      <c r="B9" s="53" t="s">
        <v>28</v>
      </c>
      <c r="C9" s="53" t="s">
        <v>29</v>
      </c>
      <c r="D9" s="55">
        <v>45125</v>
      </c>
      <c r="E9" s="53">
        <v>7</v>
      </c>
      <c r="F9" s="53">
        <v>79</v>
      </c>
      <c r="G9" s="53">
        <v>5</v>
      </c>
      <c r="H9" s="53" t="s">
        <v>33</v>
      </c>
      <c r="I9" s="53" t="s">
        <v>31</v>
      </c>
      <c r="J9" s="53">
        <v>7.0570000000000004</v>
      </c>
      <c r="K9" s="53">
        <v>3.3</v>
      </c>
      <c r="L9" s="53">
        <v>0.8</v>
      </c>
      <c r="M9" s="56"/>
      <c r="N9" s="56"/>
      <c r="O9" s="52">
        <v>0.98</v>
      </c>
      <c r="P9" s="51">
        <v>2520000</v>
      </c>
      <c r="Q9" s="51">
        <v>1807000</v>
      </c>
      <c r="R9" s="52">
        <f>Q9/P9</f>
        <v>0.71706349206349207</v>
      </c>
      <c r="S9" s="53">
        <v>243</v>
      </c>
      <c r="T9" s="51">
        <f>Q9*S9</f>
        <v>439101000</v>
      </c>
      <c r="U9" s="53">
        <v>154</v>
      </c>
      <c r="V9" s="51">
        <f>Q9*U9</f>
        <v>278278000</v>
      </c>
      <c r="W9" s="51">
        <v>252800000</v>
      </c>
      <c r="X9" s="54">
        <f>V9/W9</f>
        <v>1.1007832278481013</v>
      </c>
      <c r="Y9" s="54">
        <f>(T9-V4)/V4</f>
        <v>2.1658327325162219</v>
      </c>
      <c r="Z9" s="54">
        <f>Y9/(D9-D4)</f>
        <v>0.43316654650324438</v>
      </c>
    </row>
    <row r="10" spans="1:26" x14ac:dyDescent="0.3">
      <c r="A10" s="53" t="s">
        <v>85</v>
      </c>
      <c r="B10" s="53" t="s">
        <v>28</v>
      </c>
      <c r="C10" s="53" t="s">
        <v>29</v>
      </c>
      <c r="D10" s="55">
        <v>45126</v>
      </c>
      <c r="E10" s="53">
        <v>8</v>
      </c>
      <c r="F10" s="53">
        <v>80</v>
      </c>
      <c r="G10" s="53">
        <v>1</v>
      </c>
      <c r="H10" s="53" t="s">
        <v>35</v>
      </c>
      <c r="I10" s="53" t="s">
        <v>31</v>
      </c>
      <c r="J10" s="53">
        <v>7.3979999999999997</v>
      </c>
      <c r="K10" s="53">
        <v>3.51</v>
      </c>
      <c r="L10" s="53">
        <v>0.18</v>
      </c>
      <c r="M10" s="56"/>
      <c r="N10" s="56"/>
      <c r="O10" s="52">
        <v>0.47249999999999998</v>
      </c>
      <c r="P10" s="58"/>
      <c r="Q10" s="58"/>
      <c r="R10" s="50"/>
      <c r="S10" s="56"/>
      <c r="T10" s="58"/>
      <c r="U10" s="56"/>
      <c r="V10" s="58"/>
      <c r="W10" s="58"/>
      <c r="X10" s="59"/>
      <c r="Y10" s="57"/>
      <c r="Z10" s="57"/>
    </row>
    <row r="11" spans="1:26" x14ac:dyDescent="0.3">
      <c r="A11" s="53" t="s">
        <v>85</v>
      </c>
      <c r="B11" s="53" t="s">
        <v>28</v>
      </c>
      <c r="C11" s="53" t="s">
        <v>29</v>
      </c>
      <c r="D11" s="55">
        <v>45127</v>
      </c>
      <c r="E11" s="53">
        <v>9</v>
      </c>
      <c r="F11" s="53">
        <v>80</v>
      </c>
      <c r="G11" s="53">
        <v>2</v>
      </c>
      <c r="H11" s="53" t="s">
        <v>35</v>
      </c>
      <c r="I11" s="53" t="s">
        <v>31</v>
      </c>
      <c r="J11" s="53">
        <v>7.3070000000000004</v>
      </c>
      <c r="K11" s="53">
        <v>3.8</v>
      </c>
      <c r="L11" s="53">
        <v>0.3</v>
      </c>
      <c r="M11" s="56"/>
      <c r="N11" s="56"/>
      <c r="O11" s="52">
        <v>0.76500000000000001</v>
      </c>
      <c r="P11" s="58"/>
      <c r="Q11" s="58"/>
      <c r="R11" s="50"/>
      <c r="S11" s="56"/>
      <c r="T11" s="58"/>
      <c r="U11" s="56"/>
      <c r="V11" s="58"/>
      <c r="W11" s="58"/>
      <c r="X11" s="59"/>
      <c r="Y11" s="57"/>
      <c r="Z11" s="57"/>
    </row>
    <row r="12" spans="1:26" x14ac:dyDescent="0.3">
      <c r="A12" s="53" t="s">
        <v>85</v>
      </c>
      <c r="B12" s="53" t="s">
        <v>28</v>
      </c>
      <c r="C12" s="53" t="s">
        <v>29</v>
      </c>
      <c r="D12" s="55">
        <v>45128</v>
      </c>
      <c r="E12" s="53">
        <v>10</v>
      </c>
      <c r="F12" s="53">
        <v>80</v>
      </c>
      <c r="G12" s="53">
        <v>3</v>
      </c>
      <c r="H12" s="53" t="s">
        <v>35</v>
      </c>
      <c r="I12" s="53" t="s">
        <v>31</v>
      </c>
      <c r="J12" s="53">
        <v>7.2169999999999996</v>
      </c>
      <c r="K12" s="53">
        <v>3.56</v>
      </c>
      <c r="L12" s="53">
        <v>0.54</v>
      </c>
      <c r="M12" s="56"/>
      <c r="N12" s="56"/>
      <c r="O12" s="52">
        <v>0.91</v>
      </c>
      <c r="P12" s="58"/>
      <c r="Q12" s="58"/>
      <c r="R12" s="50"/>
      <c r="S12" s="56"/>
      <c r="T12" s="58"/>
      <c r="U12" s="56"/>
      <c r="V12" s="58"/>
      <c r="W12" s="58"/>
      <c r="X12" s="59"/>
      <c r="Y12" s="57"/>
      <c r="Z12" s="57"/>
    </row>
    <row r="13" spans="1:26" x14ac:dyDescent="0.3">
      <c r="A13" s="53" t="s">
        <v>85</v>
      </c>
      <c r="B13" s="53" t="s">
        <v>28</v>
      </c>
      <c r="C13" s="53" t="s">
        <v>29</v>
      </c>
      <c r="D13" s="55">
        <v>45129</v>
      </c>
      <c r="E13" s="53">
        <v>11</v>
      </c>
      <c r="F13" s="53">
        <v>80</v>
      </c>
      <c r="G13" s="53">
        <v>4</v>
      </c>
      <c r="H13" s="53" t="s">
        <v>33</v>
      </c>
      <c r="I13" s="53" t="s">
        <v>31</v>
      </c>
      <c r="J13" s="53">
        <v>7.1539999999999999</v>
      </c>
      <c r="K13" s="53">
        <v>3.49</v>
      </c>
      <c r="L13" s="53">
        <v>0.64</v>
      </c>
      <c r="M13" s="56"/>
      <c r="N13" s="56"/>
      <c r="O13" s="52">
        <v>0.96899999999999997</v>
      </c>
      <c r="P13" s="51">
        <v>2103000</v>
      </c>
      <c r="Q13" s="51">
        <v>1660000</v>
      </c>
      <c r="R13" s="52">
        <f>Q13/P13</f>
        <v>0.78934854969091772</v>
      </c>
      <c r="S13" s="53">
        <v>528</v>
      </c>
      <c r="T13" s="51">
        <f>Q13*S13</f>
        <v>876480000</v>
      </c>
      <c r="U13" s="53">
        <v>420</v>
      </c>
      <c r="V13" s="51">
        <f>Q13*U13</f>
        <v>697200000</v>
      </c>
      <c r="W13" s="51">
        <v>632000000</v>
      </c>
      <c r="X13" s="54">
        <f>V13/W13</f>
        <v>1.1031645569620254</v>
      </c>
      <c r="Y13" s="54">
        <f>(T13-V9)/V9</f>
        <v>2.1496560992963869</v>
      </c>
      <c r="Z13" s="54">
        <f>Y13/(D13-D9)</f>
        <v>0.53741402482409673</v>
      </c>
    </row>
    <row r="14" spans="1:26" x14ac:dyDescent="0.3">
      <c r="A14" s="53" t="s">
        <v>85</v>
      </c>
      <c r="B14" s="53" t="s">
        <v>28</v>
      </c>
      <c r="C14" s="53" t="s">
        <v>29</v>
      </c>
      <c r="D14" s="55">
        <v>45130</v>
      </c>
      <c r="E14" s="53">
        <v>12</v>
      </c>
      <c r="F14" s="53">
        <v>81</v>
      </c>
      <c r="G14" s="53">
        <v>1</v>
      </c>
      <c r="H14" s="53" t="s">
        <v>35</v>
      </c>
      <c r="I14" s="53" t="s">
        <v>31</v>
      </c>
      <c r="J14" s="53">
        <v>7.3810000000000002</v>
      </c>
      <c r="K14" s="53">
        <v>3.43</v>
      </c>
      <c r="L14" s="53">
        <v>0.26</v>
      </c>
      <c r="M14" s="56"/>
      <c r="N14" s="56"/>
      <c r="O14" s="52">
        <v>0.505</v>
      </c>
      <c r="P14" s="58"/>
      <c r="Q14" s="58"/>
      <c r="R14" s="50"/>
      <c r="S14" s="56"/>
      <c r="T14" s="58"/>
      <c r="U14" s="56"/>
      <c r="V14" s="58"/>
      <c r="W14" s="58"/>
      <c r="X14" s="59"/>
      <c r="Y14" s="57"/>
      <c r="Z14" s="57"/>
    </row>
    <row r="15" spans="1:26" x14ac:dyDescent="0.3">
      <c r="A15" s="53" t="s">
        <v>85</v>
      </c>
      <c r="B15" s="53" t="s">
        <v>28</v>
      </c>
      <c r="C15" s="53" t="s">
        <v>29</v>
      </c>
      <c r="D15" s="55">
        <v>45131</v>
      </c>
      <c r="E15" s="53">
        <v>13</v>
      </c>
      <c r="F15" s="53">
        <v>81</v>
      </c>
      <c r="G15" s="53">
        <v>2</v>
      </c>
      <c r="H15" s="53" t="s">
        <v>35</v>
      </c>
      <c r="I15" s="53" t="s">
        <v>31</v>
      </c>
      <c r="J15" s="53">
        <v>7.2649999999999997</v>
      </c>
      <c r="K15" s="53">
        <v>3.63</v>
      </c>
      <c r="L15" s="53">
        <v>0.47</v>
      </c>
      <c r="M15" s="56"/>
      <c r="N15" s="56"/>
      <c r="O15" s="52">
        <v>0.75749999999999995</v>
      </c>
      <c r="P15" s="58"/>
      <c r="Q15" s="58"/>
      <c r="R15" s="50"/>
      <c r="S15" s="56"/>
      <c r="T15" s="58"/>
      <c r="U15" s="56"/>
      <c r="V15" s="58"/>
      <c r="W15" s="58"/>
      <c r="X15" s="59"/>
      <c r="Y15" s="57"/>
      <c r="Z15" s="57"/>
    </row>
    <row r="16" spans="1:26" x14ac:dyDescent="0.3">
      <c r="A16" s="53" t="s">
        <v>85</v>
      </c>
      <c r="B16" s="53" t="s">
        <v>28</v>
      </c>
      <c r="C16" s="53" t="s">
        <v>29</v>
      </c>
      <c r="D16" s="55">
        <v>45132</v>
      </c>
      <c r="E16" s="53">
        <v>14</v>
      </c>
      <c r="F16" s="53">
        <v>81</v>
      </c>
      <c r="G16" s="53">
        <v>3</v>
      </c>
      <c r="H16" s="53" t="s">
        <v>35</v>
      </c>
      <c r="I16" s="53" t="s">
        <v>31</v>
      </c>
      <c r="J16" s="53">
        <v>7.1719999999999997</v>
      </c>
      <c r="K16" s="53">
        <v>3.51</v>
      </c>
      <c r="L16" s="53">
        <v>0.57999999999999996</v>
      </c>
      <c r="M16" s="56"/>
      <c r="N16" s="56"/>
      <c r="O16" s="52">
        <v>0.94</v>
      </c>
      <c r="P16" s="58"/>
      <c r="Q16" s="58"/>
      <c r="R16" s="50"/>
      <c r="S16" s="56"/>
      <c r="T16" s="58"/>
      <c r="U16" s="56"/>
      <c r="V16" s="58"/>
      <c r="W16" s="58"/>
      <c r="X16" s="59"/>
      <c r="Y16" s="57"/>
      <c r="Z16" s="57"/>
    </row>
    <row r="17" spans="1:26" x14ac:dyDescent="0.3">
      <c r="A17" s="53" t="s">
        <v>85</v>
      </c>
      <c r="B17" s="53" t="s">
        <v>28</v>
      </c>
      <c r="C17" s="53" t="s">
        <v>29</v>
      </c>
      <c r="D17" s="55">
        <v>45133</v>
      </c>
      <c r="E17" s="53">
        <v>15</v>
      </c>
      <c r="F17" s="53">
        <v>81</v>
      </c>
      <c r="G17" s="53">
        <v>4</v>
      </c>
      <c r="H17" s="53" t="s">
        <v>33</v>
      </c>
      <c r="I17" s="53" t="s">
        <v>31</v>
      </c>
      <c r="J17" s="53">
        <v>7.0750000000000002</v>
      </c>
      <c r="K17" s="53">
        <v>3.38</v>
      </c>
      <c r="L17" s="53">
        <v>0.73</v>
      </c>
      <c r="M17" s="56"/>
      <c r="N17" s="56"/>
      <c r="O17" s="52">
        <v>0.99250000000000005</v>
      </c>
      <c r="P17" s="51">
        <v>2080000</v>
      </c>
      <c r="Q17" s="51">
        <v>1553000</v>
      </c>
      <c r="R17" s="52">
        <f>Q17/P17</f>
        <v>0.7466346153846154</v>
      </c>
      <c r="S17" s="53">
        <v>1200</v>
      </c>
      <c r="T17" s="51">
        <f>Q17*S17</f>
        <v>1863600000</v>
      </c>
      <c r="U17" s="53">
        <v>896</v>
      </c>
      <c r="V17" s="51">
        <f>Q17*U17</f>
        <v>1391488000</v>
      </c>
      <c r="W17" s="51">
        <v>1264000000</v>
      </c>
      <c r="X17" s="54">
        <f>V17/W17</f>
        <v>1.1008607594936708</v>
      </c>
      <c r="Y17" s="54">
        <f>(T17-V13)/V13</f>
        <v>1.6729776247848538</v>
      </c>
      <c r="Z17" s="54">
        <f>Y17/(D17-D13)</f>
        <v>0.41824440619621345</v>
      </c>
    </row>
    <row r="18" spans="1:26" x14ac:dyDescent="0.3">
      <c r="A18" s="53" t="s">
        <v>85</v>
      </c>
      <c r="B18" s="53" t="s">
        <v>28</v>
      </c>
      <c r="C18" s="53" t="s">
        <v>29</v>
      </c>
      <c r="D18" s="55">
        <v>45134</v>
      </c>
      <c r="E18" s="53">
        <v>16</v>
      </c>
      <c r="F18" s="53">
        <v>82</v>
      </c>
      <c r="G18" s="53">
        <v>1</v>
      </c>
      <c r="H18" s="53" t="s">
        <v>35</v>
      </c>
      <c r="I18" s="53" t="s">
        <v>31</v>
      </c>
      <c r="J18" s="53">
        <v>7.5060000000000002</v>
      </c>
      <c r="K18" s="53">
        <v>3.51</v>
      </c>
      <c r="L18" s="53">
        <v>0.21</v>
      </c>
      <c r="M18" s="56"/>
      <c r="N18" s="56"/>
      <c r="O18" s="52">
        <v>0.47</v>
      </c>
      <c r="P18" s="58"/>
      <c r="Q18" s="58"/>
      <c r="R18" s="50"/>
      <c r="S18" s="56"/>
      <c r="T18" s="58"/>
      <c r="U18" s="56"/>
      <c r="V18" s="58"/>
      <c r="W18" s="58"/>
      <c r="X18" s="59"/>
      <c r="Y18" s="57"/>
      <c r="Z18" s="57"/>
    </row>
    <row r="19" spans="1:26" x14ac:dyDescent="0.3">
      <c r="A19" s="53" t="s">
        <v>85</v>
      </c>
      <c r="B19" s="53" t="s">
        <v>28</v>
      </c>
      <c r="C19" s="53" t="s">
        <v>29</v>
      </c>
      <c r="D19" s="55">
        <v>45135</v>
      </c>
      <c r="E19" s="53">
        <v>17</v>
      </c>
      <c r="F19" s="53">
        <v>82</v>
      </c>
      <c r="G19" s="53">
        <v>2</v>
      </c>
      <c r="H19" s="53" t="s">
        <v>35</v>
      </c>
      <c r="I19" s="53" t="s">
        <v>31</v>
      </c>
      <c r="J19" s="53">
        <v>7.5220000000000002</v>
      </c>
      <c r="K19" s="53">
        <v>3.76</v>
      </c>
      <c r="L19" s="53">
        <v>0.37</v>
      </c>
      <c r="M19" s="56"/>
      <c r="N19" s="56"/>
      <c r="O19" s="52">
        <v>0.67500000000000004</v>
      </c>
      <c r="P19" s="58"/>
      <c r="Q19" s="58"/>
      <c r="R19" s="50"/>
      <c r="S19" s="56"/>
      <c r="T19" s="58"/>
      <c r="U19" s="56"/>
      <c r="V19" s="58"/>
      <c r="W19" s="58"/>
      <c r="X19" s="59"/>
      <c r="Y19" s="57"/>
      <c r="Z19" s="57"/>
    </row>
    <row r="20" spans="1:26" x14ac:dyDescent="0.3">
      <c r="A20" s="53" t="s">
        <v>85</v>
      </c>
      <c r="B20" s="53" t="s">
        <v>28</v>
      </c>
      <c r="C20" s="53" t="s">
        <v>29</v>
      </c>
      <c r="D20" s="55">
        <v>45136</v>
      </c>
      <c r="E20" s="53">
        <v>18</v>
      </c>
      <c r="F20" s="53">
        <v>82</v>
      </c>
      <c r="G20" s="53">
        <v>3</v>
      </c>
      <c r="H20" s="53" t="s">
        <v>35</v>
      </c>
      <c r="I20" s="53" t="s">
        <v>31</v>
      </c>
      <c r="J20" s="53">
        <v>7.218</v>
      </c>
      <c r="K20" s="53">
        <v>3.62</v>
      </c>
      <c r="L20" s="53">
        <v>0.47</v>
      </c>
      <c r="M20" s="56"/>
      <c r="N20" s="56"/>
      <c r="O20" s="52">
        <f>AVERAGE(0.94,0.925)</f>
        <v>0.9325</v>
      </c>
      <c r="P20" s="58"/>
      <c r="Q20" s="58"/>
      <c r="R20" s="50"/>
      <c r="S20" s="56"/>
      <c r="T20" s="58"/>
      <c r="U20" s="56"/>
      <c r="V20" s="58"/>
      <c r="W20" s="58"/>
      <c r="X20" s="59"/>
      <c r="Y20" s="57"/>
      <c r="Z20" s="57"/>
    </row>
    <row r="21" spans="1:26" x14ac:dyDescent="0.3">
      <c r="A21" s="53" t="s">
        <v>85</v>
      </c>
      <c r="B21" s="53" t="s">
        <v>28</v>
      </c>
      <c r="C21" s="53" t="s">
        <v>29</v>
      </c>
      <c r="D21" s="55">
        <v>45137</v>
      </c>
      <c r="E21" s="53">
        <v>19</v>
      </c>
      <c r="F21" s="53">
        <v>82</v>
      </c>
      <c r="G21" s="53">
        <v>4</v>
      </c>
      <c r="H21" s="53" t="s">
        <v>33</v>
      </c>
      <c r="I21" s="53" t="s">
        <v>51</v>
      </c>
      <c r="J21" s="53">
        <v>7.16</v>
      </c>
      <c r="K21" s="53">
        <v>3.48</v>
      </c>
      <c r="L21" s="53">
        <v>0.62</v>
      </c>
      <c r="M21" s="56"/>
      <c r="N21" s="56"/>
      <c r="O21" s="52">
        <v>1</v>
      </c>
      <c r="P21" s="51">
        <v>1387000</v>
      </c>
      <c r="Q21" s="51">
        <v>1068000</v>
      </c>
      <c r="R21" s="52">
        <f>Q21/P21</f>
        <v>0.77000720980533521</v>
      </c>
      <c r="S21" s="53">
        <v>2640</v>
      </c>
      <c r="T21" s="51">
        <f>Q21*S21</f>
        <v>2819520000</v>
      </c>
      <c r="U21" s="53">
        <v>2640</v>
      </c>
      <c r="V21" s="51">
        <f>Q21*U21</f>
        <v>2819520000</v>
      </c>
      <c r="W21" s="51">
        <v>3000000000</v>
      </c>
      <c r="X21" s="54">
        <f>V21/W21</f>
        <v>0.93984000000000001</v>
      </c>
      <c r="Y21" s="54">
        <f>(T21-V17)/V17</f>
        <v>1.0262625333455984</v>
      </c>
      <c r="Z21" s="54">
        <f>Y21/(D21-D17)</f>
        <v>0.25656563333639959</v>
      </c>
    </row>
    <row r="22" spans="1:26" x14ac:dyDescent="0.3">
      <c r="A22" s="53" t="s">
        <v>85</v>
      </c>
      <c r="B22" s="53" t="s">
        <v>28</v>
      </c>
      <c r="C22" s="53" t="s">
        <v>29</v>
      </c>
      <c r="D22" s="55">
        <v>45138</v>
      </c>
      <c r="E22" s="53">
        <v>20</v>
      </c>
      <c r="F22" s="53">
        <v>83</v>
      </c>
      <c r="G22" s="53">
        <v>1</v>
      </c>
      <c r="H22" s="53" t="s">
        <v>35</v>
      </c>
      <c r="I22" s="53" t="s">
        <v>53</v>
      </c>
      <c r="J22" s="53">
        <v>7.25</v>
      </c>
      <c r="K22" s="53">
        <v>3.64</v>
      </c>
      <c r="L22" s="53">
        <v>0.35</v>
      </c>
      <c r="M22" s="53">
        <v>40.966000000000001</v>
      </c>
      <c r="N22" s="60">
        <f>AVERAGE(56.01371139,
62.18164377,
57.2797587,
57.393917)</f>
        <v>58.217257715000002</v>
      </c>
      <c r="O22" s="56"/>
      <c r="P22" s="58"/>
      <c r="Q22" s="58"/>
      <c r="R22" s="50"/>
      <c r="S22" s="56"/>
      <c r="T22" s="58"/>
      <c r="U22" s="56"/>
      <c r="V22" s="58"/>
      <c r="W22" s="58"/>
      <c r="X22" s="59"/>
      <c r="Y22" s="57"/>
      <c r="Z22" s="57"/>
    </row>
    <row r="23" spans="1:26" x14ac:dyDescent="0.3">
      <c r="A23" s="53" t="s">
        <v>85</v>
      </c>
      <c r="B23" s="53" t="s">
        <v>28</v>
      </c>
      <c r="C23" s="53" t="s">
        <v>29</v>
      </c>
      <c r="D23" s="55">
        <v>45139</v>
      </c>
      <c r="E23" s="53">
        <v>21</v>
      </c>
      <c r="F23" s="53">
        <v>83</v>
      </c>
      <c r="G23" s="53">
        <v>2</v>
      </c>
      <c r="H23" s="53" t="s">
        <v>35</v>
      </c>
      <c r="I23" s="53" t="s">
        <v>53</v>
      </c>
      <c r="J23" s="53">
        <v>7.2549999999999999</v>
      </c>
      <c r="K23" s="53">
        <v>3.49</v>
      </c>
      <c r="L23" s="53">
        <v>0.62</v>
      </c>
      <c r="M23" s="53">
        <v>78.332999999999998</v>
      </c>
      <c r="N23" s="60">
        <f>AVERAGE(68.70477033,
74.9372539,
67.2482125,
65.46726492)</f>
        <v>69.089375412500004</v>
      </c>
      <c r="O23" s="56"/>
      <c r="P23" s="58"/>
      <c r="Q23" s="58"/>
      <c r="R23" s="50"/>
      <c r="S23" s="56"/>
      <c r="T23" s="58"/>
      <c r="U23" s="56"/>
      <c r="V23" s="58"/>
      <c r="W23" s="58"/>
      <c r="X23" s="59"/>
      <c r="Y23" s="57"/>
      <c r="Z23" s="57"/>
    </row>
    <row r="24" spans="1:26" x14ac:dyDescent="0.3">
      <c r="A24" s="53" t="s">
        <v>85</v>
      </c>
      <c r="B24" s="53" t="s">
        <v>28</v>
      </c>
      <c r="C24" s="53" t="s">
        <v>29</v>
      </c>
      <c r="D24" s="55">
        <v>45140</v>
      </c>
      <c r="E24" s="53">
        <v>22</v>
      </c>
      <c r="F24" s="53">
        <v>83</v>
      </c>
      <c r="G24" s="53">
        <v>3</v>
      </c>
      <c r="H24" s="53" t="s">
        <v>35</v>
      </c>
      <c r="I24" s="53" t="s">
        <v>53</v>
      </c>
      <c r="J24" s="53">
        <v>7.3010000000000002</v>
      </c>
      <c r="K24" s="53">
        <v>3.34</v>
      </c>
      <c r="L24" s="53">
        <v>0.67</v>
      </c>
      <c r="M24" s="53">
        <v>143.333</v>
      </c>
      <c r="N24" s="60">
        <f>AVERAGE(93.9781188,
92.43161122,
98.56131521,
92.63204718)</f>
        <v>94.400773102499983</v>
      </c>
      <c r="O24" s="50"/>
      <c r="P24" s="58"/>
      <c r="Q24" s="58"/>
      <c r="R24" s="50"/>
      <c r="S24" s="56"/>
      <c r="T24" s="58"/>
      <c r="U24" s="56"/>
      <c r="V24" s="58"/>
      <c r="W24" s="58"/>
      <c r="X24" s="59"/>
      <c r="Y24" s="57"/>
      <c r="Z24" s="57"/>
    </row>
    <row r="25" spans="1:26" x14ac:dyDescent="0.3">
      <c r="A25" s="53" t="s">
        <v>85</v>
      </c>
      <c r="B25" s="53" t="s">
        <v>28</v>
      </c>
      <c r="C25" s="53" t="s">
        <v>29</v>
      </c>
      <c r="D25" s="55">
        <v>45141</v>
      </c>
      <c r="E25" s="53">
        <v>23</v>
      </c>
      <c r="F25" s="53">
        <v>83</v>
      </c>
      <c r="G25" s="53">
        <v>4</v>
      </c>
      <c r="H25" s="53" t="s">
        <v>35</v>
      </c>
      <c r="I25" s="53" t="s">
        <v>53</v>
      </c>
      <c r="J25" s="53">
        <v>7.1479999999999997</v>
      </c>
      <c r="K25" s="53">
        <v>3.38</v>
      </c>
      <c r="L25" s="53">
        <v>0.78</v>
      </c>
      <c r="M25" s="53">
        <v>140.02000000000001</v>
      </c>
      <c r="N25" s="60">
        <f>AVERAGE(88.38155925,
98.93323208,
90.43564977,
94.25995614)</f>
        <v>93.002599309999994</v>
      </c>
      <c r="O25" s="50"/>
      <c r="P25" s="58"/>
      <c r="Q25" s="58"/>
      <c r="R25" s="50"/>
      <c r="S25" s="56"/>
      <c r="T25" s="58"/>
      <c r="U25" s="56"/>
      <c r="V25" s="58"/>
      <c r="W25" s="58"/>
      <c r="X25" s="59"/>
      <c r="Y25" s="57"/>
    </row>
    <row r="26" spans="1:26" x14ac:dyDescent="0.3">
      <c r="A26" s="53" t="s">
        <v>85</v>
      </c>
      <c r="B26" s="53" t="s">
        <v>28</v>
      </c>
      <c r="C26" s="53" t="s">
        <v>29</v>
      </c>
      <c r="D26" s="55">
        <v>45142</v>
      </c>
      <c r="E26" s="53">
        <v>24</v>
      </c>
      <c r="F26" s="53">
        <v>83</v>
      </c>
      <c r="G26" s="53">
        <v>5</v>
      </c>
      <c r="H26" s="53" t="s">
        <v>35</v>
      </c>
      <c r="I26" s="53" t="s">
        <v>53</v>
      </c>
      <c r="J26" s="53">
        <v>7.1210000000000004</v>
      </c>
      <c r="K26" s="53">
        <v>3.3</v>
      </c>
      <c r="L26" s="53">
        <v>0.86</v>
      </c>
      <c r="M26" s="53">
        <v>168.333</v>
      </c>
      <c r="N26" s="61">
        <v>123.2102311</v>
      </c>
      <c r="O26" s="50"/>
      <c r="P26" s="58"/>
      <c r="Q26" s="58"/>
      <c r="R26" s="50"/>
      <c r="S26" s="56"/>
      <c r="T26" s="58"/>
      <c r="U26" s="56"/>
      <c r="V26" s="58"/>
      <c r="W26" s="58"/>
      <c r="X26" s="59"/>
      <c r="Y26" s="57"/>
      <c r="Z26" s="57"/>
    </row>
    <row r="27" spans="1:26" x14ac:dyDescent="0.3">
      <c r="A27" s="53" t="s">
        <v>85</v>
      </c>
      <c r="B27" s="53" t="s">
        <v>28</v>
      </c>
      <c r="C27" s="53" t="s">
        <v>29</v>
      </c>
      <c r="D27" s="55">
        <v>45143</v>
      </c>
      <c r="E27" s="53">
        <v>25</v>
      </c>
      <c r="F27" s="53">
        <v>83</v>
      </c>
      <c r="G27" s="53">
        <v>6</v>
      </c>
      <c r="H27" s="53" t="s">
        <v>35</v>
      </c>
      <c r="I27" s="53" t="s">
        <v>53</v>
      </c>
      <c r="J27" s="53">
        <v>7.1529999999999996</v>
      </c>
      <c r="K27" s="53">
        <v>3.24</v>
      </c>
      <c r="L27" s="53">
        <v>0.87</v>
      </c>
      <c r="M27" s="53">
        <v>143</v>
      </c>
      <c r="N27" s="61">
        <v>131.5361044</v>
      </c>
      <c r="O27" s="50"/>
      <c r="P27" s="58"/>
      <c r="Q27" s="58"/>
      <c r="R27" s="50"/>
      <c r="S27" s="56"/>
      <c r="T27" s="58"/>
      <c r="U27" s="56"/>
      <c r="V27" s="58"/>
      <c r="W27" s="58"/>
      <c r="X27" s="59"/>
      <c r="Y27" s="57"/>
      <c r="Z27" s="57"/>
    </row>
    <row r="28" spans="1:26" x14ac:dyDescent="0.3">
      <c r="A28" s="53" t="s">
        <v>85</v>
      </c>
      <c r="B28" s="53" t="s">
        <v>28</v>
      </c>
      <c r="C28" s="53" t="s">
        <v>29</v>
      </c>
      <c r="D28" s="55">
        <v>45144</v>
      </c>
      <c r="E28" s="53">
        <v>26</v>
      </c>
      <c r="F28" s="53">
        <v>83</v>
      </c>
      <c r="G28" s="53">
        <v>7</v>
      </c>
      <c r="H28" s="53" t="s">
        <v>35</v>
      </c>
      <c r="I28" s="53" t="s">
        <v>53</v>
      </c>
      <c r="J28" s="53">
        <v>7.1420000000000003</v>
      </c>
      <c r="K28" s="53">
        <v>3.16</v>
      </c>
      <c r="L28" s="53">
        <v>0.93</v>
      </c>
      <c r="M28" s="53">
        <v>188.333</v>
      </c>
      <c r="N28" s="61">
        <v>169.68146390000001</v>
      </c>
      <c r="O28" s="50"/>
      <c r="P28" s="58"/>
      <c r="Q28" s="58"/>
      <c r="R28" s="50"/>
      <c r="S28" s="56"/>
      <c r="T28" s="58"/>
      <c r="U28" s="56"/>
      <c r="V28" s="58"/>
      <c r="W28" s="58"/>
      <c r="X28" s="59"/>
      <c r="Y28" s="57"/>
      <c r="Z28" s="57"/>
    </row>
    <row r="29" spans="1:26" x14ac:dyDescent="0.3">
      <c r="A29" s="53" t="s">
        <v>85</v>
      </c>
      <c r="B29" s="53" t="s">
        <v>28</v>
      </c>
      <c r="C29" s="53" t="s">
        <v>29</v>
      </c>
      <c r="D29" s="55">
        <v>45145</v>
      </c>
      <c r="E29" s="53">
        <v>27</v>
      </c>
      <c r="F29" s="53">
        <v>83</v>
      </c>
      <c r="G29" s="53">
        <v>8</v>
      </c>
      <c r="H29" s="53" t="s">
        <v>35</v>
      </c>
      <c r="I29" s="53" t="s">
        <v>53</v>
      </c>
      <c r="J29" s="53">
        <v>7.0519999999999996</v>
      </c>
      <c r="K29" s="53">
        <v>3.09</v>
      </c>
      <c r="L29" s="53">
        <v>0.97</v>
      </c>
      <c r="M29" s="53">
        <v>200</v>
      </c>
      <c r="N29" s="61">
        <v>125.1716076</v>
      </c>
      <c r="O29" s="50"/>
      <c r="P29" s="58"/>
      <c r="Q29" s="58"/>
      <c r="R29" s="50"/>
      <c r="S29" s="56"/>
      <c r="T29" s="58"/>
      <c r="U29" s="56"/>
      <c r="V29" s="58"/>
      <c r="W29" s="58"/>
      <c r="X29" s="59"/>
      <c r="Y29" s="57"/>
      <c r="Z29" s="57"/>
    </row>
    <row r="30" spans="1:26" x14ac:dyDescent="0.3">
      <c r="A30" s="53" t="s">
        <v>85</v>
      </c>
      <c r="B30" s="53" t="s">
        <v>28</v>
      </c>
      <c r="C30" s="53" t="s">
        <v>29</v>
      </c>
      <c r="D30" s="55">
        <v>45146</v>
      </c>
      <c r="E30" s="53">
        <v>28</v>
      </c>
      <c r="F30" s="53">
        <v>83</v>
      </c>
      <c r="G30" s="53">
        <v>9</v>
      </c>
      <c r="H30" s="53" t="s">
        <v>35</v>
      </c>
      <c r="I30" s="53" t="s">
        <v>53</v>
      </c>
      <c r="J30" s="53">
        <v>7.0389999999999997</v>
      </c>
      <c r="K30" s="53">
        <v>3.07</v>
      </c>
      <c r="L30" s="53">
        <v>0.98</v>
      </c>
      <c r="M30" s="53">
        <v>273.33300000000003</v>
      </c>
      <c r="N30" s="62">
        <v>152.49133839999999</v>
      </c>
      <c r="O30" s="50"/>
      <c r="P30" s="58"/>
      <c r="Q30" s="58"/>
      <c r="R30" s="50"/>
      <c r="S30" s="56"/>
      <c r="T30" s="58"/>
      <c r="U30" s="56"/>
      <c r="V30" s="58"/>
      <c r="W30" s="58"/>
      <c r="X30" s="59"/>
      <c r="Y30" s="57"/>
      <c r="Z30" s="57"/>
    </row>
    <row r="31" spans="1:26" x14ac:dyDescent="0.3">
      <c r="A31" s="53" t="s">
        <v>85</v>
      </c>
      <c r="B31" s="53" t="s">
        <v>28</v>
      </c>
      <c r="C31" s="53" t="s">
        <v>29</v>
      </c>
      <c r="D31" s="55">
        <v>45147</v>
      </c>
      <c r="E31" s="53">
        <v>29</v>
      </c>
      <c r="F31" s="53">
        <v>83</v>
      </c>
      <c r="G31" s="53">
        <v>10</v>
      </c>
      <c r="H31" s="53" t="s">
        <v>33</v>
      </c>
      <c r="I31" s="53" t="s">
        <v>53</v>
      </c>
      <c r="J31" s="53">
        <v>7.0709999999999997</v>
      </c>
      <c r="K31" s="53">
        <v>3.1</v>
      </c>
      <c r="L31" s="53">
        <v>0.95</v>
      </c>
      <c r="M31" s="53">
        <v>260</v>
      </c>
      <c r="N31" s="60">
        <v>143.23136834236979</v>
      </c>
      <c r="O31" s="50"/>
      <c r="P31" s="51">
        <v>5640000</v>
      </c>
      <c r="Q31" s="51">
        <v>3517000</v>
      </c>
      <c r="R31" s="52">
        <f>Q31/P31</f>
        <v>0.62358156028368794</v>
      </c>
      <c r="S31" s="53">
        <v>1800</v>
      </c>
      <c r="T31" s="51">
        <f>Q31*S31</f>
        <v>6330600000</v>
      </c>
      <c r="U31" s="53">
        <v>1760</v>
      </c>
      <c r="V31" s="51">
        <f>Q31*U31</f>
        <v>6189920000</v>
      </c>
      <c r="W31" s="51">
        <v>6000000000</v>
      </c>
      <c r="X31" s="54">
        <f>V31/W31</f>
        <v>1.0316533333333333</v>
      </c>
      <c r="Y31" s="54">
        <f>(T31-V21)/V21</f>
        <v>1.2452757916241062</v>
      </c>
      <c r="Z31" s="54">
        <f>Y31/(D31-D21)</f>
        <v>0.12452757916241061</v>
      </c>
    </row>
    <row r="32" spans="1:26" x14ac:dyDescent="0.3">
      <c r="A32" s="53" t="s">
        <v>85</v>
      </c>
      <c r="B32" s="53" t="s">
        <v>28</v>
      </c>
      <c r="C32" s="53" t="s">
        <v>29</v>
      </c>
      <c r="D32" s="55">
        <v>45148</v>
      </c>
      <c r="E32" s="53">
        <v>30</v>
      </c>
      <c r="F32" s="53">
        <v>84</v>
      </c>
      <c r="G32" s="53">
        <v>1</v>
      </c>
      <c r="H32" s="53" t="s">
        <v>35</v>
      </c>
      <c r="I32" s="53" t="s">
        <v>53</v>
      </c>
      <c r="J32" s="53">
        <v>7.3710000000000004</v>
      </c>
      <c r="K32" s="53">
        <v>3.77</v>
      </c>
      <c r="L32" s="53">
        <v>0.22</v>
      </c>
      <c r="M32" s="53">
        <f>AVERAGE(97.025,90.675)</f>
        <v>93.85</v>
      </c>
      <c r="N32" s="60">
        <f>AVERAGE(69.09108316,47.47847818)</f>
        <v>58.284780670000004</v>
      </c>
      <c r="O32" s="50"/>
      <c r="P32" s="58"/>
      <c r="Q32" s="58"/>
      <c r="R32" s="50"/>
      <c r="S32" s="56"/>
      <c r="T32" s="58"/>
      <c r="U32" s="56"/>
      <c r="V32" s="58"/>
      <c r="W32" s="58"/>
      <c r="X32" s="59"/>
      <c r="Y32" s="57"/>
      <c r="Z32" s="57"/>
    </row>
    <row r="33" spans="1:26" x14ac:dyDescent="0.3">
      <c r="A33" s="53" t="s">
        <v>85</v>
      </c>
      <c r="B33" s="53" t="s">
        <v>28</v>
      </c>
      <c r="C33" s="53" t="s">
        <v>29</v>
      </c>
      <c r="D33" s="55">
        <v>45149</v>
      </c>
      <c r="E33" s="53">
        <v>31</v>
      </c>
      <c r="F33" s="53">
        <v>84</v>
      </c>
      <c r="G33" s="53">
        <v>2</v>
      </c>
      <c r="H33" s="53" t="s">
        <v>35</v>
      </c>
      <c r="I33" s="53" t="s">
        <v>53</v>
      </c>
      <c r="J33" s="53">
        <v>7.3319999999999999</v>
      </c>
      <c r="K33" s="53">
        <v>3.74</v>
      </c>
      <c r="L33" s="53">
        <v>0.41</v>
      </c>
      <c r="M33" s="53">
        <v>97.924999999999997</v>
      </c>
      <c r="N33" s="60">
        <f>AVERAGE(90.44910084,63.4797727)</f>
        <v>76.964436769999992</v>
      </c>
      <c r="O33" s="50"/>
      <c r="P33" s="58"/>
      <c r="Q33" s="58"/>
      <c r="R33" s="50"/>
      <c r="S33" s="56"/>
      <c r="T33" s="58"/>
      <c r="U33" s="56"/>
      <c r="V33" s="58"/>
      <c r="W33" s="58"/>
      <c r="X33" s="57"/>
      <c r="Y33" s="57"/>
      <c r="Z33" s="57"/>
    </row>
    <row r="34" spans="1:26" x14ac:dyDescent="0.3">
      <c r="A34" s="53" t="s">
        <v>85</v>
      </c>
      <c r="B34" s="53" t="s">
        <v>28</v>
      </c>
      <c r="C34" s="53" t="s">
        <v>29</v>
      </c>
      <c r="D34" s="55">
        <v>45150</v>
      </c>
      <c r="E34" s="53">
        <v>32</v>
      </c>
      <c r="F34" s="53">
        <v>84</v>
      </c>
      <c r="G34" s="53">
        <v>3</v>
      </c>
      <c r="H34" s="53" t="s">
        <v>35</v>
      </c>
      <c r="I34" s="53" t="s">
        <v>53</v>
      </c>
      <c r="J34" s="53">
        <v>7.28</v>
      </c>
      <c r="K34" s="53">
        <v>3.65</v>
      </c>
      <c r="L34" s="53">
        <v>0.5</v>
      </c>
      <c r="M34" s="53">
        <v>200</v>
      </c>
      <c r="N34" s="60">
        <f>AVERAGE(84.13397966,116.4617098)</f>
        <v>100.29784472999999</v>
      </c>
      <c r="O34" s="50"/>
      <c r="P34" s="58"/>
      <c r="Q34" s="58"/>
      <c r="R34" s="50"/>
      <c r="S34" s="56"/>
      <c r="T34" s="58"/>
      <c r="U34" s="56"/>
      <c r="V34" s="58"/>
      <c r="W34" s="58"/>
      <c r="X34" s="57"/>
      <c r="Y34" s="57"/>
      <c r="Z34" s="57"/>
    </row>
    <row r="35" spans="1:26" x14ac:dyDescent="0.3">
      <c r="A35" s="53" t="s">
        <v>85</v>
      </c>
      <c r="B35" s="53" t="s">
        <v>28</v>
      </c>
      <c r="C35" s="53" t="s">
        <v>29</v>
      </c>
      <c r="D35" s="55">
        <v>45151</v>
      </c>
      <c r="E35" s="53">
        <v>33</v>
      </c>
      <c r="F35" s="53">
        <v>84</v>
      </c>
      <c r="G35" s="53">
        <v>4</v>
      </c>
      <c r="H35" s="53" t="s">
        <v>35</v>
      </c>
      <c r="I35" s="53" t="s">
        <v>53</v>
      </c>
      <c r="J35" s="53">
        <v>7.2389999999999999</v>
      </c>
      <c r="K35" s="53">
        <v>3.56</v>
      </c>
      <c r="L35" s="53">
        <v>0.6</v>
      </c>
      <c r="M35" s="53">
        <v>153</v>
      </c>
      <c r="N35" s="60">
        <f>AVERAGE(105.7774634,92.54216227)</f>
        <v>99.159812834999997</v>
      </c>
      <c r="O35" s="50"/>
      <c r="P35" s="58"/>
      <c r="Q35" s="58"/>
      <c r="R35" s="50"/>
      <c r="S35" s="56"/>
      <c r="T35" s="58"/>
      <c r="U35" s="56"/>
      <c r="V35" s="58"/>
      <c r="W35" s="58"/>
      <c r="X35" s="57"/>
      <c r="Y35" s="57"/>
      <c r="Z35" s="57"/>
    </row>
    <row r="36" spans="1:26" x14ac:dyDescent="0.3">
      <c r="A36" s="53" t="s">
        <v>85</v>
      </c>
      <c r="B36" s="53" t="s">
        <v>28</v>
      </c>
      <c r="C36" s="53" t="s">
        <v>29</v>
      </c>
      <c r="D36" s="55">
        <v>45152</v>
      </c>
      <c r="E36" s="53">
        <v>34</v>
      </c>
      <c r="F36" s="53">
        <v>84</v>
      </c>
      <c r="G36" s="53">
        <v>5</v>
      </c>
      <c r="H36" s="53" t="s">
        <v>35</v>
      </c>
      <c r="I36" s="53" t="s">
        <v>53</v>
      </c>
      <c r="J36" s="53">
        <v>7.2130000000000001</v>
      </c>
      <c r="K36" s="53">
        <v>3.43</v>
      </c>
      <c r="L36" s="53">
        <v>0.7</v>
      </c>
      <c r="M36" s="53">
        <f>AVERAGE(193.333,156.667)</f>
        <v>175</v>
      </c>
      <c r="N36" s="60">
        <f>AVERAGE(105.9722266,88.28312039)</f>
        <v>97.127673494999996</v>
      </c>
      <c r="O36" s="50"/>
      <c r="P36" s="58"/>
      <c r="Q36" s="58"/>
      <c r="R36" s="50"/>
      <c r="S36" s="56"/>
      <c r="T36" s="58"/>
      <c r="U36" s="56"/>
      <c r="V36" s="58"/>
      <c r="W36" s="58"/>
      <c r="X36" s="57"/>
      <c r="Y36" s="57"/>
      <c r="Z36" s="57"/>
    </row>
    <row r="37" spans="1:26" x14ac:dyDescent="0.3">
      <c r="A37" s="53" t="s">
        <v>85</v>
      </c>
      <c r="B37" s="53" t="s">
        <v>28</v>
      </c>
      <c r="C37" s="53" t="s">
        <v>29</v>
      </c>
      <c r="D37" s="55">
        <v>45153</v>
      </c>
      <c r="E37" s="53">
        <v>35</v>
      </c>
      <c r="F37" s="53">
        <v>84</v>
      </c>
      <c r="G37" s="53">
        <v>6</v>
      </c>
      <c r="H37" s="53" t="s">
        <v>35</v>
      </c>
      <c r="I37" s="53" t="s">
        <v>53</v>
      </c>
      <c r="J37" s="53">
        <v>7.1509999999999998</v>
      </c>
      <c r="K37" s="53">
        <v>3.4</v>
      </c>
      <c r="L37" s="53">
        <v>0.72</v>
      </c>
      <c r="M37" s="60">
        <f>AVERAGE(256.667,240)</f>
        <v>248.33349999999999</v>
      </c>
      <c r="N37" s="60">
        <f>AVERAGE(102.5688745,85.60512817)</f>
        <v>94.087001334999997</v>
      </c>
      <c r="O37" s="50"/>
      <c r="P37" s="58"/>
      <c r="Q37" s="58"/>
      <c r="R37" s="50"/>
      <c r="S37" s="56"/>
      <c r="T37" s="58"/>
      <c r="U37" s="56"/>
      <c r="V37" s="58"/>
      <c r="W37" s="58"/>
      <c r="X37" s="57"/>
      <c r="Y37" s="57"/>
      <c r="Z37" s="57"/>
    </row>
    <row r="38" spans="1:26" x14ac:dyDescent="0.3">
      <c r="A38" s="53" t="s">
        <v>85</v>
      </c>
      <c r="B38" s="53" t="s">
        <v>28</v>
      </c>
      <c r="C38" s="53" t="s">
        <v>29</v>
      </c>
      <c r="D38" s="55">
        <v>45154</v>
      </c>
      <c r="E38" s="53">
        <v>36</v>
      </c>
      <c r="F38" s="53">
        <v>84</v>
      </c>
      <c r="G38" s="53">
        <v>7</v>
      </c>
      <c r="H38" s="53" t="s">
        <v>35</v>
      </c>
      <c r="I38" s="53" t="s">
        <v>53</v>
      </c>
      <c r="J38" s="53">
        <v>7.11</v>
      </c>
      <c r="K38" s="53">
        <v>3.32</v>
      </c>
      <c r="L38" s="53">
        <v>0.78</v>
      </c>
      <c r="M38" s="53">
        <f>AVERAGE(236.667,283.333)</f>
        <v>260</v>
      </c>
      <c r="N38" s="60">
        <f>AVERAGE(152.2599647,123.4494762,113.725535,106.2325902,86.75530805)</f>
        <v>116.48457483</v>
      </c>
      <c r="O38" s="50"/>
      <c r="P38" s="58"/>
      <c r="Q38" s="58"/>
      <c r="R38" s="50"/>
      <c r="S38" s="56"/>
      <c r="T38" s="58"/>
      <c r="U38" s="56"/>
      <c r="V38" s="58"/>
      <c r="W38" s="58"/>
      <c r="X38" s="57"/>
      <c r="Y38" s="57"/>
      <c r="Z38" s="57"/>
    </row>
    <row r="39" spans="1:26" x14ac:dyDescent="0.3">
      <c r="A39" s="53" t="s">
        <v>85</v>
      </c>
      <c r="B39" s="53" t="s">
        <v>28</v>
      </c>
      <c r="C39" s="53" t="s">
        <v>29</v>
      </c>
      <c r="D39" s="55">
        <v>45155</v>
      </c>
      <c r="E39" s="53">
        <v>37</v>
      </c>
      <c r="F39" s="53">
        <v>84</v>
      </c>
      <c r="G39" s="53">
        <v>8</v>
      </c>
      <c r="H39" s="53" t="s">
        <v>35</v>
      </c>
      <c r="I39" s="53" t="s">
        <v>53</v>
      </c>
      <c r="J39" s="53">
        <v>7.133</v>
      </c>
      <c r="K39" s="53">
        <v>3.3</v>
      </c>
      <c r="L39" s="53">
        <v>0.88</v>
      </c>
      <c r="M39" s="60">
        <f>AVERAGE(191.667,260)</f>
        <v>225.83350000000002</v>
      </c>
      <c r="N39" s="60">
        <f>AVERAGE(132.9790266,77.74832914)</f>
        <v>105.36367787</v>
      </c>
      <c r="O39" s="50"/>
      <c r="P39" s="58"/>
      <c r="Q39" s="58"/>
      <c r="R39" s="50"/>
      <c r="S39" s="56"/>
      <c r="T39" s="58"/>
      <c r="U39" s="56"/>
      <c r="V39" s="58"/>
      <c r="W39" s="58"/>
      <c r="X39" s="57"/>
      <c r="Y39" s="57"/>
      <c r="Z39" s="57"/>
    </row>
    <row r="40" spans="1:26" x14ac:dyDescent="0.3">
      <c r="A40" s="53" t="s">
        <v>85</v>
      </c>
      <c r="B40" s="53" t="s">
        <v>28</v>
      </c>
      <c r="C40" s="53" t="s">
        <v>29</v>
      </c>
      <c r="D40" s="55">
        <v>45156</v>
      </c>
      <c r="E40" s="53">
        <v>38</v>
      </c>
      <c r="F40" s="53">
        <v>84</v>
      </c>
      <c r="G40" s="53">
        <v>9</v>
      </c>
      <c r="H40" s="53" t="s">
        <v>35</v>
      </c>
      <c r="I40" s="53" t="s">
        <v>53</v>
      </c>
      <c r="J40" s="53">
        <v>7.1050000000000004</v>
      </c>
      <c r="K40" s="53">
        <v>3.15</v>
      </c>
      <c r="L40" s="53">
        <v>0.91</v>
      </c>
      <c r="M40" s="53">
        <v>253.875</v>
      </c>
      <c r="N40" s="60">
        <f>AVERAGE(201.758047,143.0387061)</f>
        <v>172.39837655000002</v>
      </c>
      <c r="O40" s="50"/>
      <c r="P40" s="58"/>
      <c r="Q40" s="58"/>
      <c r="R40" s="50"/>
      <c r="S40" s="56"/>
      <c r="T40" s="58"/>
      <c r="U40" s="56"/>
      <c r="V40" s="58"/>
      <c r="W40" s="58"/>
      <c r="X40" s="57"/>
      <c r="Y40" s="57"/>
      <c r="Z40" s="57"/>
    </row>
    <row r="41" spans="1:26" x14ac:dyDescent="0.3">
      <c r="A41" s="53" t="s">
        <v>85</v>
      </c>
      <c r="B41" s="53" t="s">
        <v>28</v>
      </c>
      <c r="C41" s="53" t="s">
        <v>29</v>
      </c>
      <c r="D41" s="55">
        <v>45157</v>
      </c>
      <c r="E41" s="53">
        <v>39</v>
      </c>
      <c r="F41" s="53">
        <v>84</v>
      </c>
      <c r="G41" s="53">
        <v>10</v>
      </c>
      <c r="H41" s="53" t="s">
        <v>33</v>
      </c>
      <c r="I41" s="53" t="s">
        <v>53</v>
      </c>
      <c r="J41" s="53">
        <v>7.0919999999999996</v>
      </c>
      <c r="K41" s="53">
        <v>3.23</v>
      </c>
      <c r="L41" s="53">
        <v>0.82</v>
      </c>
      <c r="M41" s="53">
        <v>248.334</v>
      </c>
      <c r="N41" s="60">
        <f>AVERAGE(136.916695, 53.88572588,77.29342559,94.75096687,172.4659535)</f>
        <v>107.062553368</v>
      </c>
      <c r="O41" s="50"/>
      <c r="P41" s="51">
        <v>7435000</v>
      </c>
      <c r="Q41" s="51">
        <v>4607000</v>
      </c>
      <c r="R41" s="52">
        <f>Q41/P41</f>
        <v>0.61963685272360458</v>
      </c>
      <c r="S41" s="53">
        <v>3550</v>
      </c>
      <c r="T41" s="51">
        <f>(AVERAGE(6410000,6450000,6530000)*1800)+(AVERAGE(2820000,2730000,2700000)*1750)</f>
        <v>16446500000</v>
      </c>
      <c r="U41" s="53">
        <v>2052</v>
      </c>
      <c r="V41" s="51">
        <f>(AVERAGE(6410000,6450000,6530000)*1152)+(AVERAGE(2820000,2730000,2700000)*900)</f>
        <v>9920760000</v>
      </c>
      <c r="W41" s="51">
        <v>9000000000</v>
      </c>
      <c r="X41" s="54">
        <f>V41/W41</f>
        <v>1.1023066666666668</v>
      </c>
      <c r="Y41" s="54">
        <f>(T41-V31)/V31</f>
        <v>1.6569810272184455</v>
      </c>
      <c r="Z41" s="54">
        <f>Y41/(D41-D31)</f>
        <v>0.16569810272184454</v>
      </c>
    </row>
    <row r="42" spans="1:26" x14ac:dyDescent="0.3">
      <c r="A42" s="53" t="s">
        <v>85</v>
      </c>
      <c r="B42" s="53" t="s">
        <v>28</v>
      </c>
      <c r="C42" s="53" t="s">
        <v>29</v>
      </c>
      <c r="D42" s="55">
        <v>45158</v>
      </c>
      <c r="E42" s="53">
        <v>40</v>
      </c>
      <c r="F42" s="53">
        <v>85</v>
      </c>
      <c r="G42" s="53">
        <v>1</v>
      </c>
      <c r="H42" s="53" t="s">
        <v>35</v>
      </c>
      <c r="I42" s="53" t="s">
        <v>53</v>
      </c>
      <c r="J42" s="53">
        <v>7.3559999999999999</v>
      </c>
      <c r="K42" s="53">
        <v>3.75</v>
      </c>
      <c r="L42" s="53">
        <v>0.2</v>
      </c>
      <c r="M42" s="53">
        <f>AVERAGE(71.333,76,76.667)</f>
        <v>74.666666666666671</v>
      </c>
      <c r="N42" s="60">
        <f>AVERAGE(57.8513283,56.97259391,53.48713193,54.12819939,47.783797,60.80438528)</f>
        <v>55.171239301666674</v>
      </c>
      <c r="O42" s="50"/>
      <c r="P42" s="58"/>
      <c r="Q42" s="58"/>
      <c r="R42" s="50"/>
      <c r="S42" s="56"/>
      <c r="T42" s="58"/>
      <c r="U42" s="56"/>
      <c r="V42" s="58"/>
      <c r="W42" s="58"/>
      <c r="X42" s="57"/>
      <c r="Y42" s="57"/>
      <c r="Z42" s="57"/>
    </row>
    <row r="43" spans="1:26" x14ac:dyDescent="0.3">
      <c r="A43" s="53" t="s">
        <v>85</v>
      </c>
      <c r="B43" s="53" t="s">
        <v>28</v>
      </c>
      <c r="C43" s="53" t="s">
        <v>29</v>
      </c>
      <c r="D43" s="55">
        <v>45159</v>
      </c>
      <c r="E43" s="53">
        <v>41</v>
      </c>
      <c r="F43" s="53">
        <v>85</v>
      </c>
      <c r="G43" s="53">
        <v>2</v>
      </c>
      <c r="H43" s="53" t="s">
        <v>76</v>
      </c>
      <c r="I43" s="53" t="s">
        <v>53</v>
      </c>
      <c r="J43" s="50"/>
      <c r="K43" s="50"/>
      <c r="L43" s="50"/>
      <c r="M43" s="50"/>
      <c r="N43" s="50"/>
      <c r="O43" s="50"/>
      <c r="P43" s="58"/>
      <c r="Q43" s="58"/>
      <c r="R43" s="50"/>
      <c r="S43" s="56"/>
      <c r="T43" s="58"/>
      <c r="U43" s="56"/>
      <c r="V43" s="58"/>
      <c r="W43" s="58"/>
      <c r="X43" s="57"/>
      <c r="Y43" s="57"/>
      <c r="Z43" s="57"/>
    </row>
    <row r="44" spans="1:26" x14ac:dyDescent="0.3">
      <c r="A44" s="53" t="s">
        <v>85</v>
      </c>
      <c r="B44" s="53" t="s">
        <v>28</v>
      </c>
      <c r="C44" s="53" t="s">
        <v>29</v>
      </c>
      <c r="D44" s="55">
        <v>45160</v>
      </c>
      <c r="E44" s="53">
        <v>42</v>
      </c>
      <c r="F44" s="53">
        <v>85</v>
      </c>
      <c r="G44" s="53">
        <v>3</v>
      </c>
      <c r="H44" s="53" t="s">
        <v>78</v>
      </c>
      <c r="I44" s="53" t="s">
        <v>53</v>
      </c>
      <c r="J44" s="53">
        <v>7.2249999999999996</v>
      </c>
      <c r="K44" s="53">
        <v>3.38</v>
      </c>
      <c r="L44" s="53">
        <v>0.72</v>
      </c>
      <c r="M44" s="53">
        <v>208.733</v>
      </c>
      <c r="N44" s="60">
        <f>AVERAGE(84.79116944,81.87525079,90.58181333,91.23508965,92.99393134,97.59043118)</f>
        <v>89.844614288333332</v>
      </c>
      <c r="O44" s="50"/>
      <c r="P44" s="58"/>
      <c r="Q44" s="58"/>
      <c r="R44" s="50"/>
      <c r="S44" s="56"/>
      <c r="T44" s="58"/>
      <c r="U44" s="56"/>
      <c r="V44" s="58"/>
      <c r="W44" s="58"/>
      <c r="X44" s="57"/>
      <c r="Y44" s="57"/>
      <c r="Z44" s="57"/>
    </row>
    <row r="45" spans="1:26" x14ac:dyDescent="0.3">
      <c r="A45" s="53" t="s">
        <v>85</v>
      </c>
      <c r="B45" s="53" t="s">
        <v>28</v>
      </c>
      <c r="C45" s="53" t="s">
        <v>29</v>
      </c>
      <c r="D45" s="55">
        <v>45161</v>
      </c>
      <c r="E45" s="53">
        <v>43</v>
      </c>
      <c r="F45" s="53">
        <v>85</v>
      </c>
      <c r="G45" s="53">
        <v>4</v>
      </c>
      <c r="H45" s="53" t="s">
        <v>76</v>
      </c>
      <c r="I45" s="53" t="s">
        <v>53</v>
      </c>
      <c r="J45" s="50"/>
      <c r="K45" s="50"/>
      <c r="L45" s="50"/>
      <c r="M45" s="50"/>
      <c r="N45" s="50"/>
      <c r="O45" s="50"/>
      <c r="P45" s="58"/>
      <c r="Q45" s="58"/>
      <c r="R45" s="50"/>
      <c r="S45" s="56"/>
      <c r="T45" s="58"/>
      <c r="U45" s="56"/>
      <c r="V45" s="58"/>
      <c r="W45" s="58"/>
      <c r="X45" s="57"/>
      <c r="Y45" s="57"/>
      <c r="Z45" s="57"/>
    </row>
    <row r="46" spans="1:26" x14ac:dyDescent="0.3">
      <c r="A46" s="53" t="s">
        <v>85</v>
      </c>
      <c r="B46" s="53" t="s">
        <v>28</v>
      </c>
      <c r="C46" s="53" t="s">
        <v>29</v>
      </c>
      <c r="D46" s="55">
        <v>45162</v>
      </c>
      <c r="E46" s="53">
        <v>44</v>
      </c>
      <c r="F46" s="53">
        <v>85</v>
      </c>
      <c r="G46" s="53">
        <v>5</v>
      </c>
      <c r="H46" s="53" t="s">
        <v>78</v>
      </c>
      <c r="I46" s="53" t="s">
        <v>53</v>
      </c>
      <c r="J46" s="53">
        <v>7.15</v>
      </c>
      <c r="K46" s="53">
        <v>3.14</v>
      </c>
      <c r="L46" s="53">
        <v>0.88</v>
      </c>
      <c r="M46" s="53">
        <v>143.333</v>
      </c>
      <c r="N46" s="60">
        <f>AVERAGE(105.7037206,103.8155545,73.65906031,74.0435913,71.95730491,75.80513932)</f>
        <v>84.164061823333341</v>
      </c>
      <c r="O46" s="50"/>
      <c r="P46" s="58"/>
      <c r="Q46" s="58"/>
      <c r="R46" s="50"/>
      <c r="S46" s="56"/>
      <c r="T46" s="58"/>
      <c r="U46" s="56"/>
      <c r="V46" s="58"/>
      <c r="W46" s="58"/>
      <c r="X46" s="57"/>
      <c r="Y46" s="57"/>
      <c r="Z46" s="57"/>
    </row>
    <row r="47" spans="1:26" x14ac:dyDescent="0.3">
      <c r="A47" s="53" t="s">
        <v>85</v>
      </c>
      <c r="B47" s="53" t="s">
        <v>28</v>
      </c>
      <c r="C47" s="53" t="s">
        <v>29</v>
      </c>
      <c r="D47" s="55">
        <v>45163</v>
      </c>
      <c r="E47" s="53">
        <v>45</v>
      </c>
      <c r="F47" s="53">
        <v>85</v>
      </c>
      <c r="G47" s="53">
        <v>6</v>
      </c>
      <c r="H47" s="53" t="s">
        <v>76</v>
      </c>
      <c r="I47" s="53" t="s">
        <v>53</v>
      </c>
      <c r="J47" s="50"/>
      <c r="K47" s="50"/>
      <c r="L47" s="50"/>
      <c r="M47" s="50"/>
      <c r="N47" s="50"/>
      <c r="O47" s="50"/>
      <c r="P47" s="58"/>
      <c r="Q47" s="58"/>
      <c r="R47" s="50"/>
      <c r="S47" s="56"/>
      <c r="T47" s="58"/>
      <c r="U47" s="56"/>
      <c r="V47" s="58"/>
      <c r="W47" s="58"/>
      <c r="X47" s="57"/>
      <c r="Y47" s="57"/>
      <c r="Z47" s="57"/>
    </row>
    <row r="48" spans="1:26" x14ac:dyDescent="0.3">
      <c r="A48" s="53" t="s">
        <v>85</v>
      </c>
      <c r="B48" s="53" t="s">
        <v>28</v>
      </c>
      <c r="C48" s="53" t="s">
        <v>29</v>
      </c>
      <c r="D48" s="55">
        <v>45164</v>
      </c>
      <c r="E48" s="53">
        <v>46</v>
      </c>
      <c r="F48" s="53">
        <v>85</v>
      </c>
      <c r="G48" s="53">
        <v>7</v>
      </c>
      <c r="H48" s="53" t="s">
        <v>78</v>
      </c>
      <c r="I48" s="53" t="s">
        <v>53</v>
      </c>
      <c r="J48" s="53">
        <v>7.0910000000000002</v>
      </c>
      <c r="K48" s="53">
        <v>3.02</v>
      </c>
      <c r="L48" s="53">
        <v>0.99</v>
      </c>
      <c r="M48" s="53">
        <v>148</v>
      </c>
      <c r="N48" s="60">
        <f>AVERAGE(127.1505773,117.8476842,119.7608527,128.3723587,135.1870858,135.3066836)</f>
        <v>127.27087371666669</v>
      </c>
      <c r="O48" s="50"/>
      <c r="P48" s="58"/>
      <c r="Q48" s="58"/>
      <c r="R48" s="50"/>
      <c r="S48" s="56"/>
      <c r="T48" s="58"/>
      <c r="U48" s="56"/>
      <c r="V48" s="58"/>
      <c r="W48" s="58"/>
      <c r="X48" s="57"/>
      <c r="Y48" s="57"/>
      <c r="Z48" s="57"/>
    </row>
    <row r="49" spans="1:26" x14ac:dyDescent="0.3">
      <c r="A49" s="53" t="s">
        <v>85</v>
      </c>
      <c r="B49" s="53" t="s">
        <v>28</v>
      </c>
      <c r="C49" s="53" t="s">
        <v>29</v>
      </c>
      <c r="D49" s="55">
        <v>45165</v>
      </c>
      <c r="E49" s="53">
        <v>47</v>
      </c>
      <c r="F49" s="53">
        <v>85</v>
      </c>
      <c r="G49" s="53">
        <v>8</v>
      </c>
      <c r="H49" s="53" t="s">
        <v>76</v>
      </c>
      <c r="I49" s="53" t="s">
        <v>53</v>
      </c>
      <c r="J49" s="50"/>
      <c r="K49" s="50"/>
      <c r="L49" s="50"/>
      <c r="M49" s="50"/>
      <c r="N49" s="50"/>
      <c r="O49" s="50"/>
      <c r="P49" s="58"/>
      <c r="Q49" s="58"/>
      <c r="R49" s="50"/>
      <c r="S49" s="56"/>
      <c r="T49" s="58"/>
      <c r="U49" s="56"/>
      <c r="V49" s="58"/>
      <c r="W49" s="58"/>
      <c r="X49" s="57"/>
      <c r="Y49" s="57"/>
      <c r="Z49" s="57"/>
    </row>
    <row r="50" spans="1:26" x14ac:dyDescent="0.3">
      <c r="A50" s="53" t="s">
        <v>85</v>
      </c>
      <c r="B50" s="53" t="s">
        <v>28</v>
      </c>
      <c r="C50" s="53" t="s">
        <v>29</v>
      </c>
      <c r="D50" s="55">
        <v>45166</v>
      </c>
      <c r="E50" s="53">
        <v>48</v>
      </c>
      <c r="F50" s="53">
        <v>85</v>
      </c>
      <c r="G50" s="53">
        <v>9</v>
      </c>
      <c r="H50" s="53" t="s">
        <v>78</v>
      </c>
      <c r="I50" s="53" t="s">
        <v>53</v>
      </c>
      <c r="J50" s="53">
        <v>7.0789999999999997</v>
      </c>
      <c r="K50" s="53">
        <v>2.95</v>
      </c>
      <c r="L50" s="53">
        <v>1.1299999999999999</v>
      </c>
      <c r="M50" s="53">
        <v>173.167</v>
      </c>
      <c r="N50" s="60">
        <f>AVERAGE(132.2934925,128.158789,150.0936974)</f>
        <v>136.84865963333334</v>
      </c>
      <c r="O50" s="50"/>
      <c r="P50" s="58"/>
      <c r="Q50" s="58"/>
      <c r="R50" s="50"/>
      <c r="S50" s="56"/>
      <c r="T50" s="58"/>
      <c r="U50" s="56"/>
      <c r="V50" s="58"/>
      <c r="W50" s="58"/>
      <c r="X50" s="57"/>
      <c r="Y50" s="57"/>
      <c r="Z50" s="57"/>
    </row>
    <row r="51" spans="1:26" x14ac:dyDescent="0.3">
      <c r="A51" s="53" t="s">
        <v>85</v>
      </c>
      <c r="B51" s="53" t="s">
        <v>28</v>
      </c>
      <c r="C51" s="53" t="s">
        <v>29</v>
      </c>
      <c r="D51" s="55">
        <v>45167</v>
      </c>
      <c r="E51" s="53">
        <v>49</v>
      </c>
      <c r="F51" s="53">
        <v>85</v>
      </c>
      <c r="G51" s="53">
        <v>10</v>
      </c>
      <c r="H51" s="53" t="s">
        <v>76</v>
      </c>
      <c r="I51" s="53" t="s">
        <v>53</v>
      </c>
      <c r="J51" s="50"/>
      <c r="K51" s="50"/>
      <c r="L51" s="50"/>
      <c r="M51" s="50"/>
      <c r="N51" s="50"/>
      <c r="O51" s="50"/>
      <c r="P51" s="58"/>
      <c r="Q51" s="58"/>
      <c r="R51" s="50"/>
      <c r="S51" s="56"/>
      <c r="T51" s="58"/>
      <c r="U51" s="56"/>
      <c r="V51" s="58"/>
      <c r="W51" s="58"/>
      <c r="X51" s="57"/>
      <c r="Y51" s="57"/>
      <c r="Z51" s="57"/>
    </row>
    <row r="52" spans="1:26" x14ac:dyDescent="0.3">
      <c r="A52" s="53" t="s">
        <v>85</v>
      </c>
      <c r="B52" s="53" t="s">
        <v>28</v>
      </c>
      <c r="C52" s="53" t="s">
        <v>29</v>
      </c>
      <c r="D52" s="55">
        <v>45168</v>
      </c>
      <c r="E52" s="53">
        <v>50</v>
      </c>
      <c r="F52" s="53">
        <v>85</v>
      </c>
      <c r="G52" s="53">
        <v>11</v>
      </c>
      <c r="H52" s="53" t="s">
        <v>78</v>
      </c>
      <c r="I52" s="53" t="s">
        <v>53</v>
      </c>
      <c r="J52" s="53">
        <v>7.0510000000000002</v>
      </c>
      <c r="K52" s="53">
        <v>2.86</v>
      </c>
      <c r="L52" s="53">
        <v>1.1000000000000001</v>
      </c>
      <c r="M52" s="60">
        <f>AVERAGE(216.667,250,230)</f>
        <v>232.22233333333335</v>
      </c>
      <c r="N52" s="60">
        <f>AVERAGE(86.50619677,185.9472351,163.084162,163.8367132,133.4696511,160.8893165)</f>
        <v>148.95554577833332</v>
      </c>
      <c r="O52" s="50"/>
      <c r="P52" s="58"/>
      <c r="Q52" s="58"/>
      <c r="R52" s="50"/>
      <c r="S52" s="56"/>
      <c r="T52" s="58"/>
      <c r="U52" s="56"/>
      <c r="V52" s="58"/>
      <c r="W52" s="58"/>
      <c r="X52" s="57"/>
      <c r="Y52" s="57"/>
      <c r="Z52" s="57"/>
    </row>
    <row r="53" spans="1:26" x14ac:dyDescent="0.3">
      <c r="A53" s="53" t="s">
        <v>85</v>
      </c>
      <c r="B53" s="53" t="s">
        <v>28</v>
      </c>
      <c r="C53" s="53" t="s">
        <v>29</v>
      </c>
      <c r="D53" s="55">
        <v>45169</v>
      </c>
      <c r="E53" s="53">
        <v>51</v>
      </c>
      <c r="F53" s="53">
        <v>85</v>
      </c>
      <c r="G53" s="53">
        <v>12</v>
      </c>
      <c r="H53" s="53" t="s">
        <v>76</v>
      </c>
      <c r="I53" s="53" t="s">
        <v>53</v>
      </c>
      <c r="J53" s="50"/>
      <c r="K53" s="50"/>
      <c r="L53" s="50"/>
      <c r="M53" s="50"/>
      <c r="N53" s="50"/>
      <c r="O53" s="50"/>
      <c r="P53" s="58"/>
      <c r="Q53" s="58"/>
      <c r="R53" s="50"/>
      <c r="S53" s="56"/>
      <c r="T53" s="58"/>
      <c r="U53" s="56"/>
      <c r="V53" s="58"/>
      <c r="W53" s="58"/>
      <c r="X53" s="57"/>
      <c r="Y53" s="57"/>
      <c r="Z53" s="57"/>
    </row>
    <row r="54" spans="1:26" x14ac:dyDescent="0.3">
      <c r="A54" s="53" t="s">
        <v>85</v>
      </c>
      <c r="B54" s="53" t="s">
        <v>28</v>
      </c>
      <c r="C54" s="53" t="s">
        <v>29</v>
      </c>
      <c r="D54" s="55">
        <v>45170</v>
      </c>
      <c r="E54" s="53">
        <v>52</v>
      </c>
      <c r="F54" s="53">
        <v>85</v>
      </c>
      <c r="G54" s="53">
        <v>13</v>
      </c>
      <c r="H54" s="53" t="s">
        <v>78</v>
      </c>
      <c r="I54" s="53" t="s">
        <v>53</v>
      </c>
      <c r="J54" s="53">
        <v>7.1890000000000001</v>
      </c>
      <c r="K54" s="53">
        <v>2.88</v>
      </c>
      <c r="L54" s="53">
        <v>1.07</v>
      </c>
      <c r="M54" s="60">
        <f>AVERAGE(250,221.667,228.333)</f>
        <v>233.33333333333334</v>
      </c>
      <c r="N54" s="60">
        <f>AVERAGE(115.2585092,92.5757302,169.2144818,129.1667731,131.262471,144.324856)</f>
        <v>130.30047021666667</v>
      </c>
      <c r="O54" s="50"/>
      <c r="P54" s="58"/>
      <c r="Q54" s="58"/>
      <c r="R54" s="50"/>
      <c r="S54" s="56"/>
      <c r="T54" s="58"/>
      <c r="U54" s="56"/>
      <c r="V54" s="58"/>
      <c r="W54" s="58"/>
      <c r="X54" s="57"/>
      <c r="Y54" s="57"/>
      <c r="Z54" s="57"/>
    </row>
    <row r="55" spans="1:26" x14ac:dyDescent="0.3">
      <c r="A55" s="53" t="s">
        <v>85</v>
      </c>
      <c r="B55" s="53" t="s">
        <v>28</v>
      </c>
      <c r="C55" s="53" t="s">
        <v>29</v>
      </c>
      <c r="D55" s="55">
        <v>45171</v>
      </c>
      <c r="E55" s="53">
        <v>53</v>
      </c>
      <c r="F55" s="53">
        <v>85</v>
      </c>
      <c r="G55" s="53">
        <v>14</v>
      </c>
      <c r="H55" s="53" t="s">
        <v>76</v>
      </c>
      <c r="I55" s="53" t="s">
        <v>53</v>
      </c>
      <c r="J55" s="50"/>
      <c r="K55" s="50"/>
      <c r="L55" s="50"/>
      <c r="M55" s="50"/>
      <c r="N55" s="50"/>
      <c r="O55" s="50"/>
      <c r="P55" s="58"/>
      <c r="Q55" s="58"/>
      <c r="R55" s="50"/>
      <c r="S55" s="56"/>
      <c r="T55" s="58"/>
      <c r="U55" s="56"/>
      <c r="V55" s="58"/>
      <c r="W55" s="58"/>
      <c r="X55" s="57"/>
      <c r="Y55" s="57"/>
      <c r="Z55" s="57"/>
    </row>
    <row r="56" spans="1:26" x14ac:dyDescent="0.3">
      <c r="A56" s="53" t="s">
        <v>85</v>
      </c>
      <c r="B56" s="53" t="s">
        <v>28</v>
      </c>
      <c r="C56" s="53" t="s">
        <v>29</v>
      </c>
      <c r="D56" s="55">
        <v>45172</v>
      </c>
      <c r="E56" s="53">
        <v>54</v>
      </c>
      <c r="F56" s="53">
        <v>85</v>
      </c>
      <c r="G56" s="53">
        <v>15</v>
      </c>
      <c r="H56" s="53" t="s">
        <v>78</v>
      </c>
      <c r="I56" s="53" t="s">
        <v>53</v>
      </c>
      <c r="J56" s="53">
        <v>7.0940000000000003</v>
      </c>
      <c r="K56" s="53">
        <v>3.01</v>
      </c>
      <c r="L56" s="53">
        <v>1.08</v>
      </c>
      <c r="M56" s="53">
        <f>AVERAGE(300,275,275)</f>
        <v>283.33333333333331</v>
      </c>
      <c r="N56" s="60">
        <f>AVERAGE(250.9156199,144.4599001,56.36031104)</f>
        <v>150.57861034666666</v>
      </c>
      <c r="O56" s="50"/>
      <c r="P56" s="58"/>
      <c r="Q56" s="58"/>
      <c r="R56" s="50"/>
      <c r="S56" s="56"/>
      <c r="T56" s="58"/>
      <c r="U56" s="56"/>
      <c r="V56" s="58"/>
      <c r="W56" s="58"/>
      <c r="X56" s="57"/>
      <c r="Y56" s="57"/>
      <c r="Z56" s="57"/>
    </row>
    <row r="57" spans="1:26" x14ac:dyDescent="0.3">
      <c r="A57" s="53" t="s">
        <v>85</v>
      </c>
      <c r="B57" s="53" t="s">
        <v>28</v>
      </c>
      <c r="C57" s="53" t="s">
        <v>29</v>
      </c>
      <c r="D57" s="55">
        <v>45173</v>
      </c>
      <c r="E57" s="53">
        <v>55</v>
      </c>
      <c r="F57" s="53">
        <v>85</v>
      </c>
      <c r="G57" s="53">
        <v>16</v>
      </c>
      <c r="H57" s="53" t="s">
        <v>76</v>
      </c>
      <c r="I57" s="53" t="s">
        <v>53</v>
      </c>
      <c r="J57" s="50"/>
      <c r="K57" s="50"/>
      <c r="L57" s="50"/>
      <c r="M57" s="50"/>
      <c r="N57" s="50"/>
      <c r="O57" s="50"/>
      <c r="P57" s="58"/>
      <c r="Q57" s="58"/>
      <c r="R57" s="50"/>
      <c r="S57" s="56"/>
      <c r="T57" s="58"/>
      <c r="U57" s="56"/>
      <c r="V57" s="58"/>
      <c r="W57" s="58"/>
      <c r="X57" s="57"/>
      <c r="Y57" s="57"/>
      <c r="Z57" s="57"/>
    </row>
    <row r="58" spans="1:26" x14ac:dyDescent="0.3">
      <c r="A58" s="53" t="s">
        <v>85</v>
      </c>
      <c r="B58" s="53" t="s">
        <v>28</v>
      </c>
      <c r="C58" s="53" t="s">
        <v>29</v>
      </c>
      <c r="D58" s="55">
        <v>45174</v>
      </c>
      <c r="E58" s="53">
        <v>56</v>
      </c>
      <c r="F58" s="53">
        <v>85</v>
      </c>
      <c r="G58" s="53">
        <v>17</v>
      </c>
      <c r="H58" s="53" t="s">
        <v>78</v>
      </c>
      <c r="I58" s="53" t="s">
        <v>53</v>
      </c>
      <c r="J58" s="53">
        <v>7.0679999999999996</v>
      </c>
      <c r="K58" s="53">
        <v>2.98</v>
      </c>
      <c r="L58" s="53">
        <v>1.08</v>
      </c>
      <c r="M58" s="60">
        <f>AVERAGE(327,260,135)</f>
        <v>240.66666666666666</v>
      </c>
      <c r="N58" s="60">
        <f>AVERAGE(92.82530613,167.9933633,130.4144952)</f>
        <v>130.41105487666667</v>
      </c>
      <c r="O58" s="50"/>
      <c r="P58" s="58"/>
      <c r="Q58" s="58"/>
      <c r="R58" s="50"/>
      <c r="S58" s="56"/>
      <c r="T58" s="58"/>
      <c r="U58" s="56"/>
      <c r="V58" s="58"/>
      <c r="W58" s="58"/>
      <c r="X58" s="57"/>
      <c r="Y58" s="57"/>
      <c r="Z58" s="57"/>
    </row>
    <row r="59" spans="1:26" x14ac:dyDescent="0.3">
      <c r="A59" s="53" t="s">
        <v>85</v>
      </c>
      <c r="B59" s="53" t="s">
        <v>28</v>
      </c>
      <c r="C59" s="53" t="s">
        <v>29</v>
      </c>
      <c r="D59" s="55">
        <v>45175</v>
      </c>
      <c r="E59" s="53">
        <v>57</v>
      </c>
      <c r="F59" s="53">
        <v>85</v>
      </c>
      <c r="G59" s="53">
        <v>18</v>
      </c>
      <c r="H59" s="53" t="s">
        <v>76</v>
      </c>
      <c r="I59" s="53" t="s">
        <v>53</v>
      </c>
      <c r="J59" s="50"/>
      <c r="K59" s="50"/>
      <c r="L59" s="50"/>
      <c r="M59" s="50"/>
      <c r="N59" s="50"/>
      <c r="O59" s="50"/>
      <c r="P59" s="58"/>
      <c r="Q59" s="58"/>
      <c r="R59" s="50"/>
      <c r="S59" s="56"/>
      <c r="T59" s="58"/>
      <c r="U59" s="56"/>
      <c r="V59" s="58"/>
      <c r="W59" s="58"/>
      <c r="X59" s="57"/>
      <c r="Y59" s="57"/>
      <c r="Z59" s="57"/>
    </row>
    <row r="60" spans="1:26" x14ac:dyDescent="0.3">
      <c r="A60" s="53" t="s">
        <v>85</v>
      </c>
      <c r="B60" s="53" t="s">
        <v>28</v>
      </c>
      <c r="C60" s="53" t="s">
        <v>29</v>
      </c>
      <c r="D60" s="55">
        <v>45176</v>
      </c>
      <c r="E60" s="53">
        <v>58</v>
      </c>
      <c r="F60" s="53">
        <v>85</v>
      </c>
      <c r="G60" s="53">
        <v>19</v>
      </c>
      <c r="H60" s="53" t="s">
        <v>78</v>
      </c>
      <c r="I60" s="53" t="s">
        <v>53</v>
      </c>
      <c r="J60" s="53">
        <v>7.1059999999999999</v>
      </c>
      <c r="K60" s="53">
        <v>3.11</v>
      </c>
      <c r="L60" s="53">
        <v>1</v>
      </c>
      <c r="M60" s="60">
        <f>AVERAGE(278.333,276.667,231.667)</f>
        <v>262.22233333333332</v>
      </c>
      <c r="N60" s="60">
        <f>AVERAGE(52.80782722,155.0518228,83.16779337)</f>
        <v>97.009147796666682</v>
      </c>
      <c r="O60" s="50"/>
      <c r="P60" s="58"/>
      <c r="Q60" s="58"/>
      <c r="R60" s="50"/>
      <c r="S60" s="56"/>
      <c r="T60" s="58"/>
      <c r="U60" s="56"/>
      <c r="V60" s="58"/>
      <c r="W60" s="58"/>
      <c r="X60" s="57"/>
      <c r="Y60" s="57"/>
      <c r="Z60" s="57"/>
    </row>
    <row r="61" spans="1:26" x14ac:dyDescent="0.3">
      <c r="A61" s="53" t="s">
        <v>85</v>
      </c>
      <c r="B61" s="53" t="s">
        <v>28</v>
      </c>
      <c r="C61" s="53" t="s">
        <v>29</v>
      </c>
      <c r="D61" s="55">
        <v>45177</v>
      </c>
      <c r="E61" s="53">
        <v>59</v>
      </c>
      <c r="F61" s="53">
        <v>85</v>
      </c>
      <c r="G61" s="53">
        <v>20</v>
      </c>
      <c r="H61" s="53" t="s">
        <v>76</v>
      </c>
      <c r="I61" s="53" t="s">
        <v>53</v>
      </c>
      <c r="J61" s="50"/>
      <c r="K61" s="50"/>
      <c r="L61" s="50"/>
      <c r="M61" s="50"/>
      <c r="N61" s="50"/>
      <c r="O61" s="50"/>
      <c r="P61" s="58"/>
      <c r="Q61" s="58"/>
      <c r="R61" s="50"/>
      <c r="S61" s="56"/>
      <c r="T61" s="58"/>
      <c r="U61" s="56"/>
      <c r="V61" s="58"/>
      <c r="W61" s="58"/>
      <c r="X61" s="57"/>
      <c r="Y61" s="57"/>
      <c r="Z61" s="57"/>
    </row>
    <row r="62" spans="1:26" x14ac:dyDescent="0.3">
      <c r="A62" s="53" t="s">
        <v>85</v>
      </c>
      <c r="B62" s="53" t="s">
        <v>28</v>
      </c>
      <c r="C62" s="53" t="s">
        <v>29</v>
      </c>
      <c r="D62" s="55">
        <v>45178</v>
      </c>
      <c r="E62" s="53">
        <v>60</v>
      </c>
      <c r="F62" s="53">
        <v>85</v>
      </c>
      <c r="G62" s="53">
        <v>21</v>
      </c>
      <c r="H62" s="53" t="s">
        <v>78</v>
      </c>
      <c r="I62" s="53" t="s">
        <v>53</v>
      </c>
      <c r="J62" s="53">
        <v>7.1349999999999998</v>
      </c>
      <c r="K62" s="53">
        <v>3.19</v>
      </c>
      <c r="L62" s="53">
        <v>0.89</v>
      </c>
      <c r="M62" s="53">
        <f>AVERAGE(276.667,258.333,268.333)</f>
        <v>267.77766666666668</v>
      </c>
      <c r="N62">
        <f>AVERAGE(130.1608439,71.52011485,103.0928463)</f>
        <v>101.59126835000001</v>
      </c>
      <c r="O62" s="50"/>
      <c r="P62" s="58"/>
      <c r="Q62" s="58"/>
      <c r="R62" s="50"/>
      <c r="S62" s="56"/>
      <c r="T62" s="58"/>
      <c r="U62" s="56"/>
      <c r="V62" s="58"/>
      <c r="W62" s="58"/>
      <c r="X62" s="57"/>
      <c r="Y62" s="57"/>
      <c r="Z62" s="57"/>
    </row>
    <row r="63" spans="1:26" x14ac:dyDescent="0.3">
      <c r="A63" s="53" t="s">
        <v>85</v>
      </c>
      <c r="B63" s="53" t="s">
        <v>28</v>
      </c>
      <c r="C63" s="53" t="s">
        <v>29</v>
      </c>
      <c r="D63" s="55">
        <v>45179</v>
      </c>
      <c r="E63" s="53">
        <v>61</v>
      </c>
      <c r="F63" s="53">
        <v>85</v>
      </c>
      <c r="G63" s="53">
        <v>22</v>
      </c>
      <c r="H63" s="53" t="s">
        <v>76</v>
      </c>
      <c r="I63" s="53" t="s">
        <v>53</v>
      </c>
      <c r="J63" s="50"/>
      <c r="K63" s="50"/>
      <c r="L63" s="50"/>
      <c r="M63" s="50"/>
      <c r="N63" s="50"/>
      <c r="O63" s="50"/>
      <c r="P63" s="58"/>
      <c r="Q63" s="58"/>
      <c r="R63" s="50"/>
      <c r="S63" s="56"/>
      <c r="T63" s="58"/>
      <c r="U63" s="56"/>
      <c r="V63" s="58"/>
      <c r="W63" s="58"/>
      <c r="X63" s="57"/>
      <c r="Y63" s="57"/>
      <c r="Z63" s="57"/>
    </row>
    <row r="64" spans="1:26" x14ac:dyDescent="0.3">
      <c r="A64" s="53" t="s">
        <v>85</v>
      </c>
      <c r="B64" s="53" t="s">
        <v>28</v>
      </c>
      <c r="C64" s="53" t="s">
        <v>29</v>
      </c>
      <c r="D64" s="55">
        <v>45180</v>
      </c>
      <c r="E64" s="53">
        <v>62</v>
      </c>
      <c r="F64" s="53">
        <v>85</v>
      </c>
      <c r="G64" s="53">
        <v>23</v>
      </c>
      <c r="H64" s="53" t="s">
        <v>82</v>
      </c>
      <c r="I64" s="53" t="s">
        <v>53</v>
      </c>
      <c r="J64" s="53">
        <v>7.1529999999999996</v>
      </c>
      <c r="K64" s="53">
        <v>3.2</v>
      </c>
      <c r="L64" s="53">
        <v>0.89</v>
      </c>
      <c r="M64" s="53">
        <f>AVERAGE(273.333,268.333,240)</f>
        <v>260.55533333333335</v>
      </c>
      <c r="N64" s="53">
        <f>AVERAGE(168.86866,50.8740783,84.04676832)</f>
        <v>101.26316887333333</v>
      </c>
      <c r="O64" s="50"/>
      <c r="P64" s="58"/>
      <c r="Q64" s="58"/>
      <c r="R64" s="50"/>
      <c r="S64" s="56"/>
      <c r="T64" s="58"/>
      <c r="U64" s="56"/>
      <c r="V64" s="58"/>
      <c r="W64" s="58"/>
      <c r="X64" s="57"/>
      <c r="Y64" s="57"/>
      <c r="Z64" s="57"/>
    </row>
    <row r="65" spans="4:26" x14ac:dyDescent="0.3">
      <c r="D65" s="55"/>
      <c r="J65" s="50"/>
      <c r="K65" s="50"/>
      <c r="L65" s="50"/>
      <c r="M65" s="50"/>
      <c r="N65" s="50"/>
      <c r="O65" s="50"/>
      <c r="P65" s="58"/>
      <c r="Q65" s="58"/>
      <c r="R65" s="50"/>
      <c r="S65" s="56"/>
      <c r="T65" s="58"/>
      <c r="U65" s="56"/>
      <c r="V65" s="58"/>
      <c r="W65" s="58"/>
      <c r="X65" s="57"/>
      <c r="Y65" s="57"/>
      <c r="Z65" s="57"/>
    </row>
    <row r="66" spans="4:26" x14ac:dyDescent="0.3">
      <c r="D66" s="55"/>
      <c r="O66" s="50"/>
      <c r="P66" s="58"/>
      <c r="Q66" s="58"/>
      <c r="R66" s="50"/>
      <c r="S66" s="56"/>
      <c r="T66" s="58"/>
      <c r="U66" s="56"/>
      <c r="V66" s="58"/>
      <c r="W66" s="58"/>
      <c r="X66" s="57"/>
      <c r="Y66" s="57"/>
      <c r="Z66" s="57"/>
    </row>
    <row r="67" spans="4:26" x14ac:dyDescent="0.3">
      <c r="D67" s="55"/>
      <c r="J67" s="50"/>
      <c r="K67" s="50"/>
      <c r="L67" s="50"/>
      <c r="M67" s="50"/>
      <c r="N67" s="50"/>
      <c r="O67" s="50"/>
      <c r="P67" s="58"/>
      <c r="Q67" s="58"/>
      <c r="R67" s="50"/>
      <c r="S67" s="56"/>
      <c r="T67" s="58"/>
      <c r="U67" s="56"/>
      <c r="V67" s="58"/>
      <c r="W67" s="58"/>
      <c r="X67" s="57"/>
      <c r="Y67" s="57"/>
      <c r="Z67" s="57"/>
    </row>
    <row r="68" spans="4:26" x14ac:dyDescent="0.3">
      <c r="D68" s="55"/>
      <c r="O68" s="50"/>
      <c r="P68" s="58"/>
      <c r="Q68" s="58"/>
      <c r="R68" s="50"/>
      <c r="S68" s="56"/>
      <c r="T68" s="58"/>
      <c r="U68" s="56"/>
      <c r="V68" s="58"/>
      <c r="W68" s="58"/>
      <c r="X68" s="57"/>
      <c r="Y68" s="57"/>
      <c r="Z68" s="57"/>
    </row>
  </sheetData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74A18D63965468F4372A4A7FB677A" ma:contentTypeVersion="0" ma:contentTypeDescription="Create a new document." ma:contentTypeScope="" ma:versionID="a4813f39e06cd6f293569006d2f8d49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C073FB-5C07-411C-BA24-AC6DAFA8D1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91445A-15C2-45C5-96A0-D1B6229BBF00}">
  <ds:schemaRefs>
    <ds:schemaRef ds:uri="http://purl.org/dc/terms/"/>
    <ds:schemaRef ds:uri="1683273c-6755-472c-8438-8c9246a47781"/>
    <ds:schemaRef ds:uri="http://www.w3.org/XML/1998/namespace"/>
    <ds:schemaRef ds:uri="70c5ff8a-ef49-46de-914c-e5752d92a4c4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66DF187-35A1-4E03-AFDF-90D9E4B2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hNP05APR2023A-1</vt:lpstr>
      <vt:lpstr>hNP08MAY2023A-1</vt:lpstr>
      <vt:lpstr>hNP27MAY2023A-1</vt:lpstr>
      <vt:lpstr>hNP11JUL2023A-1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Dellasala</dc:creator>
  <cp:keywords/>
  <dc:description/>
  <cp:lastModifiedBy>Steven Summey</cp:lastModifiedBy>
  <cp:revision/>
  <dcterms:created xsi:type="dcterms:W3CDTF">2023-07-17T20:41:32Z</dcterms:created>
  <dcterms:modified xsi:type="dcterms:W3CDTF">2023-11-20T13:57:58Z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0x01010048074A18D63965468F4372A4A7FB677A</vt:lpwstr>
  </property>
  <property fmtid="{D5CDD505-2E9C-101B-9397-08002B2CF9AE}" pid="3" name="MediaServiceImageTags">
    <vt:lpwstr/>
  </property>
  <property fmtid="{D5CDD505-2E9C-101B-9397-08002B2CF9AE}" pid="4" name="SharedWithUsers">
    <vt:lpwstr>29;#Steven Summey</vt:lpwstr>
  </property>
</Properties>
</file>