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Favorites\CPUC10 (Group D - Custom EM&amp;V)\4 Deliverables\11 - Draft and Final Evaluation Reports\CIAC 2018\Design\"/>
    </mc:Choice>
  </mc:AlternateContent>
  <xr:revisionPtr revIDLastSave="0" documentId="13_ncr:1_{45A7A970-2C35-4869-BE1C-F2305045729F}" xr6:coauthVersionLast="45" xr6:coauthVersionMax="45" xr10:uidLastSave="{00000000-0000-0000-0000-000000000000}"/>
  <bookViews>
    <workbookView xWindow="-120" yWindow="-120" windowWidth="29040" windowHeight="15840" activeTab="1" xr2:uid="{BC4CB2AC-228C-45CE-BD42-76BF685B0D06}"/>
  </bookViews>
  <sheets>
    <sheet name="exportsheets" sheetId="18" r:id="rId1"/>
    <sheet name="codefiles" sheetId="19" r:id="rId2"/>
    <sheet name="SourceDef" sheetId="2" r:id="rId3"/>
    <sheet name="map_gross" sheetId="1" r:id="rId4"/>
    <sheet name="map_net" sheetId="14" r:id="rId5"/>
    <sheet name="map_clm" sheetId="15" r:id="rId6"/>
    <sheet name="map_smpl" sheetId="5" r:id="rId7"/>
    <sheet name="map_atrbuild" sheetId="16" r:id="rId8"/>
    <sheet name="map_atr" sheetId="17" r:id="rId9"/>
    <sheet name="fieldLists" sheetId="3" r:id="rId10"/>
    <sheet name="dispomap" sheetId="11" r:id="rId11"/>
    <sheet name="RollUp data dictionary" sheetId="13" r:id="rId12"/>
  </sheets>
  <definedNames>
    <definedName name="_xlnm._FilterDatabase" localSheetId="1" hidden="1">codefiles!$A$1:$J$58</definedName>
    <definedName name="_xlnm._FilterDatabase" localSheetId="10" hidden="1">dispomap!$A$1:$F$21</definedName>
    <definedName name="_xlnm._FilterDatabase" localSheetId="9" hidden="1">fieldLists!$A$1:$M$886</definedName>
    <definedName name="_xlnm._FilterDatabase" localSheetId="8" hidden="1">map_atr!$A$1:$AC$203</definedName>
    <definedName name="_xlnm._FilterDatabase" localSheetId="7" hidden="1">map_atrbuild!$A$1:$AD$267</definedName>
    <definedName name="_xlnm._FilterDatabase" localSheetId="5" hidden="1">map_clm!$A$1:$AD$624</definedName>
    <definedName name="_xlnm._FilterDatabase" localSheetId="3" hidden="1">map_gross!$A$1:$AJ$643</definedName>
    <definedName name="_xlnm._FilterDatabase" localSheetId="4" hidden="1">map_net!$A$1:$AL$598</definedName>
    <definedName name="_xlnm._FilterDatabase" localSheetId="6" hidden="1">map_smpl!$A$1:$S$91</definedName>
    <definedName name="_xlnm._FilterDatabase" localSheetId="11" hidden="1">'RollUp data dictionary'!$A$1:$P$227</definedName>
    <definedName name="_xlnm._FilterDatabase" localSheetId="2" hidden="1">SourceDef!$A$1:$K$64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9" l="1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31" i="19"/>
  <c r="I31" i="19" l="1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30" i="19"/>
  <c r="J40" i="19"/>
  <c r="J31" i="19"/>
  <c r="J32" i="19"/>
  <c r="J33" i="19"/>
  <c r="J34" i="19"/>
  <c r="J35" i="19"/>
  <c r="J36" i="19"/>
  <c r="J37" i="19"/>
  <c r="J38" i="19"/>
  <c r="J39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30" i="19"/>
  <c r="AA445" i="14" l="1"/>
  <c r="AA444" i="14"/>
  <c r="AA443" i="14"/>
  <c r="U442" i="14"/>
  <c r="U441" i="14"/>
  <c r="U440" i="14"/>
  <c r="R436" i="14"/>
  <c r="R435" i="14"/>
  <c r="R434" i="14"/>
  <c r="AI442" i="14"/>
  <c r="Y442" i="14"/>
  <c r="AI441" i="14"/>
  <c r="Y441" i="14"/>
  <c r="AI440" i="14"/>
  <c r="U430" i="14"/>
  <c r="U429" i="14"/>
  <c r="U428" i="14"/>
  <c r="R433" i="14"/>
  <c r="AA399" i="14"/>
  <c r="AA398" i="14"/>
  <c r="AA391" i="14"/>
  <c r="AA390" i="14"/>
  <c r="U387" i="14"/>
  <c r="U386" i="14"/>
  <c r="T387" i="14"/>
  <c r="T386" i="14"/>
  <c r="T385" i="14"/>
  <c r="T384" i="14"/>
  <c r="U397" i="14"/>
  <c r="T397" i="14"/>
  <c r="U396" i="14"/>
  <c r="T396" i="14"/>
  <c r="T389" i="14"/>
  <c r="T388" i="14"/>
  <c r="R432" i="14" l="1"/>
  <c r="R431" i="14"/>
  <c r="Q424" i="14"/>
  <c r="Q423" i="14"/>
  <c r="Q422" i="14"/>
  <c r="U399" i="14"/>
  <c r="U398" i="14"/>
  <c r="T399" i="14"/>
  <c r="T398" i="14"/>
  <c r="R403" i="14"/>
  <c r="R402" i="14"/>
  <c r="B62" i="2" l="1"/>
  <c r="AH20" i="14" l="1"/>
  <c r="AH21" i="14"/>
  <c r="AH22" i="14"/>
  <c r="AH23" i="14"/>
  <c r="AH24" i="14"/>
  <c r="AH25" i="14"/>
  <c r="A20" i="14"/>
  <c r="AG20" i="14" s="1"/>
  <c r="A21" i="14"/>
  <c r="AG21" i="14" s="1"/>
  <c r="A22" i="14"/>
  <c r="AG22" i="14" s="1"/>
  <c r="A23" i="14"/>
  <c r="AG23" i="14" s="1"/>
  <c r="A24" i="14"/>
  <c r="AG24" i="14" s="1"/>
  <c r="A25" i="14"/>
  <c r="AG25" i="14" s="1"/>
  <c r="AA316" i="14" l="1"/>
  <c r="AG316" i="14" s="1"/>
  <c r="AA315" i="14"/>
  <c r="AG315" i="14" s="1"/>
  <c r="AA314" i="14"/>
  <c r="AG314" i="14" s="1"/>
  <c r="AH314" i="14" l="1"/>
  <c r="AH316" i="14"/>
  <c r="AH315" i="14"/>
  <c r="A109" i="16" l="1"/>
  <c r="A110" i="16"/>
  <c r="A108" i="16"/>
  <c r="Y310" i="15"/>
  <c r="Z310" i="15"/>
  <c r="Y311" i="15"/>
  <c r="Z311" i="15"/>
  <c r="Y312" i="15"/>
  <c r="Z312" i="15"/>
  <c r="Z72" i="15"/>
  <c r="Z73" i="15"/>
  <c r="Z74" i="15"/>
  <c r="Z75" i="15"/>
  <c r="A72" i="15"/>
  <c r="Y72" i="15" s="1"/>
  <c r="A73" i="15"/>
  <c r="Y73" i="15" s="1"/>
  <c r="A74" i="15"/>
  <c r="Y74" i="15" s="1"/>
  <c r="Z292" i="15" l="1"/>
  <c r="Z293" i="15"/>
  <c r="Z294" i="15"/>
  <c r="Z295" i="15"/>
  <c r="Z296" i="15"/>
  <c r="Z297" i="15"/>
  <c r="A292" i="15"/>
  <c r="Y292" i="15" s="1"/>
  <c r="A293" i="15"/>
  <c r="Y293" i="15" s="1"/>
  <c r="A294" i="15"/>
  <c r="Y294" i="15" s="1"/>
  <c r="A295" i="15"/>
  <c r="Y295" i="15" s="1"/>
  <c r="A296" i="15"/>
  <c r="Y296" i="15" s="1"/>
  <c r="A297" i="15"/>
  <c r="Y297" i="15" s="1"/>
  <c r="P367" i="1"/>
  <c r="AE367" i="1" s="1"/>
  <c r="P366" i="1"/>
  <c r="AF366" i="1" s="1"/>
  <c r="P365" i="1"/>
  <c r="AE365" i="1" s="1"/>
  <c r="S361" i="1"/>
  <c r="S360" i="1"/>
  <c r="S359" i="1"/>
  <c r="P352" i="1"/>
  <c r="AE352" i="1" s="1"/>
  <c r="P351" i="1"/>
  <c r="AE351" i="1" s="1"/>
  <c r="P350" i="1"/>
  <c r="AF350" i="1" s="1"/>
  <c r="P349" i="1"/>
  <c r="AF349" i="1" s="1"/>
  <c r="P348" i="1"/>
  <c r="AF348" i="1" s="1"/>
  <c r="P347" i="1"/>
  <c r="AE347" i="1" s="1"/>
  <c r="AE366" i="1" l="1"/>
  <c r="AE350" i="1"/>
  <c r="AF367" i="1"/>
  <c r="AE348" i="1"/>
  <c r="AF351" i="1"/>
  <c r="AF347" i="1"/>
  <c r="AF365" i="1"/>
  <c r="AE349" i="1"/>
  <c r="AF352" i="1"/>
  <c r="E8" i="19"/>
  <c r="I8" i="19" s="1"/>
  <c r="E9" i="19"/>
  <c r="I9" i="19" s="1"/>
  <c r="E10" i="19"/>
  <c r="I10" i="19" s="1"/>
  <c r="E11" i="19"/>
  <c r="I11" i="19" s="1"/>
  <c r="E7" i="19"/>
  <c r="I7" i="19" s="1"/>
  <c r="E3" i="19"/>
  <c r="I3" i="19" s="1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2" i="19"/>
  <c r="I4" i="19"/>
  <c r="I5" i="19"/>
  <c r="I6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2" i="19"/>
  <c r="A198" i="15" l="1"/>
  <c r="T383" i="14" l="1"/>
  <c r="T382" i="14"/>
  <c r="AA424" i="14"/>
  <c r="AA423" i="14"/>
  <c r="AA422" i="14"/>
  <c r="U425" i="14" l="1"/>
  <c r="U426" i="14"/>
  <c r="U427" i="14"/>
  <c r="U437" i="14"/>
  <c r="U438" i="14"/>
  <c r="Y438" i="14"/>
  <c r="Y439" i="14" s="1"/>
  <c r="U439" i="14"/>
  <c r="Z192" i="15" l="1"/>
  <c r="Z193" i="15"/>
  <c r="Z194" i="15"/>
  <c r="Z195" i="15"/>
  <c r="Z196" i="15"/>
  <c r="Z197" i="15"/>
  <c r="Y198" i="15"/>
  <c r="Z198" i="15"/>
  <c r="Z199" i="15"/>
  <c r="Z200" i="15"/>
  <c r="A213" i="1"/>
  <c r="A214" i="1"/>
  <c r="A215" i="1"/>
  <c r="AG289" i="14"/>
  <c r="AH289" i="14"/>
  <c r="AG290" i="14"/>
  <c r="AH290" i="14"/>
  <c r="AH308" i="14"/>
  <c r="C193" i="15" l="1"/>
  <c r="A193" i="15" s="1"/>
  <c r="Y193" i="15" s="1"/>
  <c r="C194" i="15"/>
  <c r="A194" i="15" s="1"/>
  <c r="Y194" i="15" s="1"/>
  <c r="C195" i="15"/>
  <c r="A195" i="15" s="1"/>
  <c r="Y195" i="15" s="1"/>
  <c r="C192" i="15"/>
  <c r="A192" i="15" s="1"/>
  <c r="Y192" i="15" s="1"/>
  <c r="A212" i="1"/>
  <c r="A196" i="1"/>
  <c r="A195" i="1"/>
  <c r="A194" i="1"/>
  <c r="A193" i="1"/>
  <c r="A196" i="15" l="1"/>
  <c r="Y196" i="15" s="1"/>
  <c r="A197" i="15"/>
  <c r="Y197" i="15" s="1"/>
  <c r="A199" i="15"/>
  <c r="Y199" i="15" s="1"/>
  <c r="AE193" i="1"/>
  <c r="AF193" i="1"/>
  <c r="AE194" i="1"/>
  <c r="AF194" i="1"/>
  <c r="AE195" i="1"/>
  <c r="AF195" i="1"/>
  <c r="AE196" i="1"/>
  <c r="AF196" i="1"/>
  <c r="S134" i="16" l="1"/>
  <c r="I93" i="16"/>
  <c r="A1" i="18" l="1"/>
  <c r="A2" i="18"/>
  <c r="A3" i="18" l="1"/>
  <c r="A8" i="18"/>
  <c r="A7" i="18"/>
  <c r="A6" i="18"/>
  <c r="A5" i="18"/>
  <c r="A4" i="18"/>
  <c r="A133" i="14" l="1"/>
  <c r="A132" i="14"/>
  <c r="H90" i="5" l="1"/>
  <c r="H89" i="5"/>
  <c r="S89" i="5" l="1"/>
  <c r="A167" i="16" l="1"/>
  <c r="S170" i="16" s="1"/>
  <c r="A166" i="16"/>
  <c r="S169" i="16" s="1"/>
  <c r="A165" i="16"/>
  <c r="S168" i="16" s="1"/>
  <c r="S161" i="16"/>
  <c r="S160" i="16"/>
  <c r="S159" i="16"/>
  <c r="S155" i="16"/>
  <c r="S154" i="16"/>
  <c r="S153" i="16"/>
  <c r="S131" i="16"/>
  <c r="S132" i="16"/>
  <c r="S133" i="16"/>
  <c r="S135" i="16"/>
  <c r="S130" i="16"/>
  <c r="J183" i="16" l="1"/>
  <c r="J182" i="16"/>
  <c r="J181" i="16"/>
  <c r="J186" i="16"/>
  <c r="J185" i="16"/>
  <c r="J184" i="16"/>
  <c r="A182" i="16"/>
  <c r="A183" i="16"/>
  <c r="A184" i="16"/>
  <c r="A185" i="16"/>
  <c r="A186" i="16"/>
  <c r="I187" i="16" s="1"/>
  <c r="A181" i="16"/>
  <c r="A112" i="16"/>
  <c r="A113" i="16"/>
  <c r="A114" i="16"/>
  <c r="A115" i="16"/>
  <c r="A116" i="16"/>
  <c r="A111" i="16"/>
  <c r="Z102" i="16"/>
  <c r="Z103" i="16"/>
  <c r="Z104" i="16"/>
  <c r="Z105" i="16"/>
  <c r="AD295" i="14" l="1"/>
  <c r="AC295" i="14"/>
  <c r="AB295" i="14"/>
  <c r="AD294" i="14"/>
  <c r="AC294" i="14"/>
  <c r="AB294" i="14"/>
  <c r="AD293" i="14"/>
  <c r="AC293" i="14"/>
  <c r="AB293" i="14"/>
  <c r="AH294" i="14" l="1"/>
  <c r="AH295" i="14"/>
  <c r="AH293" i="14"/>
  <c r="A308" i="14"/>
  <c r="AG308" i="14" l="1"/>
  <c r="A102" i="16"/>
  <c r="Y102" i="16" s="1"/>
  <c r="A103" i="16"/>
  <c r="Y103" i="16" s="1"/>
  <c r="A104" i="16"/>
  <c r="Y104" i="16" s="1"/>
  <c r="T162" i="16" l="1"/>
  <c r="T164" i="16"/>
  <c r="T163" i="16"/>
  <c r="A71" i="16" l="1"/>
  <c r="A72" i="16"/>
  <c r="A73" i="16"/>
  <c r="A77" i="16"/>
  <c r="A78" i="16"/>
  <c r="A79" i="16"/>
  <c r="A80" i="16"/>
  <c r="A81" i="16"/>
  <c r="A76" i="16"/>
  <c r="A75" i="16"/>
  <c r="A74" i="16"/>
  <c r="E1" i="16"/>
  <c r="Z70" i="16" l="1"/>
  <c r="A70" i="16"/>
  <c r="Y70" i="16" s="1"/>
  <c r="Z133" i="16" l="1"/>
  <c r="Z134" i="16"/>
  <c r="A131" i="16"/>
  <c r="A132" i="16"/>
  <c r="A133" i="16"/>
  <c r="Y133" i="16" s="1"/>
  <c r="A134" i="16"/>
  <c r="Y134" i="16" s="1"/>
  <c r="A135" i="16"/>
  <c r="Y135" i="16" s="1"/>
  <c r="A130" i="16"/>
  <c r="Y130" i="16" s="1"/>
  <c r="Y132" i="16" l="1"/>
  <c r="Y131" i="16"/>
  <c r="Z132" i="16"/>
  <c r="Z135" i="16"/>
  <c r="Z131" i="16"/>
  <c r="Z130" i="16"/>
  <c r="S139" i="16"/>
  <c r="S138" i="16"/>
  <c r="Y304" i="15"/>
  <c r="Z304" i="15"/>
  <c r="Y305" i="15"/>
  <c r="Z305" i="15"/>
  <c r="Y306" i="15"/>
  <c r="Z306" i="15"/>
  <c r="Y307" i="15"/>
  <c r="Z307" i="15"/>
  <c r="Y308" i="15"/>
  <c r="Z308" i="15"/>
  <c r="Y309" i="15"/>
  <c r="Z309" i="15"/>
  <c r="Z319" i="15"/>
  <c r="Z320" i="15"/>
  <c r="Y298" i="15" l="1"/>
  <c r="Z298" i="15"/>
  <c r="Y299" i="15"/>
  <c r="Z299" i="15"/>
  <c r="Y300" i="15"/>
  <c r="Z300" i="15"/>
  <c r="Y301" i="15"/>
  <c r="Z301" i="15"/>
  <c r="Y302" i="15"/>
  <c r="Z302" i="15"/>
  <c r="Y303" i="15"/>
  <c r="Z303" i="15"/>
  <c r="A30" i="16"/>
  <c r="A29" i="16"/>
  <c r="E1" i="15"/>
  <c r="A1" i="17" l="1"/>
  <c r="S30" i="16"/>
  <c r="Z29" i="16"/>
  <c r="Z97" i="16"/>
  <c r="Z96" i="16"/>
  <c r="A97" i="16"/>
  <c r="A96" i="16"/>
  <c r="J174" i="16"/>
  <c r="J173" i="16"/>
  <c r="J172" i="16"/>
  <c r="S137" i="16" l="1"/>
  <c r="AE137" i="16"/>
  <c r="Y96" i="16"/>
  <c r="Y97" i="16"/>
  <c r="Y29" i="16"/>
  <c r="Z101" i="16"/>
  <c r="Z106" i="16"/>
  <c r="Z107" i="16"/>
  <c r="Z117" i="16"/>
  <c r="Z118" i="16"/>
  <c r="Z119" i="16"/>
  <c r="Y120" i="16"/>
  <c r="Z120" i="16"/>
  <c r="Z173" i="16"/>
  <c r="Y181" i="16"/>
  <c r="Z181" i="16"/>
  <c r="Y182" i="16"/>
  <c r="Z182" i="16"/>
  <c r="Y183" i="16"/>
  <c r="Z183" i="16"/>
  <c r="Y184" i="16"/>
  <c r="Z184" i="16"/>
  <c r="Y185" i="16"/>
  <c r="Z185" i="16"/>
  <c r="Y186" i="16"/>
  <c r="Z186" i="16"/>
  <c r="Y187" i="16"/>
  <c r="Z187" i="16"/>
  <c r="Y188" i="16"/>
  <c r="Z188" i="16"/>
  <c r="Y189" i="16"/>
  <c r="Z189" i="16"/>
  <c r="Y190" i="16"/>
  <c r="Z190" i="16"/>
  <c r="Y191" i="16"/>
  <c r="Z191" i="16"/>
  <c r="Y192" i="16"/>
  <c r="Z192" i="16"/>
  <c r="Y193" i="16"/>
  <c r="Z193" i="16"/>
  <c r="Y194" i="16"/>
  <c r="Z194" i="16"/>
  <c r="Y195" i="16"/>
  <c r="Z195" i="16"/>
  <c r="Y196" i="16"/>
  <c r="Z196" i="16"/>
  <c r="Y197" i="16"/>
  <c r="Z197" i="16"/>
  <c r="Y198" i="16"/>
  <c r="Z198" i="16"/>
  <c r="Y199" i="16"/>
  <c r="Z199" i="16"/>
  <c r="Y200" i="16"/>
  <c r="Z200" i="16"/>
  <c r="Y201" i="16"/>
  <c r="Z201" i="16"/>
  <c r="Y202" i="16"/>
  <c r="Z202" i="16"/>
  <c r="Y203" i="16"/>
  <c r="Z203" i="16"/>
  <c r="Y204" i="16"/>
  <c r="Z204" i="16"/>
  <c r="Y205" i="16"/>
  <c r="Z205" i="16"/>
  <c r="Y206" i="16"/>
  <c r="Z206" i="16"/>
  <c r="Y207" i="16"/>
  <c r="Z207" i="16"/>
  <c r="Y208" i="16"/>
  <c r="Z208" i="16"/>
  <c r="Y209" i="16"/>
  <c r="Z209" i="16"/>
  <c r="Y210" i="16"/>
  <c r="Z210" i="16"/>
  <c r="Y211" i="16"/>
  <c r="Z211" i="16"/>
  <c r="Y212" i="16"/>
  <c r="Z212" i="16"/>
  <c r="Y213" i="16"/>
  <c r="Z213" i="16"/>
  <c r="Y214" i="16"/>
  <c r="Z214" i="16"/>
  <c r="Y215" i="16"/>
  <c r="Z215" i="16"/>
  <c r="Y216" i="16"/>
  <c r="Z216" i="16"/>
  <c r="Y217" i="16"/>
  <c r="Z217" i="16"/>
  <c r="Y218" i="16"/>
  <c r="Z218" i="16"/>
  <c r="Y219" i="16"/>
  <c r="Z219" i="16"/>
  <c r="Y220" i="16"/>
  <c r="Z220" i="16"/>
  <c r="Y221" i="16"/>
  <c r="Z221" i="16"/>
  <c r="Y222" i="16"/>
  <c r="Z222" i="16"/>
  <c r="Y223" i="16"/>
  <c r="Z223" i="16"/>
  <c r="Y224" i="16"/>
  <c r="Z224" i="16"/>
  <c r="Y225" i="16"/>
  <c r="Z225" i="16"/>
  <c r="Y226" i="16"/>
  <c r="Z226" i="16"/>
  <c r="Y227" i="16"/>
  <c r="Z227" i="16"/>
  <c r="Y228" i="16"/>
  <c r="Z228" i="16"/>
  <c r="Y229" i="16"/>
  <c r="Z229" i="16"/>
  <c r="Y230" i="16"/>
  <c r="Z230" i="16"/>
  <c r="Y231" i="16"/>
  <c r="Z231" i="16"/>
  <c r="Y232" i="16"/>
  <c r="Z232" i="16"/>
  <c r="Y233" i="16"/>
  <c r="Z233" i="16"/>
  <c r="Y234" i="16"/>
  <c r="Z234" i="16"/>
  <c r="Y235" i="16"/>
  <c r="Z235" i="16"/>
  <c r="Y236" i="16"/>
  <c r="Z236" i="16"/>
  <c r="Y237" i="16"/>
  <c r="Z237" i="16"/>
  <c r="A107" i="16"/>
  <c r="A106" i="16"/>
  <c r="A105" i="16"/>
  <c r="U163" i="16"/>
  <c r="V163" i="16"/>
  <c r="U164" i="16"/>
  <c r="V164" i="16"/>
  <c r="U162" i="16"/>
  <c r="V162" i="16"/>
  <c r="Z174" i="16"/>
  <c r="Y173" i="16"/>
  <c r="Y172" i="16"/>
  <c r="A117" i="16"/>
  <c r="Y117" i="16" s="1"/>
  <c r="A118" i="16"/>
  <c r="A119" i="16"/>
  <c r="Y107" i="16" l="1"/>
  <c r="S164" i="16"/>
  <c r="Y164" i="16" s="1"/>
  <c r="Y105" i="16"/>
  <c r="Y106" i="16"/>
  <c r="S163" i="16"/>
  <c r="Z163" i="16" s="1"/>
  <c r="S162" i="16"/>
  <c r="Y162" i="16" s="1"/>
  <c r="Y137" i="16"/>
  <c r="Z137" i="16"/>
  <c r="Y174" i="16"/>
  <c r="Z172" i="16"/>
  <c r="Y119" i="16"/>
  <c r="Y118" i="16"/>
  <c r="A101" i="16"/>
  <c r="Y101" i="16" s="1"/>
  <c r="Z164" i="16" l="1"/>
  <c r="Z162" i="16"/>
  <c r="Y163" i="16"/>
  <c r="A100" i="16"/>
  <c r="A75" i="17"/>
  <c r="A76" i="17"/>
  <c r="X76" i="17" s="1"/>
  <c r="A77" i="17"/>
  <c r="A78" i="17"/>
  <c r="X78" i="17" s="1"/>
  <c r="A79" i="17"/>
  <c r="A80" i="17"/>
  <c r="A81" i="17"/>
  <c r="A82" i="17"/>
  <c r="A83" i="17"/>
  <c r="A84" i="17"/>
  <c r="X84" i="17" s="1"/>
  <c r="A85" i="17"/>
  <c r="A86" i="17"/>
  <c r="A87" i="17"/>
  <c r="X87" i="17" s="1"/>
  <c r="A88" i="17"/>
  <c r="X88" i="17" s="1"/>
  <c r="A89" i="17"/>
  <c r="A90" i="17"/>
  <c r="X90" i="17" s="1"/>
  <c r="A91" i="17"/>
  <c r="X91" i="17" s="1"/>
  <c r="A92" i="17"/>
  <c r="X92" i="17" s="1"/>
  <c r="A93" i="17"/>
  <c r="A94" i="17"/>
  <c r="X94" i="17" s="1"/>
  <c r="A95" i="17"/>
  <c r="X95" i="17" s="1"/>
  <c r="A96" i="17"/>
  <c r="X96" i="17" s="1"/>
  <c r="A97" i="17"/>
  <c r="A98" i="17"/>
  <c r="X98" i="17" s="1"/>
  <c r="A99" i="17"/>
  <c r="X99" i="17" s="1"/>
  <c r="A100" i="17"/>
  <c r="X103" i="17"/>
  <c r="A3" i="17"/>
  <c r="A4" i="17"/>
  <c r="X4" i="17" s="1"/>
  <c r="A5" i="17"/>
  <c r="X5" i="17" s="1"/>
  <c r="A6" i="17"/>
  <c r="A7" i="17"/>
  <c r="X7" i="17" s="1"/>
  <c r="A8" i="17"/>
  <c r="X8" i="17" s="1"/>
  <c r="A9" i="17"/>
  <c r="A10" i="17"/>
  <c r="A11" i="17"/>
  <c r="X11" i="17" s="1"/>
  <c r="A12" i="17"/>
  <c r="A13" i="17"/>
  <c r="X13" i="17" s="1"/>
  <c r="A14" i="17"/>
  <c r="A15" i="17"/>
  <c r="A16" i="17"/>
  <c r="A17" i="17"/>
  <c r="A18" i="17"/>
  <c r="A19" i="17"/>
  <c r="X19" i="17" s="1"/>
  <c r="A20" i="17"/>
  <c r="X20" i="17" s="1"/>
  <c r="A21" i="17"/>
  <c r="A22" i="17"/>
  <c r="A23" i="17"/>
  <c r="A24" i="17"/>
  <c r="X24" i="17" s="1"/>
  <c r="A25" i="17"/>
  <c r="A26" i="17"/>
  <c r="A27" i="17"/>
  <c r="A28" i="17"/>
  <c r="X28" i="17" s="1"/>
  <c r="A29" i="17"/>
  <c r="X29" i="17" s="1"/>
  <c r="A30" i="17"/>
  <c r="A31" i="17"/>
  <c r="X31" i="17" s="1"/>
  <c r="A32" i="17"/>
  <c r="X32" i="17" s="1"/>
  <c r="A33" i="17"/>
  <c r="X33" i="17" s="1"/>
  <c r="A34" i="17"/>
  <c r="A35" i="17"/>
  <c r="A36" i="17"/>
  <c r="X36" i="17" s="1"/>
  <c r="A37" i="17"/>
  <c r="X37" i="17" s="1"/>
  <c r="A38" i="17"/>
  <c r="A39" i="17"/>
  <c r="A40" i="17"/>
  <c r="A41" i="17"/>
  <c r="A42" i="17"/>
  <c r="A43" i="17"/>
  <c r="X43" i="17" s="1"/>
  <c r="A44" i="17"/>
  <c r="X44" i="17" s="1"/>
  <c r="A45" i="17"/>
  <c r="X45" i="17" s="1"/>
  <c r="A46" i="17"/>
  <c r="A47" i="17"/>
  <c r="A48" i="17"/>
  <c r="X48" i="17" s="1"/>
  <c r="A49" i="17"/>
  <c r="A50" i="17"/>
  <c r="A51" i="17"/>
  <c r="A52" i="17"/>
  <c r="X52" i="17" s="1"/>
  <c r="A53" i="17"/>
  <c r="X53" i="17" s="1"/>
  <c r="A54" i="17"/>
  <c r="A55" i="17"/>
  <c r="X55" i="17" s="1"/>
  <c r="A56" i="17"/>
  <c r="X56" i="17" s="1"/>
  <c r="A57" i="17"/>
  <c r="X57" i="17" s="1"/>
  <c r="A58" i="17"/>
  <c r="A59" i="17"/>
  <c r="A60" i="17"/>
  <c r="X60" i="17" s="1"/>
  <c r="A61" i="17"/>
  <c r="X61" i="17" s="1"/>
  <c r="A62" i="17"/>
  <c r="A63" i="17"/>
  <c r="A64" i="17"/>
  <c r="A65" i="17"/>
  <c r="X65" i="17" s="1"/>
  <c r="A66" i="17"/>
  <c r="A67" i="17"/>
  <c r="X67" i="17" s="1"/>
  <c r="A68" i="17"/>
  <c r="X68" i="17" s="1"/>
  <c r="A69" i="17"/>
  <c r="X69" i="17" s="1"/>
  <c r="A70" i="17"/>
  <c r="A71" i="17"/>
  <c r="X71" i="17" s="1"/>
  <c r="A72" i="17"/>
  <c r="X72" i="17" s="1"/>
  <c r="A73" i="17"/>
  <c r="A74" i="17"/>
  <c r="A2" i="17"/>
  <c r="X2" i="17" s="1"/>
  <c r="D1" i="17"/>
  <c r="X203" i="17"/>
  <c r="X202" i="17"/>
  <c r="X201" i="17"/>
  <c r="X200" i="17"/>
  <c r="X199" i="17"/>
  <c r="X198" i="17"/>
  <c r="X197" i="17"/>
  <c r="X196" i="17"/>
  <c r="X195" i="17"/>
  <c r="X194" i="17"/>
  <c r="X193" i="17"/>
  <c r="X192" i="17"/>
  <c r="X191" i="17"/>
  <c r="X190" i="17"/>
  <c r="X189" i="17"/>
  <c r="X188" i="17"/>
  <c r="X187" i="17"/>
  <c r="X186" i="17"/>
  <c r="X185" i="17"/>
  <c r="X184" i="17"/>
  <c r="X183" i="17"/>
  <c r="X182" i="17"/>
  <c r="X181" i="17"/>
  <c r="X180" i="17"/>
  <c r="X179" i="17"/>
  <c r="X178" i="17"/>
  <c r="X177" i="17"/>
  <c r="X176" i="17"/>
  <c r="X175" i="17"/>
  <c r="X174" i="17"/>
  <c r="X173" i="17"/>
  <c r="X172" i="17"/>
  <c r="X171" i="17"/>
  <c r="X170" i="17"/>
  <c r="X169" i="17"/>
  <c r="X168" i="17"/>
  <c r="X167" i="17"/>
  <c r="X166" i="17"/>
  <c r="X165" i="17"/>
  <c r="X164" i="17"/>
  <c r="X163" i="17"/>
  <c r="X162" i="17"/>
  <c r="X161" i="17"/>
  <c r="X160" i="17"/>
  <c r="X159" i="17"/>
  <c r="X158" i="17"/>
  <c r="X157" i="17"/>
  <c r="X156" i="17"/>
  <c r="X155" i="17"/>
  <c r="X154" i="17"/>
  <c r="X153" i="17"/>
  <c r="X152" i="17"/>
  <c r="X151" i="17"/>
  <c r="X150" i="17"/>
  <c r="X149" i="17"/>
  <c r="X148" i="17"/>
  <c r="X147" i="17"/>
  <c r="X146" i="17"/>
  <c r="X145" i="17"/>
  <c r="X144" i="17"/>
  <c r="X143" i="17"/>
  <c r="X142" i="17"/>
  <c r="X141" i="17"/>
  <c r="X140" i="17"/>
  <c r="X139" i="17"/>
  <c r="X138" i="17"/>
  <c r="X137" i="17"/>
  <c r="X136" i="17"/>
  <c r="X135" i="17"/>
  <c r="X134" i="17"/>
  <c r="X133" i="17"/>
  <c r="X132" i="17"/>
  <c r="X131" i="17"/>
  <c r="X130" i="17"/>
  <c r="X129" i="17"/>
  <c r="X128" i="17"/>
  <c r="X127" i="17"/>
  <c r="X126" i="17"/>
  <c r="X125" i="17"/>
  <c r="X124" i="17"/>
  <c r="X123" i="17"/>
  <c r="X122" i="17"/>
  <c r="X121" i="17"/>
  <c r="X120" i="17"/>
  <c r="X119" i="17"/>
  <c r="X118" i="17"/>
  <c r="X117" i="17"/>
  <c r="X116" i="17"/>
  <c r="X115" i="17"/>
  <c r="X114" i="17"/>
  <c r="X113" i="17"/>
  <c r="X112" i="17"/>
  <c r="X111" i="17"/>
  <c r="X110" i="17"/>
  <c r="X109" i="17"/>
  <c r="X108" i="17"/>
  <c r="X107" i="17"/>
  <c r="X106" i="17"/>
  <c r="X105" i="17"/>
  <c r="X104" i="17"/>
  <c r="X102" i="17"/>
  <c r="X101" i="17"/>
  <c r="Y100" i="17"/>
  <c r="X100" i="17"/>
  <c r="Y99" i="17"/>
  <c r="Y98" i="17"/>
  <c r="Y97" i="17"/>
  <c r="X97" i="17"/>
  <c r="Y96" i="17"/>
  <c r="Y95" i="17"/>
  <c r="Y94" i="17"/>
  <c r="Y93" i="17"/>
  <c r="X93" i="17"/>
  <c r="Y92" i="17"/>
  <c r="Y91" i="17"/>
  <c r="Y90" i="17"/>
  <c r="Y89" i="17"/>
  <c r="X89" i="17"/>
  <c r="Y88" i="17"/>
  <c r="Y87" i="17"/>
  <c r="Y86" i="17"/>
  <c r="X86" i="17"/>
  <c r="Y85" i="17"/>
  <c r="X85" i="17"/>
  <c r="Y84" i="17"/>
  <c r="Y80" i="17"/>
  <c r="Y79" i="17"/>
  <c r="Y78" i="17"/>
  <c r="Y77" i="17"/>
  <c r="X77" i="17"/>
  <c r="Y76" i="17"/>
  <c r="Y75" i="17"/>
  <c r="X75" i="17"/>
  <c r="Y74" i="17"/>
  <c r="X74" i="17"/>
  <c r="Y73" i="17"/>
  <c r="X73" i="17"/>
  <c r="Y72" i="17"/>
  <c r="Y71" i="17"/>
  <c r="Y70" i="17"/>
  <c r="X70" i="17"/>
  <c r="Y69" i="17"/>
  <c r="Y68" i="17"/>
  <c r="Y67" i="17"/>
  <c r="Y66" i="17"/>
  <c r="X66" i="17"/>
  <c r="Y65" i="17"/>
  <c r="Y64" i="17"/>
  <c r="X64" i="17"/>
  <c r="Y63" i="17"/>
  <c r="X63" i="17"/>
  <c r="Y62" i="17"/>
  <c r="X62" i="17"/>
  <c r="Y61" i="17"/>
  <c r="Y60" i="17"/>
  <c r="Y59" i="17"/>
  <c r="X59" i="17"/>
  <c r="Y58" i="17"/>
  <c r="X58" i="17"/>
  <c r="Y57" i="17"/>
  <c r="Y56" i="17"/>
  <c r="Y55" i="17"/>
  <c r="Y54" i="17"/>
  <c r="X54" i="17"/>
  <c r="Y53" i="17"/>
  <c r="Y52" i="17"/>
  <c r="Y51" i="17"/>
  <c r="X51" i="17"/>
  <c r="Y50" i="17"/>
  <c r="X50" i="17"/>
  <c r="Y49" i="17"/>
  <c r="X49" i="17"/>
  <c r="Y48" i="17"/>
  <c r="Y47" i="17"/>
  <c r="X47" i="17"/>
  <c r="Y46" i="17"/>
  <c r="X46" i="17"/>
  <c r="Y45" i="17"/>
  <c r="Y44" i="17"/>
  <c r="Y43" i="17"/>
  <c r="Y42" i="17"/>
  <c r="X42" i="17"/>
  <c r="Y41" i="17"/>
  <c r="X41" i="17"/>
  <c r="Y40" i="17"/>
  <c r="X40" i="17"/>
  <c r="Y39" i="17"/>
  <c r="X39" i="17"/>
  <c r="Y38" i="17"/>
  <c r="X38" i="17"/>
  <c r="Y37" i="17"/>
  <c r="Y36" i="17"/>
  <c r="Y35" i="17"/>
  <c r="X35" i="17"/>
  <c r="Y34" i="17"/>
  <c r="X34" i="17"/>
  <c r="Y33" i="17"/>
  <c r="Y32" i="17"/>
  <c r="Y31" i="17"/>
  <c r="Y30" i="17"/>
  <c r="X30" i="17"/>
  <c r="Y29" i="17"/>
  <c r="Y28" i="17"/>
  <c r="Y27" i="17"/>
  <c r="Y26" i="17"/>
  <c r="X26" i="17"/>
  <c r="Y25" i="17"/>
  <c r="X25" i="17"/>
  <c r="Y24" i="17"/>
  <c r="Y23" i="17"/>
  <c r="X23" i="17"/>
  <c r="Y22" i="17"/>
  <c r="X22" i="17"/>
  <c r="Y21" i="17"/>
  <c r="X21" i="17"/>
  <c r="Y20" i="17"/>
  <c r="Y19" i="17"/>
  <c r="Y18" i="17"/>
  <c r="X18" i="17"/>
  <c r="Y17" i="17"/>
  <c r="X17" i="17"/>
  <c r="Y16" i="17"/>
  <c r="X16" i="17"/>
  <c r="Y15" i="17"/>
  <c r="X15" i="17"/>
  <c r="Y14" i="17"/>
  <c r="X14" i="17"/>
  <c r="Y13" i="17"/>
  <c r="Y12" i="17"/>
  <c r="X12" i="17"/>
  <c r="Y11" i="17"/>
  <c r="Y10" i="17"/>
  <c r="X10" i="17"/>
  <c r="Y9" i="17"/>
  <c r="X9" i="17"/>
  <c r="Y8" i="17"/>
  <c r="Y7" i="17"/>
  <c r="Y6" i="17"/>
  <c r="X6" i="17"/>
  <c r="Y5" i="17"/>
  <c r="Y4" i="17"/>
  <c r="Y3" i="17"/>
  <c r="X3" i="17"/>
  <c r="Y2" i="17"/>
  <c r="C1" i="17"/>
  <c r="A99" i="16"/>
  <c r="A98" i="16"/>
  <c r="A83" i="16"/>
  <c r="A84" i="16"/>
  <c r="A85" i="16"/>
  <c r="A86" i="16"/>
  <c r="A87" i="16"/>
  <c r="A94" i="16"/>
  <c r="A95" i="16"/>
  <c r="A82" i="16"/>
  <c r="Z95" i="16"/>
  <c r="Z98" i="16"/>
  <c r="Z99" i="16"/>
  <c r="Z100" i="16"/>
  <c r="J123" i="16" l="1"/>
  <c r="S123" i="16"/>
  <c r="J128" i="16"/>
  <c r="S128" i="16"/>
  <c r="J127" i="16"/>
  <c r="S127" i="16"/>
  <c r="Z127" i="16" s="1"/>
  <c r="J126" i="16"/>
  <c r="S126" i="16"/>
  <c r="J125" i="16"/>
  <c r="S125" i="16"/>
  <c r="J124" i="16"/>
  <c r="S124" i="16"/>
  <c r="Y99" i="16"/>
  <c r="Y139" i="16"/>
  <c r="Z139" i="16"/>
  <c r="Y95" i="16"/>
  <c r="Y100" i="16"/>
  <c r="Y98" i="16"/>
  <c r="Y83" i="17"/>
  <c r="Y82" i="17"/>
  <c r="X82" i="17"/>
  <c r="Y81" i="17"/>
  <c r="X81" i="17"/>
  <c r="X27" i="17"/>
  <c r="X79" i="17"/>
  <c r="X80" i="17"/>
  <c r="X83" i="17"/>
  <c r="Y123" i="16" l="1"/>
  <c r="Y128" i="16"/>
  <c r="Z128" i="16"/>
  <c r="Z126" i="16"/>
  <c r="Z123" i="16"/>
  <c r="Y124" i="16"/>
  <c r="Y125" i="16"/>
  <c r="Y127" i="16"/>
  <c r="Z125" i="16"/>
  <c r="Y126" i="16"/>
  <c r="Z124" i="16"/>
  <c r="Y138" i="16"/>
  <c r="Z138" i="16"/>
  <c r="A62" i="16"/>
  <c r="Y62" i="16" s="1"/>
  <c r="Z62" i="16"/>
  <c r="Z63" i="16"/>
  <c r="Y82" i="16"/>
  <c r="Z82" i="16"/>
  <c r="Y83" i="16"/>
  <c r="Z83" i="16"/>
  <c r="Y84" i="16"/>
  <c r="Z84" i="16"/>
  <c r="Y85" i="16"/>
  <c r="Z85" i="16"/>
  <c r="Y86" i="16"/>
  <c r="Z86" i="16"/>
  <c r="Y87" i="16"/>
  <c r="Z87" i="16"/>
  <c r="Y94" i="16"/>
  <c r="Z94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J122" i="16" s="1"/>
  <c r="A25" i="16"/>
  <c r="A26" i="16"/>
  <c r="A27" i="16"/>
  <c r="S140" i="16" s="1"/>
  <c r="A28" i="16"/>
  <c r="A31" i="16"/>
  <c r="J121" i="16" s="1"/>
  <c r="A32" i="16"/>
  <c r="A33" i="16"/>
  <c r="A34" i="16"/>
  <c r="A35" i="16"/>
  <c r="A36" i="16"/>
  <c r="S145" i="16" s="1"/>
  <c r="A37" i="16"/>
  <c r="S146" i="16" s="1"/>
  <c r="A38" i="16"/>
  <c r="I147" i="16" s="1"/>
  <c r="A39" i="16"/>
  <c r="I148" i="16" s="1"/>
  <c r="A40" i="16"/>
  <c r="I149" i="16" s="1"/>
  <c r="A41" i="16"/>
  <c r="A42" i="16"/>
  <c r="A43" i="16"/>
  <c r="A44" i="16"/>
  <c r="S165" i="16" s="1"/>
  <c r="A45" i="16"/>
  <c r="S166" i="16" s="1"/>
  <c r="A46" i="16"/>
  <c r="S167" i="16" s="1"/>
  <c r="A47" i="16"/>
  <c r="S171" i="16" s="1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3" i="16"/>
  <c r="Y63" i="16" s="1"/>
  <c r="A3" i="16"/>
  <c r="S151" i="16" l="1"/>
  <c r="S150" i="16"/>
  <c r="S152" i="16"/>
  <c r="S89" i="16"/>
  <c r="Z89" i="16" s="1"/>
  <c r="Z122" i="16"/>
  <c r="Y122" i="16"/>
  <c r="Y167" i="16"/>
  <c r="Z167" i="16"/>
  <c r="Y166" i="16"/>
  <c r="Z166" i="16"/>
  <c r="Y165" i="16"/>
  <c r="Z165" i="16"/>
  <c r="U158" i="16"/>
  <c r="T158" i="16"/>
  <c r="U156" i="16"/>
  <c r="U157" i="16"/>
  <c r="T157" i="16"/>
  <c r="T156" i="16"/>
  <c r="I92" i="16"/>
  <c r="S88" i="16"/>
  <c r="S144" i="16"/>
  <c r="S141" i="16"/>
  <c r="S143" i="16"/>
  <c r="S142" i="16"/>
  <c r="S93" i="16"/>
  <c r="J65" i="16"/>
  <c r="J67" i="16"/>
  <c r="J66" i="16"/>
  <c r="S92" i="16"/>
  <c r="J64" i="16"/>
  <c r="AE141" i="16"/>
  <c r="J69" i="16"/>
  <c r="J68" i="16"/>
  <c r="Z30" i="16"/>
  <c r="Y30" i="16"/>
  <c r="Y168" i="16"/>
  <c r="Z168" i="16"/>
  <c r="Y171" i="16"/>
  <c r="Z171" i="16"/>
  <c r="Y148" i="16"/>
  <c r="Z148" i="16"/>
  <c r="Y170" i="16"/>
  <c r="Z170" i="16"/>
  <c r="Y147" i="16"/>
  <c r="Z147" i="16"/>
  <c r="J176" i="16"/>
  <c r="J175" i="16"/>
  <c r="J179" i="16"/>
  <c r="J177" i="16"/>
  <c r="J180" i="16"/>
  <c r="J178" i="16"/>
  <c r="Z149" i="16"/>
  <c r="Y149" i="16"/>
  <c r="Z169" i="16"/>
  <c r="Y169" i="16"/>
  <c r="S121" i="16"/>
  <c r="M1" i="3"/>
  <c r="S157" i="16" l="1"/>
  <c r="S158" i="16"/>
  <c r="Z158" i="16" s="1"/>
  <c r="S156" i="16"/>
  <c r="AB156" i="16"/>
  <c r="Y89" i="16"/>
  <c r="Y157" i="16"/>
  <c r="Y156" i="16"/>
  <c r="Z93" i="16"/>
  <c r="Y92" i="16"/>
  <c r="Y145" i="16"/>
  <c r="Y93" i="16"/>
  <c r="Z92" i="16"/>
  <c r="Z145" i="16"/>
  <c r="Z146" i="16"/>
  <c r="Y146" i="16"/>
  <c r="Y154" i="16"/>
  <c r="Z154" i="16"/>
  <c r="Y153" i="16"/>
  <c r="Z153" i="16"/>
  <c r="Y155" i="16"/>
  <c r="Z155" i="16"/>
  <c r="Y88" i="16"/>
  <c r="Z88" i="16"/>
  <c r="Y150" i="16"/>
  <c r="Z150" i="16"/>
  <c r="Y160" i="16"/>
  <c r="Z160" i="16"/>
  <c r="Y178" i="16"/>
  <c r="Z178" i="16"/>
  <c r="Y140" i="16"/>
  <c r="Z140" i="16"/>
  <c r="Y159" i="16"/>
  <c r="Z159" i="16"/>
  <c r="Z180" i="16"/>
  <c r="Y180" i="16"/>
  <c r="Y121" i="16"/>
  <c r="Z121" i="16"/>
  <c r="Y151" i="16"/>
  <c r="Z151" i="16"/>
  <c r="Y179" i="16"/>
  <c r="Z179" i="16"/>
  <c r="Y142" i="16"/>
  <c r="Z142" i="16"/>
  <c r="Y175" i="16"/>
  <c r="Z175" i="16"/>
  <c r="Y161" i="16"/>
  <c r="Z161" i="16"/>
  <c r="Y152" i="16"/>
  <c r="Z152" i="16"/>
  <c r="Y176" i="16"/>
  <c r="Z176" i="16"/>
  <c r="Y177" i="16"/>
  <c r="Z177" i="16"/>
  <c r="Y144" i="16"/>
  <c r="Z144" i="16"/>
  <c r="Y143" i="16"/>
  <c r="Z143" i="16"/>
  <c r="Y141" i="16"/>
  <c r="Z141" i="16"/>
  <c r="Y563" i="1"/>
  <c r="AE563" i="1" s="1"/>
  <c r="Y562" i="1"/>
  <c r="AE562" i="1" s="1"/>
  <c r="Y561" i="1"/>
  <c r="AE561" i="1" s="1"/>
  <c r="S554" i="1"/>
  <c r="S553" i="1"/>
  <c r="S552" i="1"/>
  <c r="Y158" i="16" l="1"/>
  <c r="Z157" i="16"/>
  <c r="AF563" i="1"/>
  <c r="Z156" i="16"/>
  <c r="AF562" i="1"/>
  <c r="AF561" i="1"/>
  <c r="D1" i="16"/>
  <c r="C1" i="16"/>
  <c r="A1" i="16"/>
  <c r="Z267" i="16"/>
  <c r="Y267" i="16"/>
  <c r="Z266" i="16"/>
  <c r="Y266" i="16"/>
  <c r="Z265" i="16"/>
  <c r="Y265" i="16"/>
  <c r="Z264" i="16"/>
  <c r="Y264" i="16"/>
  <c r="Z263" i="16"/>
  <c r="Y263" i="16"/>
  <c r="Z262" i="16"/>
  <c r="Y262" i="16"/>
  <c r="Z261" i="16"/>
  <c r="Y261" i="16"/>
  <c r="Z260" i="16"/>
  <c r="Y260" i="16"/>
  <c r="Z259" i="16"/>
  <c r="Y259" i="16"/>
  <c r="Z258" i="16"/>
  <c r="Y258" i="16"/>
  <c r="Z257" i="16"/>
  <c r="Y257" i="16"/>
  <c r="Z256" i="16"/>
  <c r="Y256" i="16"/>
  <c r="Z255" i="16"/>
  <c r="Y255" i="16"/>
  <c r="Z254" i="16"/>
  <c r="Y254" i="16"/>
  <c r="Z253" i="16"/>
  <c r="Y253" i="16"/>
  <c r="Z252" i="16"/>
  <c r="Y252" i="16"/>
  <c r="Z251" i="16"/>
  <c r="Y251" i="16"/>
  <c r="Z250" i="16"/>
  <c r="Y250" i="16"/>
  <c r="Z249" i="16"/>
  <c r="Y249" i="16"/>
  <c r="Z248" i="16"/>
  <c r="Y248" i="16"/>
  <c r="Z247" i="16"/>
  <c r="Y247" i="16"/>
  <c r="Z246" i="16"/>
  <c r="Y246" i="16"/>
  <c r="Z245" i="16"/>
  <c r="Y245" i="16"/>
  <c r="Z244" i="16"/>
  <c r="Y244" i="16"/>
  <c r="Z243" i="16"/>
  <c r="Y243" i="16"/>
  <c r="Z242" i="16"/>
  <c r="Y242" i="16"/>
  <c r="Z241" i="16"/>
  <c r="Y241" i="16"/>
  <c r="Z240" i="16"/>
  <c r="Y240" i="16"/>
  <c r="Z239" i="16"/>
  <c r="Y239" i="16"/>
  <c r="Z238" i="16"/>
  <c r="Y238" i="16"/>
  <c r="Z61" i="16"/>
  <c r="Y61" i="16"/>
  <c r="Z60" i="16"/>
  <c r="Y60" i="16"/>
  <c r="Z59" i="16"/>
  <c r="Y59" i="16"/>
  <c r="Z58" i="16"/>
  <c r="Y58" i="16"/>
  <c r="Z57" i="16"/>
  <c r="Y57" i="16"/>
  <c r="Z56" i="16"/>
  <c r="Y56" i="16"/>
  <c r="Z55" i="16"/>
  <c r="Y55" i="16"/>
  <c r="Z54" i="16"/>
  <c r="Y54" i="16"/>
  <c r="Z53" i="16"/>
  <c r="Y53" i="16"/>
  <c r="Z52" i="16"/>
  <c r="Y52" i="16"/>
  <c r="Z51" i="16"/>
  <c r="Y51" i="16"/>
  <c r="Z50" i="16"/>
  <c r="Y50" i="16"/>
  <c r="Z49" i="16"/>
  <c r="Y49" i="16"/>
  <c r="Z48" i="16"/>
  <c r="Y48" i="16"/>
  <c r="Z47" i="16"/>
  <c r="Y47" i="16"/>
  <c r="Z46" i="16"/>
  <c r="Y46" i="16"/>
  <c r="Z45" i="16"/>
  <c r="Y45" i="16"/>
  <c r="Z44" i="16"/>
  <c r="Y44" i="16"/>
  <c r="Z43" i="16"/>
  <c r="Y43" i="16"/>
  <c r="Z42" i="16"/>
  <c r="Y42" i="16"/>
  <c r="Z41" i="16"/>
  <c r="Y41" i="16"/>
  <c r="Z40" i="16"/>
  <c r="Y40" i="16"/>
  <c r="Z39" i="16"/>
  <c r="Y39" i="16"/>
  <c r="Z38" i="16"/>
  <c r="Y38" i="16"/>
  <c r="Z37" i="16"/>
  <c r="Y37" i="16"/>
  <c r="Z36" i="16"/>
  <c r="Y36" i="16"/>
  <c r="Z35" i="16"/>
  <c r="Y35" i="16"/>
  <c r="Z34" i="16"/>
  <c r="Y34" i="16"/>
  <c r="Z33" i="16"/>
  <c r="Y33" i="16"/>
  <c r="Z32" i="16"/>
  <c r="Y32" i="16"/>
  <c r="Z31" i="16"/>
  <c r="Y31" i="16"/>
  <c r="Z28" i="16"/>
  <c r="Y28" i="16"/>
  <c r="Z27" i="16"/>
  <c r="Y27" i="16"/>
  <c r="Z26" i="16"/>
  <c r="Y26" i="16"/>
  <c r="Z25" i="16"/>
  <c r="Y25" i="16"/>
  <c r="Z24" i="16"/>
  <c r="Y24" i="16"/>
  <c r="Z23" i="16"/>
  <c r="Y23" i="16"/>
  <c r="Z22" i="16"/>
  <c r="Y22" i="16"/>
  <c r="Z21" i="16"/>
  <c r="Y21" i="16"/>
  <c r="Z20" i="16"/>
  <c r="Y20" i="16"/>
  <c r="Z19" i="16"/>
  <c r="Y19" i="16"/>
  <c r="Z18" i="16"/>
  <c r="Y18" i="16"/>
  <c r="Z17" i="16"/>
  <c r="Y17" i="16"/>
  <c r="Z16" i="16"/>
  <c r="Y16" i="16"/>
  <c r="Z15" i="16"/>
  <c r="Y15" i="16"/>
  <c r="Z14" i="16"/>
  <c r="Y14" i="16"/>
  <c r="Z13" i="16"/>
  <c r="Y13" i="16"/>
  <c r="Z12" i="16"/>
  <c r="Y12" i="16"/>
  <c r="Z11" i="16"/>
  <c r="Y11" i="16"/>
  <c r="Z10" i="16"/>
  <c r="Y10" i="16"/>
  <c r="Z9" i="16"/>
  <c r="Y9" i="16"/>
  <c r="Z8" i="16"/>
  <c r="Y8" i="16"/>
  <c r="Z7" i="16"/>
  <c r="Y7" i="16"/>
  <c r="Z6" i="16"/>
  <c r="Y6" i="16"/>
  <c r="Z5" i="16"/>
  <c r="Y5" i="16"/>
  <c r="Z4" i="16"/>
  <c r="Y4" i="16"/>
  <c r="Z3" i="16"/>
  <c r="Y3" i="16"/>
  <c r="Z2" i="16"/>
  <c r="A2" i="16"/>
  <c r="Y2" i="16" l="1"/>
  <c r="S129" i="16"/>
  <c r="S90" i="16"/>
  <c r="Z542" i="15"/>
  <c r="Z543" i="15"/>
  <c r="Z544" i="15"/>
  <c r="Z545" i="15"/>
  <c r="Z546" i="15"/>
  <c r="Z547" i="15"/>
  <c r="Z548" i="15"/>
  <c r="Z549" i="15"/>
  <c r="Z550" i="15"/>
  <c r="Z551" i="15"/>
  <c r="Z552" i="15"/>
  <c r="Z553" i="15"/>
  <c r="A542" i="15"/>
  <c r="Y542" i="15" s="1"/>
  <c r="A543" i="15"/>
  <c r="Y543" i="15" s="1"/>
  <c r="A544" i="15"/>
  <c r="Y544" i="15" s="1"/>
  <c r="A545" i="15"/>
  <c r="Y545" i="15" s="1"/>
  <c r="A546" i="15"/>
  <c r="Y546" i="15" s="1"/>
  <c r="A547" i="15"/>
  <c r="Y547" i="15" s="1"/>
  <c r="A548" i="15"/>
  <c r="Y548" i="15" s="1"/>
  <c r="A549" i="15"/>
  <c r="Y549" i="15" s="1"/>
  <c r="A550" i="15"/>
  <c r="Y550" i="15" s="1"/>
  <c r="A551" i="15"/>
  <c r="Y551" i="15" s="1"/>
  <c r="A552" i="15"/>
  <c r="Y552" i="15" s="1"/>
  <c r="A553" i="15"/>
  <c r="Y553" i="15" s="1"/>
  <c r="AA562" i="14" l="1"/>
  <c r="AA561" i="14"/>
  <c r="AA560" i="14"/>
  <c r="AG560" i="14" s="1"/>
  <c r="U559" i="14"/>
  <c r="U558" i="14"/>
  <c r="U557" i="14"/>
  <c r="R556" i="14"/>
  <c r="AG556" i="14" s="1"/>
  <c r="R555" i="14"/>
  <c r="AG555" i="14" s="1"/>
  <c r="R554" i="14"/>
  <c r="AG554" i="14" s="1"/>
  <c r="AA553" i="14"/>
  <c r="AG553" i="14" s="1"/>
  <c r="AA552" i="14"/>
  <c r="AG552" i="14" s="1"/>
  <c r="AA551" i="14"/>
  <c r="AG551" i="14" s="1"/>
  <c r="AH554" i="14" l="1"/>
  <c r="AH553" i="14"/>
  <c r="AH556" i="14"/>
  <c r="AH552" i="14"/>
  <c r="AH555" i="14"/>
  <c r="AH551" i="14"/>
  <c r="AH560" i="14"/>
  <c r="S578" i="1"/>
  <c r="S577" i="1"/>
  <c r="S576" i="1"/>
  <c r="A462" i="15"/>
  <c r="Y462" i="15" s="1"/>
  <c r="A463" i="15"/>
  <c r="Y463" i="15" s="1"/>
  <c r="A464" i="15"/>
  <c r="Y464" i="15" s="1"/>
  <c r="A465" i="15"/>
  <c r="Y465" i="15" s="1"/>
  <c r="A466" i="15"/>
  <c r="Y466" i="15" s="1"/>
  <c r="A467" i="15"/>
  <c r="Y467" i="15" s="1"/>
  <c r="G27" i="5" l="1"/>
  <c r="S27" i="5" s="1"/>
  <c r="G26" i="5"/>
  <c r="S26" i="5" s="1"/>
  <c r="G24" i="5"/>
  <c r="S24" i="5" s="1"/>
  <c r="G25" i="5"/>
  <c r="S25" i="5" s="1"/>
  <c r="H23" i="5"/>
  <c r="S23" i="5" s="1"/>
  <c r="H64" i="5" l="1"/>
  <c r="B1" i="5" l="1"/>
  <c r="Z436" i="15" l="1"/>
  <c r="Z437" i="15"/>
  <c r="Z438" i="15"/>
  <c r="Z439" i="15"/>
  <c r="Z440" i="15"/>
  <c r="Z441" i="15"/>
  <c r="Z442" i="15"/>
  <c r="Z443" i="15"/>
  <c r="Z444" i="15"/>
  <c r="Z445" i="15"/>
  <c r="Z446" i="15"/>
  <c r="Z447" i="15"/>
  <c r="Z448" i="15"/>
  <c r="Z449" i="15"/>
  <c r="Z450" i="15"/>
  <c r="Z451" i="15"/>
  <c r="Z452" i="15"/>
  <c r="Z453" i="15"/>
  <c r="Z454" i="15"/>
  <c r="Z455" i="15"/>
  <c r="Z456" i="15"/>
  <c r="Z457" i="15"/>
  <c r="Z458" i="15"/>
  <c r="Z459" i="15"/>
  <c r="A436" i="15"/>
  <c r="Y436" i="15" s="1"/>
  <c r="A437" i="15"/>
  <c r="Y437" i="15" s="1"/>
  <c r="A438" i="15"/>
  <c r="Y438" i="15" s="1"/>
  <c r="A439" i="15"/>
  <c r="Y439" i="15" s="1"/>
  <c r="A440" i="15"/>
  <c r="Y440" i="15" s="1"/>
  <c r="A441" i="15"/>
  <c r="Y441" i="15" s="1"/>
  <c r="A442" i="15"/>
  <c r="Y442" i="15" s="1"/>
  <c r="A443" i="15"/>
  <c r="Y443" i="15" s="1"/>
  <c r="A444" i="15"/>
  <c r="Y444" i="15" s="1"/>
  <c r="A445" i="15"/>
  <c r="Y445" i="15" s="1"/>
  <c r="A446" i="15"/>
  <c r="Y446" i="15" s="1"/>
  <c r="A447" i="15"/>
  <c r="Y447" i="15" s="1"/>
  <c r="A448" i="15"/>
  <c r="Y448" i="15" s="1"/>
  <c r="A449" i="15"/>
  <c r="Y449" i="15" s="1"/>
  <c r="A450" i="15"/>
  <c r="Y450" i="15" s="1"/>
  <c r="A451" i="15"/>
  <c r="Y451" i="15" s="1"/>
  <c r="A452" i="15"/>
  <c r="Y452" i="15" s="1"/>
  <c r="A453" i="15"/>
  <c r="Y453" i="15" s="1"/>
  <c r="A454" i="15"/>
  <c r="Y454" i="15" s="1"/>
  <c r="A455" i="15"/>
  <c r="Y455" i="15" s="1"/>
  <c r="A456" i="15"/>
  <c r="Y456" i="15" s="1"/>
  <c r="A457" i="15"/>
  <c r="Y457" i="15" s="1"/>
  <c r="A458" i="15"/>
  <c r="Y458" i="15" s="1"/>
  <c r="A459" i="15"/>
  <c r="Y459" i="15" s="1"/>
  <c r="Y551" i="1"/>
  <c r="AE551" i="1" s="1"/>
  <c r="Y550" i="1"/>
  <c r="AE550" i="1" s="1"/>
  <c r="Y549" i="1"/>
  <c r="AE549" i="1" s="1"/>
  <c r="S545" i="1"/>
  <c r="S544" i="1"/>
  <c r="S543" i="1"/>
  <c r="P539" i="1"/>
  <c r="AF539" i="1" s="1"/>
  <c r="P538" i="1"/>
  <c r="AE538" i="1" s="1"/>
  <c r="P537" i="1"/>
  <c r="AE537" i="1" s="1"/>
  <c r="Y533" i="1"/>
  <c r="AE533" i="1" s="1"/>
  <c r="Y532" i="1"/>
  <c r="AE532" i="1" s="1"/>
  <c r="Y531" i="1"/>
  <c r="AE531" i="1" s="1"/>
  <c r="AE572" i="1"/>
  <c r="AF572" i="1"/>
  <c r="Y569" i="1"/>
  <c r="AF569" i="1" s="1"/>
  <c r="Y568" i="1"/>
  <c r="AE568" i="1" s="1"/>
  <c r="Y567" i="1"/>
  <c r="AF567" i="1" s="1"/>
  <c r="S560" i="1"/>
  <c r="S559" i="1"/>
  <c r="S558" i="1"/>
  <c r="Z540" i="15"/>
  <c r="Z541" i="15"/>
  <c r="A541" i="15"/>
  <c r="Y541" i="15" s="1"/>
  <c r="A540" i="15"/>
  <c r="Y540" i="15" s="1"/>
  <c r="AE539" i="1" l="1"/>
  <c r="AF533" i="1"/>
  <c r="AF531" i="1"/>
  <c r="AF551" i="1"/>
  <c r="AF549" i="1"/>
  <c r="AF568" i="1"/>
  <c r="AE567" i="1"/>
  <c r="AF550" i="1"/>
  <c r="AF538" i="1"/>
  <c r="AE569" i="1"/>
  <c r="AF537" i="1"/>
  <c r="AF532" i="1"/>
  <c r="A245" i="14" l="1"/>
  <c r="U246" i="14" s="1"/>
  <c r="AA245" i="14"/>
  <c r="AH245" i="14" s="1"/>
  <c r="A248" i="14"/>
  <c r="AA248" i="14"/>
  <c r="AH248" i="14" s="1"/>
  <c r="A251" i="14"/>
  <c r="AA251" i="14"/>
  <c r="AH251" i="14" s="1"/>
  <c r="U253" i="14"/>
  <c r="U254" i="14"/>
  <c r="U255" i="14"/>
  <c r="Y566" i="1" l="1"/>
  <c r="Y565" i="1"/>
  <c r="Y564" i="1"/>
  <c r="Y548" i="1"/>
  <c r="Y547" i="1"/>
  <c r="Y546" i="1"/>
  <c r="Y530" i="1"/>
  <c r="Y529" i="1"/>
  <c r="Y528" i="1"/>
  <c r="AF564" i="1" l="1"/>
  <c r="AE564" i="1"/>
  <c r="AE565" i="1"/>
  <c r="AF565" i="1"/>
  <c r="AE566" i="1"/>
  <c r="AF566" i="1"/>
  <c r="AE529" i="1"/>
  <c r="AF529" i="1"/>
  <c r="AE546" i="1"/>
  <c r="AF546" i="1"/>
  <c r="AF547" i="1"/>
  <c r="AE547" i="1"/>
  <c r="AE548" i="1"/>
  <c r="AF548" i="1"/>
  <c r="AE530" i="1"/>
  <c r="AF530" i="1"/>
  <c r="AF528" i="1"/>
  <c r="AE528" i="1"/>
  <c r="R244" i="1"/>
  <c r="R240" i="1"/>
  <c r="R240" i="14" l="1"/>
  <c r="R239" i="14"/>
  <c r="Z418" i="15" l="1"/>
  <c r="Z419" i="15"/>
  <c r="Z420" i="15"/>
  <c r="Z421" i="15"/>
  <c r="Z422" i="15"/>
  <c r="Z423" i="15"/>
  <c r="Z424" i="15"/>
  <c r="Z425" i="15"/>
  <c r="Z426" i="15"/>
  <c r="Z427" i="15"/>
  <c r="Z428" i="15"/>
  <c r="Z429" i="15"/>
  <c r="Z430" i="15"/>
  <c r="Z431" i="15"/>
  <c r="Z432" i="15"/>
  <c r="Z433" i="15"/>
  <c r="Z434" i="15"/>
  <c r="Z435" i="15"/>
  <c r="Z460" i="15"/>
  <c r="A418" i="15"/>
  <c r="Y418" i="15" s="1"/>
  <c r="A419" i="15"/>
  <c r="Y419" i="15" s="1"/>
  <c r="A420" i="15"/>
  <c r="Y420" i="15" s="1"/>
  <c r="A421" i="15"/>
  <c r="Y421" i="15" s="1"/>
  <c r="A422" i="15"/>
  <c r="Y422" i="15" s="1"/>
  <c r="A423" i="15"/>
  <c r="Y423" i="15" s="1"/>
  <c r="A424" i="15"/>
  <c r="Y424" i="15" s="1"/>
  <c r="A425" i="15"/>
  <c r="Y425" i="15" s="1"/>
  <c r="A426" i="15"/>
  <c r="Y426" i="15" s="1"/>
  <c r="A427" i="15"/>
  <c r="Y427" i="15" s="1"/>
  <c r="A428" i="15"/>
  <c r="Y428" i="15" s="1"/>
  <c r="A429" i="15"/>
  <c r="Y429" i="15" s="1"/>
  <c r="A430" i="15"/>
  <c r="Y430" i="15" s="1"/>
  <c r="A431" i="15"/>
  <c r="Y431" i="15" s="1"/>
  <c r="A432" i="15"/>
  <c r="Y432" i="15" s="1"/>
  <c r="A433" i="15"/>
  <c r="Y433" i="15" s="1"/>
  <c r="A434" i="15"/>
  <c r="Y434" i="15" s="1"/>
  <c r="A435" i="15"/>
  <c r="Y435" i="15" s="1"/>
  <c r="T395" i="14" l="1"/>
  <c r="A12" i="14"/>
  <c r="AG12" i="14" s="1"/>
  <c r="A13" i="14"/>
  <c r="A14" i="14"/>
  <c r="AG14" i="14" s="1"/>
  <c r="A15" i="14"/>
  <c r="AG15" i="14" s="1"/>
  <c r="A16" i="14"/>
  <c r="AG16" i="14" s="1"/>
  <c r="A17" i="14"/>
  <c r="AG17" i="14" s="1"/>
  <c r="A18" i="14"/>
  <c r="AG18" i="14" s="1"/>
  <c r="A19" i="14"/>
  <c r="AG19" i="14" s="1"/>
  <c r="A26" i="14"/>
  <c r="AG26" i="14" s="1"/>
  <c r="A27" i="14"/>
  <c r="AG27" i="14" s="1"/>
  <c r="A28" i="14"/>
  <c r="AG28" i="14" s="1"/>
  <c r="A29" i="14"/>
  <c r="AG29" i="14" s="1"/>
  <c r="A30" i="14"/>
  <c r="AG30" i="14" s="1"/>
  <c r="A31" i="14"/>
  <c r="AG31" i="14" s="1"/>
  <c r="A32" i="14"/>
  <c r="AG32" i="14" s="1"/>
  <c r="A33" i="14"/>
  <c r="AG33" i="14" s="1"/>
  <c r="A34" i="14"/>
  <c r="AG34" i="14" s="1"/>
  <c r="A35" i="14"/>
  <c r="AG35" i="14" s="1"/>
  <c r="A36" i="14"/>
  <c r="AG36" i="14" s="1"/>
  <c r="A37" i="14"/>
  <c r="AG37" i="14" s="1"/>
  <c r="A38" i="14"/>
  <c r="AG38" i="14" s="1"/>
  <c r="A39" i="14"/>
  <c r="AG39" i="14" s="1"/>
  <c r="A40" i="14"/>
  <c r="AG40" i="14" s="1"/>
  <c r="A41" i="14"/>
  <c r="AG41" i="14" s="1"/>
  <c r="A42" i="14"/>
  <c r="AG42" i="14" s="1"/>
  <c r="A43" i="14"/>
  <c r="AG43" i="14" s="1"/>
  <c r="A44" i="14"/>
  <c r="AG44" i="14" s="1"/>
  <c r="A45" i="14"/>
  <c r="AG45" i="14" s="1"/>
  <c r="A46" i="14"/>
  <c r="AG46" i="14" s="1"/>
  <c r="A47" i="14"/>
  <c r="AG47" i="14" s="1"/>
  <c r="A48" i="14"/>
  <c r="AG48" i="14" s="1"/>
  <c r="A49" i="14"/>
  <c r="AG49" i="14" s="1"/>
  <c r="AH12" i="14"/>
  <c r="AG13" i="14"/>
  <c r="AH13" i="14"/>
  <c r="AH14" i="14"/>
  <c r="AH15" i="14"/>
  <c r="AH16" i="14"/>
  <c r="AH17" i="14"/>
  <c r="AH18" i="14"/>
  <c r="AH19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L1" i="3"/>
  <c r="S557" i="1"/>
  <c r="S556" i="1"/>
  <c r="S555" i="1"/>
  <c r="P536" i="1"/>
  <c r="S542" i="1"/>
  <c r="S541" i="1"/>
  <c r="S540" i="1"/>
  <c r="P346" i="1"/>
  <c r="P345" i="1"/>
  <c r="P344" i="1"/>
  <c r="P535" i="1"/>
  <c r="P534" i="1"/>
  <c r="S239" i="1"/>
  <c r="AF297" i="1"/>
  <c r="AF296" i="1"/>
  <c r="AF295" i="1"/>
  <c r="AF294" i="1"/>
  <c r="AF293" i="1"/>
  <c r="AE534" i="1" l="1"/>
  <c r="AF534" i="1"/>
  <c r="AE536" i="1"/>
  <c r="AF536" i="1"/>
  <c r="AF535" i="1"/>
  <c r="AE535" i="1"/>
  <c r="T394" i="14"/>
  <c r="R401" i="14"/>
  <c r="R400" i="14"/>
  <c r="U395" i="14" l="1"/>
  <c r="U394" i="14"/>
  <c r="T393" i="14"/>
  <c r="T392" i="14"/>
  <c r="A319" i="15" l="1"/>
  <c r="Y319" i="15" s="1"/>
  <c r="A320" i="15"/>
  <c r="Y320" i="15" s="1"/>
  <c r="M591" i="15" l="1"/>
  <c r="Y590" i="15" l="1"/>
  <c r="Z590" i="15"/>
  <c r="J589" i="15" l="1"/>
  <c r="Y589" i="15" s="1"/>
  <c r="J588" i="15"/>
  <c r="Y588" i="15" s="1"/>
  <c r="J587" i="15"/>
  <c r="Y587" i="15" s="1"/>
  <c r="J586" i="15"/>
  <c r="Y586" i="15" s="1"/>
  <c r="J577" i="15"/>
  <c r="Y577" i="15" s="1"/>
  <c r="J576" i="15"/>
  <c r="Y576" i="15" s="1"/>
  <c r="J575" i="15"/>
  <c r="Y575" i="15" s="1"/>
  <c r="J574" i="15"/>
  <c r="Y574" i="15" s="1"/>
  <c r="J563" i="15"/>
  <c r="Y563" i="15" s="1"/>
  <c r="J564" i="15"/>
  <c r="Y564" i="15" s="1"/>
  <c r="J565" i="15"/>
  <c r="Y565" i="15" s="1"/>
  <c r="J562" i="15"/>
  <c r="Y562" i="15" s="1"/>
  <c r="Z589" i="15" l="1"/>
  <c r="Z577" i="15"/>
  <c r="Z565" i="15"/>
  <c r="Z588" i="15"/>
  <c r="Z576" i="15"/>
  <c r="Z564" i="15"/>
  <c r="Z587" i="15"/>
  <c r="Z575" i="15"/>
  <c r="Z563" i="15"/>
  <c r="Z586" i="15"/>
  <c r="Z574" i="15"/>
  <c r="Z562" i="15"/>
  <c r="P467" i="1" l="1"/>
  <c r="Y253" i="1" l="1"/>
  <c r="Y252" i="1"/>
  <c r="Z240" i="15"/>
  <c r="Z241" i="15"/>
  <c r="Z242" i="15"/>
  <c r="A240" i="15"/>
  <c r="Y240" i="15" s="1"/>
  <c r="A241" i="15"/>
  <c r="Y241" i="15" s="1"/>
  <c r="AF252" i="1" l="1"/>
  <c r="AE252" i="1"/>
  <c r="AF253" i="1"/>
  <c r="AE253" i="1"/>
  <c r="Z480" i="15"/>
  <c r="Z481" i="15"/>
  <c r="Z482" i="15"/>
  <c r="Z483" i="15"/>
  <c r="Z484" i="15"/>
  <c r="Z485" i="15"/>
  <c r="Z486" i="15"/>
  <c r="Z487" i="15"/>
  <c r="Z488" i="15"/>
  <c r="Z489" i="15"/>
  <c r="Z490" i="15"/>
  <c r="Z491" i="15"/>
  <c r="Z492" i="15"/>
  <c r="Z493" i="15"/>
  <c r="Z494" i="15"/>
  <c r="Z495" i="15"/>
  <c r="Z496" i="15"/>
  <c r="Z497" i="15"/>
  <c r="Z498" i="15"/>
  <c r="Z499" i="15"/>
  <c r="Z500" i="15"/>
  <c r="Z501" i="15"/>
  <c r="Z502" i="15"/>
  <c r="Z503" i="15"/>
  <c r="Z504" i="15"/>
  <c r="Z505" i="15"/>
  <c r="Z506" i="15"/>
  <c r="Z507" i="15"/>
  <c r="Z508" i="15"/>
  <c r="Z509" i="15"/>
  <c r="Z510" i="15"/>
  <c r="Z511" i="15"/>
  <c r="Z512" i="15"/>
  <c r="Z513" i="15"/>
  <c r="Z514" i="15"/>
  <c r="Z515" i="15"/>
  <c r="Z516" i="15"/>
  <c r="Z517" i="15"/>
  <c r="Z518" i="15"/>
  <c r="Z519" i="15"/>
  <c r="Z520" i="15"/>
  <c r="Z521" i="15"/>
  <c r="Z522" i="15"/>
  <c r="Z523" i="15"/>
  <c r="Z524" i="15"/>
  <c r="Z525" i="15"/>
  <c r="Z526" i="15"/>
  <c r="Z527" i="15"/>
  <c r="Z528" i="15"/>
  <c r="Z529" i="15"/>
  <c r="Z530" i="15"/>
  <c r="Z531" i="15"/>
  <c r="Z532" i="15"/>
  <c r="Z533" i="15"/>
  <c r="Z534" i="15"/>
  <c r="Z535" i="15"/>
  <c r="Z536" i="15"/>
  <c r="Z537" i="15"/>
  <c r="Z538" i="15"/>
  <c r="Z539" i="15"/>
  <c r="A3" i="15"/>
  <c r="Y3" i="15" s="1"/>
  <c r="A4" i="15"/>
  <c r="Y4" i="15" s="1"/>
  <c r="A5" i="15"/>
  <c r="Y5" i="15" s="1"/>
  <c r="A6" i="15"/>
  <c r="Y6" i="15" s="1"/>
  <c r="A7" i="15"/>
  <c r="Y7" i="15" s="1"/>
  <c r="A8" i="15"/>
  <c r="Y8" i="15" s="1"/>
  <c r="A9" i="15"/>
  <c r="Y9" i="15" s="1"/>
  <c r="A10" i="15"/>
  <c r="Y10" i="15" s="1"/>
  <c r="A11" i="15"/>
  <c r="Y11" i="15" s="1"/>
  <c r="A12" i="15"/>
  <c r="Y12" i="15" s="1"/>
  <c r="A13" i="15"/>
  <c r="Y13" i="15" s="1"/>
  <c r="A14" i="15"/>
  <c r="Y14" i="15" s="1"/>
  <c r="A15" i="15"/>
  <c r="Y15" i="15" s="1"/>
  <c r="A16" i="15"/>
  <c r="Y16" i="15" s="1"/>
  <c r="A17" i="15"/>
  <c r="Y17" i="15" s="1"/>
  <c r="A18" i="15"/>
  <c r="Y18" i="15" s="1"/>
  <c r="A19" i="15"/>
  <c r="Y19" i="15" s="1"/>
  <c r="A20" i="15"/>
  <c r="Y20" i="15" s="1"/>
  <c r="A21" i="15"/>
  <c r="Y21" i="15" s="1"/>
  <c r="A22" i="15"/>
  <c r="Y22" i="15" s="1"/>
  <c r="A23" i="15"/>
  <c r="Y23" i="15" s="1"/>
  <c r="A24" i="15"/>
  <c r="Y24" i="15" s="1"/>
  <c r="A25" i="15"/>
  <c r="Y25" i="15" s="1"/>
  <c r="A26" i="15"/>
  <c r="Y26" i="15" s="1"/>
  <c r="A27" i="15"/>
  <c r="Y27" i="15" s="1"/>
  <c r="A28" i="15"/>
  <c r="Y28" i="15" s="1"/>
  <c r="A29" i="15"/>
  <c r="A30" i="15"/>
  <c r="Y30" i="15" s="1"/>
  <c r="A31" i="15"/>
  <c r="Y31" i="15" s="1"/>
  <c r="A32" i="15"/>
  <c r="Y32" i="15" s="1"/>
  <c r="A33" i="15"/>
  <c r="Y33" i="15" s="1"/>
  <c r="A34" i="15"/>
  <c r="Y34" i="15" s="1"/>
  <c r="A35" i="15"/>
  <c r="Y35" i="15" s="1"/>
  <c r="A36" i="15"/>
  <c r="Y36" i="15" s="1"/>
  <c r="A37" i="15"/>
  <c r="Y37" i="15" s="1"/>
  <c r="A38" i="15"/>
  <c r="Y38" i="15" s="1"/>
  <c r="A39" i="15"/>
  <c r="Y39" i="15" s="1"/>
  <c r="A40" i="15"/>
  <c r="Y40" i="15" s="1"/>
  <c r="A41" i="15"/>
  <c r="Y41" i="15" s="1"/>
  <c r="A42" i="15"/>
  <c r="Y42" i="15" s="1"/>
  <c r="A43" i="15"/>
  <c r="Y43" i="15" s="1"/>
  <c r="A44" i="15"/>
  <c r="Y44" i="15" s="1"/>
  <c r="A45" i="15"/>
  <c r="Y45" i="15" s="1"/>
  <c r="A46" i="15"/>
  <c r="Y46" i="15" s="1"/>
  <c r="A47" i="15"/>
  <c r="Y47" i="15" s="1"/>
  <c r="A48" i="15"/>
  <c r="Y48" i="15" s="1"/>
  <c r="A49" i="15"/>
  <c r="Y49" i="15" s="1"/>
  <c r="A50" i="15"/>
  <c r="A51" i="15"/>
  <c r="A52" i="15"/>
  <c r="Y52" i="15" s="1"/>
  <c r="A53" i="15"/>
  <c r="A54" i="15"/>
  <c r="A55" i="15"/>
  <c r="Y55" i="15" s="1"/>
  <c r="A56" i="15"/>
  <c r="Y56" i="15" s="1"/>
  <c r="A57" i="15"/>
  <c r="Y57" i="15" s="1"/>
  <c r="A58" i="15"/>
  <c r="Y58" i="15" s="1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5" i="15"/>
  <c r="Y75" i="15" s="1"/>
  <c r="A76" i="15"/>
  <c r="A77" i="15"/>
  <c r="A78" i="15"/>
  <c r="A79" i="15"/>
  <c r="A80" i="15"/>
  <c r="A81" i="15"/>
  <c r="A82" i="15"/>
  <c r="A83" i="15"/>
  <c r="A84" i="15"/>
  <c r="A85" i="15"/>
  <c r="A86" i="15"/>
  <c r="A87" i="15"/>
  <c r="Y87" i="15" s="1"/>
  <c r="A88" i="15"/>
  <c r="Y88" i="15" s="1"/>
  <c r="A89" i="15"/>
  <c r="Y89" i="15" s="1"/>
  <c r="A90" i="15"/>
  <c r="Y90" i="15" s="1"/>
  <c r="A91" i="15"/>
  <c r="Y91" i="15" s="1"/>
  <c r="A92" i="15"/>
  <c r="Y92" i="15" s="1"/>
  <c r="A93" i="15"/>
  <c r="A94" i="15"/>
  <c r="Y94" i="15" s="1"/>
  <c r="A95" i="15"/>
  <c r="Y95" i="15" s="1"/>
  <c r="A96" i="15"/>
  <c r="Y96" i="15" s="1"/>
  <c r="A97" i="15"/>
  <c r="A98" i="15"/>
  <c r="Y98" i="15" s="1"/>
  <c r="A99" i="15"/>
  <c r="A100" i="15"/>
  <c r="Y100" i="15" s="1"/>
  <c r="A101" i="15"/>
  <c r="A102" i="15"/>
  <c r="A103" i="15"/>
  <c r="A104" i="15"/>
  <c r="A105" i="15"/>
  <c r="Y105" i="15" s="1"/>
  <c r="A106" i="15"/>
  <c r="Y106" i="15" s="1"/>
  <c r="A107" i="15"/>
  <c r="Y107" i="15" s="1"/>
  <c r="A108" i="15"/>
  <c r="Y108" i="15" s="1"/>
  <c r="A109" i="15"/>
  <c r="Y109" i="15" s="1"/>
  <c r="A110" i="15"/>
  <c r="Y110" i="15" s="1"/>
  <c r="A111" i="15"/>
  <c r="Y111" i="15" s="1"/>
  <c r="A112" i="15"/>
  <c r="Y112" i="15" s="1"/>
  <c r="A113" i="15"/>
  <c r="Y113" i="15" s="1"/>
  <c r="A114" i="15"/>
  <c r="Y114" i="15" s="1"/>
  <c r="A115" i="15"/>
  <c r="Y115" i="15" s="1"/>
  <c r="A116" i="15"/>
  <c r="Y116" i="15" s="1"/>
  <c r="A117" i="15"/>
  <c r="A118" i="15"/>
  <c r="Y118" i="15" s="1"/>
  <c r="A119" i="15"/>
  <c r="Y119" i="15" s="1"/>
  <c r="A120" i="15"/>
  <c r="Y120" i="15" s="1"/>
  <c r="A121" i="15"/>
  <c r="Y121" i="15" s="1"/>
  <c r="A122" i="15"/>
  <c r="Y122" i="15" s="1"/>
  <c r="A123" i="15"/>
  <c r="Y123" i="15" s="1"/>
  <c r="A124" i="15"/>
  <c r="Y124" i="15" s="1"/>
  <c r="A125" i="15"/>
  <c r="Y125" i="15" s="1"/>
  <c r="A126" i="15"/>
  <c r="Y126" i="15" s="1"/>
  <c r="A127" i="15"/>
  <c r="Y127" i="15" s="1"/>
  <c r="A128" i="15"/>
  <c r="Y128" i="15" s="1"/>
  <c r="A129" i="15"/>
  <c r="Y129" i="15" s="1"/>
  <c r="A130" i="15"/>
  <c r="Y130" i="15" s="1"/>
  <c r="A131" i="15"/>
  <c r="Y131" i="15" s="1"/>
  <c r="A132" i="15"/>
  <c r="Y132" i="15" s="1"/>
  <c r="A133" i="15"/>
  <c r="Y133" i="15" s="1"/>
  <c r="A134" i="15"/>
  <c r="Y134" i="15" s="1"/>
  <c r="A135" i="15"/>
  <c r="Y135" i="15" s="1"/>
  <c r="A136" i="15"/>
  <c r="A137" i="15"/>
  <c r="Y137" i="15" s="1"/>
  <c r="A138" i="15"/>
  <c r="Y138" i="15" s="1"/>
  <c r="A139" i="15"/>
  <c r="Y139" i="15" s="1"/>
  <c r="A140" i="15"/>
  <c r="Y140" i="15" s="1"/>
  <c r="A141" i="15"/>
  <c r="Y141" i="15" s="1"/>
  <c r="A142" i="15"/>
  <c r="Y142" i="15" s="1"/>
  <c r="A143" i="15"/>
  <c r="Y143" i="15" s="1"/>
  <c r="A144" i="15"/>
  <c r="Y144" i="15" s="1"/>
  <c r="A145" i="15"/>
  <c r="Y145" i="15" s="1"/>
  <c r="A146" i="15"/>
  <c r="A147" i="15"/>
  <c r="Y147" i="15" s="1"/>
  <c r="A148" i="15"/>
  <c r="Y148" i="15" s="1"/>
  <c r="A149" i="15"/>
  <c r="Y149" i="15" s="1"/>
  <c r="A150" i="15"/>
  <c r="A151" i="15"/>
  <c r="Y151" i="15" s="1"/>
  <c r="A152" i="15"/>
  <c r="Y152" i="15" s="1"/>
  <c r="A153" i="15"/>
  <c r="Y153" i="15" s="1"/>
  <c r="A154" i="15"/>
  <c r="A155" i="15"/>
  <c r="A156" i="15"/>
  <c r="A157" i="15"/>
  <c r="A158" i="15"/>
  <c r="A159" i="15"/>
  <c r="Y159" i="15" s="1"/>
  <c r="A160" i="15"/>
  <c r="Y160" i="15" s="1"/>
  <c r="A161" i="15"/>
  <c r="Y161" i="15" s="1"/>
  <c r="A162" i="15"/>
  <c r="Y162" i="15" s="1"/>
  <c r="A163" i="15"/>
  <c r="Y163" i="15" s="1"/>
  <c r="A164" i="15"/>
  <c r="Y164" i="15" s="1"/>
  <c r="A165" i="15"/>
  <c r="A166" i="15"/>
  <c r="A167" i="15"/>
  <c r="Y167" i="15" s="1"/>
  <c r="A168" i="15"/>
  <c r="A169" i="15"/>
  <c r="Y169" i="15" s="1"/>
  <c r="A170" i="15"/>
  <c r="Y170" i="15" s="1"/>
  <c r="A171" i="15"/>
  <c r="Y171" i="15" s="1"/>
  <c r="A172" i="15"/>
  <c r="A173" i="15"/>
  <c r="Y173" i="15" s="1"/>
  <c r="A174" i="15"/>
  <c r="A175" i="15"/>
  <c r="Y175" i="15" s="1"/>
  <c r="A176" i="15"/>
  <c r="Y176" i="15" s="1"/>
  <c r="A177" i="15"/>
  <c r="Y177" i="15" s="1"/>
  <c r="A178" i="15"/>
  <c r="Y178" i="15" s="1"/>
  <c r="A179" i="15"/>
  <c r="Y179" i="15" s="1"/>
  <c r="A180" i="15"/>
  <c r="A181" i="15"/>
  <c r="Y181" i="15" s="1"/>
  <c r="A182" i="15"/>
  <c r="A183" i="15"/>
  <c r="A184" i="15"/>
  <c r="A185" i="15"/>
  <c r="Y185" i="15" s="1"/>
  <c r="A186" i="15"/>
  <c r="Y186" i="15" s="1"/>
  <c r="A187" i="15"/>
  <c r="Y187" i="15" s="1"/>
  <c r="A188" i="15"/>
  <c r="A189" i="15"/>
  <c r="Y189" i="15" s="1"/>
  <c r="A190" i="15"/>
  <c r="A191" i="15"/>
  <c r="A200" i="15"/>
  <c r="Y200" i="15" s="1"/>
  <c r="A201" i="15"/>
  <c r="Y201" i="15" s="1"/>
  <c r="A202" i="15"/>
  <c r="A203" i="15"/>
  <c r="A204" i="15"/>
  <c r="A205" i="15"/>
  <c r="A206" i="15"/>
  <c r="Y206" i="15" s="1"/>
  <c r="A207" i="15"/>
  <c r="Y207" i="15" s="1"/>
  <c r="A208" i="15"/>
  <c r="Y208" i="15" s="1"/>
  <c r="A209" i="15"/>
  <c r="A210" i="15"/>
  <c r="Y210" i="15" s="1"/>
  <c r="A211" i="15"/>
  <c r="Y211" i="15" s="1"/>
  <c r="A212" i="15"/>
  <c r="A213" i="15"/>
  <c r="A214" i="15"/>
  <c r="S610" i="15" s="1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Z229" i="15" s="1"/>
  <c r="A227" i="15"/>
  <c r="Z230" i="15" s="1"/>
  <c r="A228" i="15"/>
  <c r="A229" i="15"/>
  <c r="A230" i="15"/>
  <c r="A231" i="15"/>
  <c r="Y231" i="15" s="1"/>
  <c r="A232" i="15"/>
  <c r="A233" i="15"/>
  <c r="A234" i="15"/>
  <c r="A235" i="15"/>
  <c r="A236" i="15"/>
  <c r="A237" i="15"/>
  <c r="A238" i="15"/>
  <c r="A239" i="15"/>
  <c r="A242" i="15"/>
  <c r="Y242" i="15" s="1"/>
  <c r="A243" i="15"/>
  <c r="A244" i="15"/>
  <c r="A245" i="15"/>
  <c r="A246" i="15"/>
  <c r="A247" i="15"/>
  <c r="A248" i="15"/>
  <c r="A249" i="15"/>
  <c r="A250" i="15"/>
  <c r="A251" i="15"/>
  <c r="Z288" i="15" s="1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Y266" i="15" s="1"/>
  <c r="A267" i="15"/>
  <c r="Y267" i="15" s="1"/>
  <c r="A268" i="15"/>
  <c r="A269" i="15"/>
  <c r="Y269" i="15" s="1"/>
  <c r="A270" i="15"/>
  <c r="Y270" i="15" s="1"/>
  <c r="A271" i="15"/>
  <c r="A272" i="15"/>
  <c r="Z275" i="15" s="1"/>
  <c r="A273" i="15"/>
  <c r="Z276" i="15" s="1"/>
  <c r="A274" i="15"/>
  <c r="A275" i="15"/>
  <c r="A276" i="15"/>
  <c r="A277" i="15"/>
  <c r="A278" i="15"/>
  <c r="A279" i="15"/>
  <c r="A280" i="15"/>
  <c r="A281" i="15"/>
  <c r="A282" i="15"/>
  <c r="A283" i="15"/>
  <c r="A284" i="15"/>
  <c r="M560" i="15" s="1"/>
  <c r="A285" i="15"/>
  <c r="M561" i="15" s="1"/>
  <c r="A286" i="15"/>
  <c r="A287" i="15"/>
  <c r="M556" i="15" s="1"/>
  <c r="A288" i="15"/>
  <c r="M557" i="15" s="1"/>
  <c r="A289" i="15"/>
  <c r="A290" i="15"/>
  <c r="A291" i="15"/>
  <c r="A321" i="15"/>
  <c r="A322" i="15"/>
  <c r="A323" i="15"/>
  <c r="A324" i="15"/>
  <c r="A325" i="15"/>
  <c r="Y325" i="15" s="1"/>
  <c r="A326" i="15"/>
  <c r="Y326" i="15" s="1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Z368" i="15" s="1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Y360" i="15" s="1"/>
  <c r="A361" i="15"/>
  <c r="Y361" i="15" s="1"/>
  <c r="A362" i="15"/>
  <c r="Y362" i="15" s="1"/>
  <c r="A363" i="15"/>
  <c r="Y363" i="15" s="1"/>
  <c r="A364" i="15"/>
  <c r="Y364" i="15" s="1"/>
  <c r="A365" i="15"/>
  <c r="Y365" i="15" s="1"/>
  <c r="A366" i="15"/>
  <c r="A367" i="15"/>
  <c r="A368" i="15"/>
  <c r="A369" i="15"/>
  <c r="Y369" i="15" s="1"/>
  <c r="A370" i="15"/>
  <c r="Y370" i="15" s="1"/>
  <c r="A371" i="15"/>
  <c r="A372" i="15"/>
  <c r="A373" i="15"/>
  <c r="A374" i="15"/>
  <c r="A375" i="15"/>
  <c r="A376" i="15"/>
  <c r="A377" i="15"/>
  <c r="Y377" i="15" s="1"/>
  <c r="A378" i="15"/>
  <c r="A379" i="15"/>
  <c r="A380" i="15"/>
  <c r="A381" i="15"/>
  <c r="A382" i="15"/>
  <c r="Y382" i="15" s="1"/>
  <c r="A383" i="15"/>
  <c r="Y383" i="15" s="1"/>
  <c r="A384" i="15"/>
  <c r="A385" i="15"/>
  <c r="A386" i="15"/>
  <c r="Y386" i="15" s="1"/>
  <c r="A387" i="15"/>
  <c r="Y387" i="15" s="1"/>
  <c r="A388" i="15"/>
  <c r="Y388" i="15" s="1"/>
  <c r="A389" i="15"/>
  <c r="Y389" i="15" s="1"/>
  <c r="A390" i="15"/>
  <c r="Y390" i="15" s="1"/>
  <c r="A391" i="15"/>
  <c r="Y391" i="15" s="1"/>
  <c r="A392" i="15"/>
  <c r="A393" i="15"/>
  <c r="A394" i="15"/>
  <c r="Y394" i="15" s="1"/>
  <c r="A395" i="15"/>
  <c r="Y395" i="15" s="1"/>
  <c r="A396" i="15"/>
  <c r="A397" i="15"/>
  <c r="Y397" i="15" s="1"/>
  <c r="A398" i="15"/>
  <c r="Y398" i="15" s="1"/>
  <c r="A399" i="15"/>
  <c r="Y399" i="15" s="1"/>
  <c r="A400" i="15"/>
  <c r="A401" i="15"/>
  <c r="A402" i="15"/>
  <c r="Y402" i="15" s="1"/>
  <c r="A403" i="15"/>
  <c r="A404" i="15"/>
  <c r="Y404" i="15" s="1"/>
  <c r="A405" i="15"/>
  <c r="Y405" i="15" s="1"/>
  <c r="A406" i="15"/>
  <c r="Y406" i="15" s="1"/>
  <c r="A407" i="15"/>
  <c r="Y407" i="15" s="1"/>
  <c r="A408" i="15"/>
  <c r="Y408" i="15" s="1"/>
  <c r="A409" i="15"/>
  <c r="Y409" i="15" s="1"/>
  <c r="A410" i="15"/>
  <c r="Y410" i="15" s="1"/>
  <c r="A411" i="15"/>
  <c r="Y411" i="15" s="1"/>
  <c r="A412" i="15"/>
  <c r="A413" i="15"/>
  <c r="A414" i="15"/>
  <c r="A415" i="15"/>
  <c r="A416" i="15"/>
  <c r="A417" i="15"/>
  <c r="A460" i="15"/>
  <c r="Y460" i="15" s="1"/>
  <c r="A461" i="15"/>
  <c r="A468" i="15"/>
  <c r="Y468" i="15" s="1"/>
  <c r="A469" i="15"/>
  <c r="Y469" i="15" s="1"/>
  <c r="A470" i="15"/>
  <c r="Y470" i="15" s="1"/>
  <c r="A471" i="15"/>
  <c r="Y471" i="15" s="1"/>
  <c r="A472" i="15"/>
  <c r="Y472" i="15" s="1"/>
  <c r="A473" i="15"/>
  <c r="Y473" i="15" s="1"/>
  <c r="A474" i="15"/>
  <c r="Y474" i="15" s="1"/>
  <c r="A475" i="15"/>
  <c r="Y475" i="15" s="1"/>
  <c r="A476" i="15"/>
  <c r="Y476" i="15" s="1"/>
  <c r="A477" i="15"/>
  <c r="Y477" i="15" s="1"/>
  <c r="A478" i="15"/>
  <c r="Y478" i="15" s="1"/>
  <c r="A479" i="15"/>
  <c r="Y479" i="15" s="1"/>
  <c r="A480" i="15"/>
  <c r="Y480" i="15" s="1"/>
  <c r="A481" i="15"/>
  <c r="Y481" i="15" s="1"/>
  <c r="A482" i="15"/>
  <c r="Y482" i="15" s="1"/>
  <c r="A483" i="15"/>
  <c r="Y483" i="15" s="1"/>
  <c r="A484" i="15"/>
  <c r="Y484" i="15" s="1"/>
  <c r="A485" i="15"/>
  <c r="Y485" i="15" s="1"/>
  <c r="A486" i="15"/>
  <c r="Y486" i="15" s="1"/>
  <c r="A487" i="15"/>
  <c r="Y487" i="15" s="1"/>
  <c r="A488" i="15"/>
  <c r="Y488" i="15" s="1"/>
  <c r="A489" i="15"/>
  <c r="Y489" i="15" s="1"/>
  <c r="A490" i="15"/>
  <c r="Y490" i="15" s="1"/>
  <c r="A491" i="15"/>
  <c r="Y491" i="15" s="1"/>
  <c r="A492" i="15"/>
  <c r="Y492" i="15" s="1"/>
  <c r="A493" i="15"/>
  <c r="Y493" i="15" s="1"/>
  <c r="A494" i="15"/>
  <c r="Y494" i="15" s="1"/>
  <c r="A495" i="15"/>
  <c r="Y495" i="15" s="1"/>
  <c r="A496" i="15"/>
  <c r="Y496" i="15" s="1"/>
  <c r="A497" i="15"/>
  <c r="Y497" i="15" s="1"/>
  <c r="A498" i="15"/>
  <c r="Y498" i="15" s="1"/>
  <c r="A499" i="15"/>
  <c r="Y499" i="15" s="1"/>
  <c r="A500" i="15"/>
  <c r="Y500" i="15" s="1"/>
  <c r="A501" i="15"/>
  <c r="Y501" i="15" s="1"/>
  <c r="A502" i="15"/>
  <c r="Y502" i="15" s="1"/>
  <c r="A503" i="15"/>
  <c r="Y503" i="15" s="1"/>
  <c r="A504" i="15"/>
  <c r="Y504" i="15" s="1"/>
  <c r="A505" i="15"/>
  <c r="Y505" i="15" s="1"/>
  <c r="A506" i="15"/>
  <c r="Y506" i="15" s="1"/>
  <c r="A507" i="15"/>
  <c r="Y507" i="15" s="1"/>
  <c r="A508" i="15"/>
  <c r="Y508" i="15" s="1"/>
  <c r="A509" i="15"/>
  <c r="Y509" i="15" s="1"/>
  <c r="A510" i="15"/>
  <c r="Y510" i="15" s="1"/>
  <c r="A511" i="15"/>
  <c r="Y511" i="15" s="1"/>
  <c r="A512" i="15"/>
  <c r="Y512" i="15" s="1"/>
  <c r="A513" i="15"/>
  <c r="Y513" i="15" s="1"/>
  <c r="A514" i="15"/>
  <c r="Y514" i="15" s="1"/>
  <c r="A515" i="15"/>
  <c r="Y515" i="15" s="1"/>
  <c r="A516" i="15"/>
  <c r="Y516" i="15" s="1"/>
  <c r="A517" i="15"/>
  <c r="Y517" i="15" s="1"/>
  <c r="A518" i="15"/>
  <c r="Y518" i="15" s="1"/>
  <c r="A519" i="15"/>
  <c r="Y519" i="15" s="1"/>
  <c r="A520" i="15"/>
  <c r="Y520" i="15" s="1"/>
  <c r="A521" i="15"/>
  <c r="Y521" i="15" s="1"/>
  <c r="A522" i="15"/>
  <c r="Y522" i="15" s="1"/>
  <c r="A523" i="15"/>
  <c r="Y523" i="15" s="1"/>
  <c r="A524" i="15"/>
  <c r="Y524" i="15" s="1"/>
  <c r="A525" i="15"/>
  <c r="Y525" i="15" s="1"/>
  <c r="A526" i="15"/>
  <c r="Y526" i="15" s="1"/>
  <c r="A527" i="15"/>
  <c r="Y527" i="15" s="1"/>
  <c r="A528" i="15"/>
  <c r="Y528" i="15" s="1"/>
  <c r="A529" i="15"/>
  <c r="Y529" i="15" s="1"/>
  <c r="A530" i="15"/>
  <c r="Y530" i="15" s="1"/>
  <c r="A531" i="15"/>
  <c r="Y531" i="15" s="1"/>
  <c r="A532" i="15"/>
  <c r="Y532" i="15" s="1"/>
  <c r="A533" i="15"/>
  <c r="Y533" i="15" s="1"/>
  <c r="A534" i="15"/>
  <c r="Y534" i="15" s="1"/>
  <c r="A535" i="15"/>
  <c r="Y535" i="15" s="1"/>
  <c r="A536" i="15"/>
  <c r="Y536" i="15" s="1"/>
  <c r="A537" i="15"/>
  <c r="Y537" i="15" s="1"/>
  <c r="A538" i="15"/>
  <c r="Y538" i="15" s="1"/>
  <c r="A539" i="15"/>
  <c r="Y539" i="15" s="1"/>
  <c r="A2" i="15"/>
  <c r="D1" i="15"/>
  <c r="C1" i="15"/>
  <c r="A1" i="15"/>
  <c r="Z479" i="15"/>
  <c r="Z478" i="15"/>
  <c r="Z477" i="15"/>
  <c r="Z476" i="15"/>
  <c r="Z475" i="15"/>
  <c r="Z474" i="15"/>
  <c r="Z473" i="15"/>
  <c r="Z472" i="15"/>
  <c r="Z471" i="15"/>
  <c r="Z470" i="15"/>
  <c r="Z469" i="15"/>
  <c r="Z468" i="15"/>
  <c r="Z411" i="15"/>
  <c r="Z410" i="15"/>
  <c r="Z409" i="15"/>
  <c r="Z408" i="15"/>
  <c r="Z407" i="15"/>
  <c r="Z406" i="15"/>
  <c r="Z405" i="15"/>
  <c r="Z404" i="15"/>
  <c r="Z403" i="15"/>
  <c r="Z402" i="15"/>
  <c r="Z401" i="15"/>
  <c r="Z400" i="15"/>
  <c r="Z399" i="15"/>
  <c r="Z398" i="15"/>
  <c r="Z397" i="15"/>
  <c r="Z396" i="15"/>
  <c r="Z395" i="15"/>
  <c r="Z394" i="15"/>
  <c r="Z393" i="15"/>
  <c r="Z392" i="15"/>
  <c r="Z391" i="15"/>
  <c r="Z390" i="15"/>
  <c r="Z389" i="15"/>
  <c r="Z388" i="15"/>
  <c r="Z387" i="15"/>
  <c r="Z386" i="15"/>
  <c r="Z385" i="15"/>
  <c r="Z384" i="15"/>
  <c r="Z383" i="15"/>
  <c r="Z382" i="15"/>
  <c r="Z370" i="15"/>
  <c r="Z369" i="15"/>
  <c r="Z365" i="15"/>
  <c r="Z364" i="15"/>
  <c r="Z363" i="15"/>
  <c r="Z362" i="15"/>
  <c r="Z361" i="15"/>
  <c r="Z360" i="15"/>
  <c r="Z332" i="15"/>
  <c r="Z327" i="15"/>
  <c r="Z326" i="15"/>
  <c r="Z325" i="15"/>
  <c r="AD285" i="15"/>
  <c r="AD284" i="15"/>
  <c r="AD283" i="15"/>
  <c r="Z270" i="15"/>
  <c r="Z269" i="15"/>
  <c r="Z268" i="15"/>
  <c r="Z267" i="15"/>
  <c r="Z266" i="15"/>
  <c r="Z214" i="15"/>
  <c r="Z213" i="15"/>
  <c r="Z212" i="15"/>
  <c r="Z211" i="15"/>
  <c r="Z210" i="15"/>
  <c r="Z209" i="15"/>
  <c r="Z208" i="15"/>
  <c r="Z207" i="15"/>
  <c r="Z206" i="15"/>
  <c r="Z205" i="15"/>
  <c r="Z204" i="15"/>
  <c r="Z201" i="15"/>
  <c r="Z191" i="15"/>
  <c r="Z190" i="15"/>
  <c r="Z189" i="15"/>
  <c r="Z188" i="15"/>
  <c r="Z187" i="15"/>
  <c r="Z186" i="15"/>
  <c r="Z185" i="15"/>
  <c r="Z184" i="15"/>
  <c r="Z183" i="15"/>
  <c r="Z182" i="15"/>
  <c r="Z181" i="15"/>
  <c r="Z180" i="15"/>
  <c r="Z179" i="15"/>
  <c r="Z178" i="15"/>
  <c r="Z177" i="15"/>
  <c r="Z176" i="15"/>
  <c r="Z175" i="15"/>
  <c r="Z174" i="15"/>
  <c r="Z173" i="15"/>
  <c r="Z172" i="15"/>
  <c r="Z171" i="15"/>
  <c r="Z170" i="15"/>
  <c r="Z169" i="15"/>
  <c r="Z168" i="15"/>
  <c r="Z167" i="15"/>
  <c r="Z166" i="15"/>
  <c r="Z165" i="15"/>
  <c r="Z164" i="15"/>
  <c r="Z163" i="15"/>
  <c r="Z162" i="15"/>
  <c r="Z161" i="15"/>
  <c r="Z160" i="15"/>
  <c r="Z159" i="15"/>
  <c r="Z158" i="15"/>
  <c r="Z157" i="15"/>
  <c r="Z156" i="15"/>
  <c r="Z155" i="15"/>
  <c r="Z154" i="15"/>
  <c r="Z153" i="15"/>
  <c r="Z152" i="15"/>
  <c r="Z151" i="15"/>
  <c r="Z150" i="15"/>
  <c r="Z149" i="15"/>
  <c r="Z148" i="15"/>
  <c r="Z147" i="15"/>
  <c r="Z146" i="15"/>
  <c r="Z145" i="15"/>
  <c r="Z144" i="15"/>
  <c r="Z143" i="15"/>
  <c r="Z142" i="15"/>
  <c r="Z141" i="15"/>
  <c r="Z140" i="15"/>
  <c r="Z139" i="15"/>
  <c r="Z138" i="15"/>
  <c r="Z137" i="15"/>
  <c r="Z136" i="15"/>
  <c r="Y136" i="15"/>
  <c r="Z135" i="15"/>
  <c r="Z134" i="15"/>
  <c r="Z133" i="15"/>
  <c r="Z132" i="15"/>
  <c r="Z131" i="15"/>
  <c r="Z130" i="15"/>
  <c r="Z129" i="15"/>
  <c r="Z128" i="15"/>
  <c r="Z127" i="15"/>
  <c r="Z126" i="15"/>
  <c r="Z125" i="15"/>
  <c r="Z124" i="15"/>
  <c r="Z123" i="15"/>
  <c r="Z122" i="15"/>
  <c r="Z121" i="15"/>
  <c r="Z120" i="15"/>
  <c r="Z119" i="15"/>
  <c r="Z118" i="15"/>
  <c r="Z117" i="15"/>
  <c r="Z116" i="15"/>
  <c r="Z115" i="15"/>
  <c r="Z114" i="15"/>
  <c r="Z113" i="15"/>
  <c r="Z112" i="15"/>
  <c r="Z111" i="15"/>
  <c r="Z110" i="15"/>
  <c r="Z109" i="15"/>
  <c r="Z108" i="15"/>
  <c r="Z107" i="15"/>
  <c r="Z106" i="15"/>
  <c r="Z105" i="15"/>
  <c r="Z104" i="15"/>
  <c r="Z103" i="15"/>
  <c r="Z102" i="15"/>
  <c r="Z101" i="15"/>
  <c r="Z100" i="15"/>
  <c r="Z99" i="15"/>
  <c r="Z98" i="15"/>
  <c r="Z97" i="15"/>
  <c r="Z96" i="15"/>
  <c r="Z95" i="15"/>
  <c r="Z94" i="15"/>
  <c r="Z93" i="15"/>
  <c r="Z92" i="15"/>
  <c r="Z91" i="15"/>
  <c r="Z90" i="15"/>
  <c r="Z89" i="15"/>
  <c r="Z88" i="15"/>
  <c r="Z87" i="15"/>
  <c r="Z59" i="15"/>
  <c r="Z58" i="15"/>
  <c r="Z57" i="15"/>
  <c r="Z56" i="15"/>
  <c r="Z55" i="15"/>
  <c r="Z54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7" i="15"/>
  <c r="Z36" i="15"/>
  <c r="Z35" i="15"/>
  <c r="Z34" i="15"/>
  <c r="Z33" i="15"/>
  <c r="Z32" i="15"/>
  <c r="Z31" i="15"/>
  <c r="Z30" i="15"/>
  <c r="Z29" i="15"/>
  <c r="Y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Z2" i="15"/>
  <c r="S609" i="15" l="1"/>
  <c r="S608" i="15"/>
  <c r="M600" i="15"/>
  <c r="M601" i="15"/>
  <c r="L600" i="15"/>
  <c r="K600" i="15"/>
  <c r="K601" i="15"/>
  <c r="L601" i="15"/>
  <c r="S616" i="15"/>
  <c r="S607" i="15"/>
  <c r="S613" i="15"/>
  <c r="S604" i="15"/>
  <c r="S621" i="15"/>
  <c r="S620" i="15"/>
  <c r="S619" i="15"/>
  <c r="S617" i="15"/>
  <c r="S618" i="15"/>
  <c r="S622" i="15"/>
  <c r="S611" i="15"/>
  <c r="S612" i="15"/>
  <c r="S605" i="15"/>
  <c r="Y605" i="15" s="1"/>
  <c r="S606" i="15"/>
  <c r="S615" i="15"/>
  <c r="S614" i="15"/>
  <c r="S603" i="15"/>
  <c r="S602" i="15"/>
  <c r="Z602" i="15" s="1"/>
  <c r="M555" i="15"/>
  <c r="M567" i="15" s="1"/>
  <c r="M554" i="15"/>
  <c r="M578" i="15" s="1"/>
  <c r="M559" i="15"/>
  <c r="M583" i="15" s="1"/>
  <c r="M558" i="15"/>
  <c r="M582" i="15" s="1"/>
  <c r="Y117" i="15"/>
  <c r="K596" i="15"/>
  <c r="P596" i="15" s="1"/>
  <c r="K595" i="15"/>
  <c r="P595" i="15" s="1"/>
  <c r="K594" i="15"/>
  <c r="P594" i="15" s="1"/>
  <c r="K593" i="15"/>
  <c r="P593" i="15" s="1"/>
  <c r="K592" i="15"/>
  <c r="P592" i="15" s="1"/>
  <c r="K591" i="15"/>
  <c r="P591" i="15" s="1"/>
  <c r="M593" i="15"/>
  <c r="M594" i="15"/>
  <c r="M595" i="15"/>
  <c r="M596" i="15"/>
  <c r="M597" i="15"/>
  <c r="M599" i="15"/>
  <c r="P599" i="15"/>
  <c r="M598" i="15"/>
  <c r="M592" i="15"/>
  <c r="Y2" i="15"/>
  <c r="L599" i="15"/>
  <c r="L597" i="15"/>
  <c r="L596" i="15"/>
  <c r="K597" i="15"/>
  <c r="P597" i="15" s="1"/>
  <c r="L594" i="15"/>
  <c r="L591" i="15"/>
  <c r="L593" i="15"/>
  <c r="K578" i="15"/>
  <c r="M585" i="15"/>
  <c r="M573" i="15"/>
  <c r="L598" i="15"/>
  <c r="K598" i="15"/>
  <c r="P598" i="15" s="1"/>
  <c r="L592" i="15"/>
  <c r="L595" i="15"/>
  <c r="K579" i="15"/>
  <c r="M584" i="15"/>
  <c r="M572" i="15"/>
  <c r="M581" i="15"/>
  <c r="M569" i="15"/>
  <c r="M580" i="15"/>
  <c r="M568" i="15"/>
  <c r="L554" i="15"/>
  <c r="L555" i="15"/>
  <c r="Z243" i="15"/>
  <c r="Z324" i="15"/>
  <c r="Z381" i="15"/>
  <c r="Z274" i="15"/>
  <c r="Z62" i="15"/>
  <c r="Z60" i="15"/>
  <c r="Z203" i="15"/>
  <c r="Z376" i="15"/>
  <c r="Z64" i="15"/>
  <c r="Z283" i="15"/>
  <c r="Y277" i="15"/>
  <c r="Z331" i="15"/>
  <c r="Y373" i="15"/>
  <c r="Y341" i="15"/>
  <c r="Y372" i="15"/>
  <c r="Z278" i="15"/>
  <c r="Z375" i="15"/>
  <c r="Z367" i="15"/>
  <c r="Z247" i="15"/>
  <c r="Y253" i="15"/>
  <c r="Y284" i="15"/>
  <c r="Y252" i="15"/>
  <c r="Z279" i="15"/>
  <c r="Y243" i="15"/>
  <c r="Z272" i="15"/>
  <c r="Y285" i="15"/>
  <c r="Z246" i="15"/>
  <c r="Z273" i="15"/>
  <c r="Y286" i="15"/>
  <c r="Y216" i="15"/>
  <c r="Y368" i="15"/>
  <c r="Z83" i="15"/>
  <c r="Y78" i="15"/>
  <c r="Z373" i="15"/>
  <c r="Z67" i="15"/>
  <c r="Y103" i="15"/>
  <c r="Y229" i="15"/>
  <c r="Z256" i="15"/>
  <c r="Y275" i="15"/>
  <c r="Y80" i="15"/>
  <c r="Z61" i="15"/>
  <c r="Y230" i="15"/>
  <c r="Z377" i="15"/>
  <c r="Y93" i="15"/>
  <c r="Y156" i="15"/>
  <c r="Y157" i="15"/>
  <c r="Y101" i="15"/>
  <c r="Z66" i="15"/>
  <c r="Y214" i="15"/>
  <c r="Y50" i="15"/>
  <c r="Y332" i="15"/>
  <c r="Y99" i="15"/>
  <c r="Y155" i="15"/>
  <c r="Y165" i="15"/>
  <c r="Y385" i="15"/>
  <c r="Y392" i="15"/>
  <c r="Y396" i="15"/>
  <c r="Y403" i="15"/>
  <c r="Y393" i="15"/>
  <c r="Y400" i="15"/>
  <c r="Y268" i="15"/>
  <c r="Y401" i="15"/>
  <c r="Y276" i="15"/>
  <c r="Y384" i="15"/>
  <c r="Y172" i="15"/>
  <c r="Y182" i="15"/>
  <c r="Y204" i="15"/>
  <c r="Y150" i="15"/>
  <c r="Y166" i="15"/>
  <c r="Y205" i="15"/>
  <c r="Y174" i="15"/>
  <c r="Y212" i="15"/>
  <c r="Y54" i="15"/>
  <c r="Y59" i="15"/>
  <c r="Y102" i="15"/>
  <c r="Y158" i="15"/>
  <c r="Y209" i="15"/>
  <c r="Y146" i="15"/>
  <c r="Y168" i="15"/>
  <c r="Y188" i="15"/>
  <c r="Y213" i="15"/>
  <c r="Y53" i="15"/>
  <c r="Y64" i="15"/>
  <c r="Y60" i="15"/>
  <c r="Y51" i="15"/>
  <c r="Y154" i="15"/>
  <c r="Y180" i="15"/>
  <c r="Y104" i="15"/>
  <c r="Y184" i="15"/>
  <c r="Y97" i="15"/>
  <c r="Y183" i="15"/>
  <c r="Y191" i="15"/>
  <c r="Z231" i="15"/>
  <c r="Y246" i="15"/>
  <c r="Z380" i="15"/>
  <c r="Y380" i="15"/>
  <c r="Z271" i="15"/>
  <c r="Y271" i="15"/>
  <c r="Z323" i="15"/>
  <c r="Y323" i="15"/>
  <c r="Z461" i="15"/>
  <c r="Y461" i="15"/>
  <c r="Y324" i="15"/>
  <c r="Y327" i="15"/>
  <c r="Z341" i="15"/>
  <c r="Y190" i="15"/>
  <c r="Z277" i="15"/>
  <c r="Z287" i="15"/>
  <c r="Y287" i="15"/>
  <c r="Z366" i="15"/>
  <c r="Y366" i="15"/>
  <c r="AE242" i="15"/>
  <c r="Z253" i="15"/>
  <c r="Y274" i="15"/>
  <c r="Y288" i="15"/>
  <c r="Z374" i="15"/>
  <c r="Y374" i="15"/>
  <c r="Z378" i="15"/>
  <c r="Y378" i="15"/>
  <c r="Z379" i="15"/>
  <c r="Y379" i="15"/>
  <c r="U421" i="14"/>
  <c r="U420" i="14"/>
  <c r="U419" i="14"/>
  <c r="T268" i="14"/>
  <c r="T267" i="14"/>
  <c r="T264" i="14"/>
  <c r="T260" i="14"/>
  <c r="M566" i="15" l="1"/>
  <c r="Z555" i="15"/>
  <c r="M571" i="15"/>
  <c r="Y601" i="15"/>
  <c r="Z601" i="15"/>
  <c r="Y600" i="15"/>
  <c r="Z600" i="15"/>
  <c r="M579" i="15"/>
  <c r="M570" i="15"/>
  <c r="Z605" i="15"/>
  <c r="Y602" i="15"/>
  <c r="Y614" i="15"/>
  <c r="Z614" i="15"/>
  <c r="Z617" i="15"/>
  <c r="Y617" i="15"/>
  <c r="Z621" i="15"/>
  <c r="Y621" i="15"/>
  <c r="Y620" i="15"/>
  <c r="Z620" i="15"/>
  <c r="Y612" i="15"/>
  <c r="Z612" i="15"/>
  <c r="Y611" i="15"/>
  <c r="Z611" i="15"/>
  <c r="Y613" i="15"/>
  <c r="Z613" i="15"/>
  <c r="Y619" i="15"/>
  <c r="Z619" i="15"/>
  <c r="Y622" i="15"/>
  <c r="Z622" i="15"/>
  <c r="Z615" i="15"/>
  <c r="Y615" i="15"/>
  <c r="Y618" i="15"/>
  <c r="Z618" i="15"/>
  <c r="Y616" i="15"/>
  <c r="Z616" i="15"/>
  <c r="Y604" i="15"/>
  <c r="Z604" i="15"/>
  <c r="Y606" i="15"/>
  <c r="Z606" i="15"/>
  <c r="Y603" i="15"/>
  <c r="Z603" i="15"/>
  <c r="Y607" i="15"/>
  <c r="Z607" i="15"/>
  <c r="Z598" i="15"/>
  <c r="Z599" i="15"/>
  <c r="Y599" i="15"/>
  <c r="K581" i="15"/>
  <c r="K580" i="15"/>
  <c r="Y596" i="15"/>
  <c r="Z596" i="15"/>
  <c r="L573" i="15"/>
  <c r="Z573" i="15" s="1"/>
  <c r="L579" i="15"/>
  <c r="L585" i="15"/>
  <c r="L561" i="15"/>
  <c r="L569" i="15"/>
  <c r="L581" i="15"/>
  <c r="L571" i="15"/>
  <c r="L557" i="15"/>
  <c r="L583" i="15"/>
  <c r="L559" i="15"/>
  <c r="Y555" i="15"/>
  <c r="L567" i="15"/>
  <c r="Y595" i="15"/>
  <c r="Z595" i="15"/>
  <c r="Y593" i="15"/>
  <c r="Z593" i="15"/>
  <c r="L578" i="15"/>
  <c r="Y578" i="15" s="1"/>
  <c r="L566" i="15"/>
  <c r="L572" i="15"/>
  <c r="L568" i="15"/>
  <c r="L558" i="15"/>
  <c r="Y554" i="15"/>
  <c r="L584" i="15"/>
  <c r="L560" i="15"/>
  <c r="L556" i="15"/>
  <c r="Z554" i="15"/>
  <c r="L570" i="15"/>
  <c r="Z570" i="15" s="1"/>
  <c r="L582" i="15"/>
  <c r="L580" i="15"/>
  <c r="Y592" i="15"/>
  <c r="Z592" i="15"/>
  <c r="Y591" i="15"/>
  <c r="Z591" i="15"/>
  <c r="Y598" i="15"/>
  <c r="Z594" i="15"/>
  <c r="Y594" i="15"/>
  <c r="Y597" i="15"/>
  <c r="Z597" i="15"/>
  <c r="Y278" i="15"/>
  <c r="Y62" i="15"/>
  <c r="Y381" i="15"/>
  <c r="Y376" i="15"/>
  <c r="Y203" i="15"/>
  <c r="Y367" i="15"/>
  <c r="Z285" i="15"/>
  <c r="Z372" i="15"/>
  <c r="Y283" i="15"/>
  <c r="Y331" i="15"/>
  <c r="Z252" i="15"/>
  <c r="Y272" i="15"/>
  <c r="Y375" i="15"/>
  <c r="Y279" i="15"/>
  <c r="Y247" i="15"/>
  <c r="Y256" i="15"/>
  <c r="Z284" i="15"/>
  <c r="Z78" i="15"/>
  <c r="Y61" i="15"/>
  <c r="Y66" i="15"/>
  <c r="Y273" i="15"/>
  <c r="Z286" i="15"/>
  <c r="Z226" i="15"/>
  <c r="Y221" i="15"/>
  <c r="Z217" i="15"/>
  <c r="Z334" i="15"/>
  <c r="Y417" i="15"/>
  <c r="Z220" i="15"/>
  <c r="Y235" i="15"/>
  <c r="Z216" i="15"/>
  <c r="Z235" i="15"/>
  <c r="Z248" i="15"/>
  <c r="Y67" i="15"/>
  <c r="Z227" i="15"/>
  <c r="Z417" i="15"/>
  <c r="Z354" i="15"/>
  <c r="Y83" i="15"/>
  <c r="Z202" i="15"/>
  <c r="Z344" i="15"/>
  <c r="Y344" i="15"/>
  <c r="Z262" i="15"/>
  <c r="Y220" i="15"/>
  <c r="Y227" i="15"/>
  <c r="Z80" i="15"/>
  <c r="Y63" i="15"/>
  <c r="Z63" i="15"/>
  <c r="Y71" i="15"/>
  <c r="Z71" i="15"/>
  <c r="Y218" i="15"/>
  <c r="Z358" i="15"/>
  <c r="Y358" i="15"/>
  <c r="Z328" i="15"/>
  <c r="Y328" i="15"/>
  <c r="Y217" i="15"/>
  <c r="Y254" i="15"/>
  <c r="Z254" i="15"/>
  <c r="Y345" i="15"/>
  <c r="Z345" i="15"/>
  <c r="Z351" i="15"/>
  <c r="Y351" i="15"/>
  <c r="Z258" i="15"/>
  <c r="Y258" i="15"/>
  <c r="Z79" i="15"/>
  <c r="Y79" i="15"/>
  <c r="Z257" i="15"/>
  <c r="Y257" i="15"/>
  <c r="Z355" i="15"/>
  <c r="Y355" i="15"/>
  <c r="Z261" i="15"/>
  <c r="Y255" i="15"/>
  <c r="Z255" i="15"/>
  <c r="Z348" i="15"/>
  <c r="Y348" i="15"/>
  <c r="Z340" i="15"/>
  <c r="Y340" i="15"/>
  <c r="Z352" i="15"/>
  <c r="Y352" i="15"/>
  <c r="Z347" i="15"/>
  <c r="Y347" i="15"/>
  <c r="Y357" i="15"/>
  <c r="Z357" i="15"/>
  <c r="Y65" i="15"/>
  <c r="Z65" i="15"/>
  <c r="Z350" i="15"/>
  <c r="Y350" i="15"/>
  <c r="Y337" i="15"/>
  <c r="Z337" i="15"/>
  <c r="Z239" i="15"/>
  <c r="Y239" i="15"/>
  <c r="Z371" i="15"/>
  <c r="Y371" i="15"/>
  <c r="Z333" i="15"/>
  <c r="Z353" i="15"/>
  <c r="Y343" i="15"/>
  <c r="Y248" i="15"/>
  <c r="Y289" i="15"/>
  <c r="Y86" i="15"/>
  <c r="Z86" i="15"/>
  <c r="Z85" i="15"/>
  <c r="Y85" i="15"/>
  <c r="Z245" i="15"/>
  <c r="Y245" i="15"/>
  <c r="Z265" i="15"/>
  <c r="Y265" i="15"/>
  <c r="Z70" i="15"/>
  <c r="Y70" i="15"/>
  <c r="Z250" i="15"/>
  <c r="Y250" i="15"/>
  <c r="Z342" i="15"/>
  <c r="Y342" i="15"/>
  <c r="Z236" i="15"/>
  <c r="Y236" i="15"/>
  <c r="Z263" i="15"/>
  <c r="Y263" i="15"/>
  <c r="Z330" i="15"/>
  <c r="Y330" i="15"/>
  <c r="Y84" i="15"/>
  <c r="Z84" i="15"/>
  <c r="Z251" i="15"/>
  <c r="Y251" i="15"/>
  <c r="Y223" i="15"/>
  <c r="Z223" i="15"/>
  <c r="Z356" i="15"/>
  <c r="Y356" i="15"/>
  <c r="Z232" i="15"/>
  <c r="Y232" i="15"/>
  <c r="Z339" i="15"/>
  <c r="Y339" i="15"/>
  <c r="Y261" i="15"/>
  <c r="Z335" i="15"/>
  <c r="Y335" i="15"/>
  <c r="Z81" i="15"/>
  <c r="Y81" i="15"/>
  <c r="Z346" i="15"/>
  <c r="Y346" i="15"/>
  <c r="Z359" i="15"/>
  <c r="Y359" i="15"/>
  <c r="Y82" i="15"/>
  <c r="Z82" i="15"/>
  <c r="Z338" i="15"/>
  <c r="Y338" i="15"/>
  <c r="Z249" i="15"/>
  <c r="Y249" i="15"/>
  <c r="Y349" i="15"/>
  <c r="Z349" i="15"/>
  <c r="Z244" i="15"/>
  <c r="Y244" i="15"/>
  <c r="Y415" i="15"/>
  <c r="Z415" i="15"/>
  <c r="Z414" i="15"/>
  <c r="Y414" i="15"/>
  <c r="Z218" i="15"/>
  <c r="Y262" i="15"/>
  <c r="Y202" i="15"/>
  <c r="Z264" i="15"/>
  <c r="Y264" i="15"/>
  <c r="Y329" i="15"/>
  <c r="Z329" i="15"/>
  <c r="Y77" i="15"/>
  <c r="Z77" i="15"/>
  <c r="Z219" i="15"/>
  <c r="Y219" i="15"/>
  <c r="Z215" i="15"/>
  <c r="Y215" i="15"/>
  <c r="Z222" i="15"/>
  <c r="Y222" i="15"/>
  <c r="Z68" i="15"/>
  <c r="Y68" i="15"/>
  <c r="Y260" i="15"/>
  <c r="Z260" i="15"/>
  <c r="Z259" i="15"/>
  <c r="Y259" i="15"/>
  <c r="Y76" i="15"/>
  <c r="Z76" i="15"/>
  <c r="Z336" i="15"/>
  <c r="Y336" i="15"/>
  <c r="Y69" i="15"/>
  <c r="Z69" i="15"/>
  <c r="T280" i="14"/>
  <c r="T279" i="14"/>
  <c r="Y579" i="15" l="1"/>
  <c r="Z578" i="15"/>
  <c r="T418" i="14"/>
  <c r="T421" i="14"/>
  <c r="T419" i="14"/>
  <c r="T420" i="14"/>
  <c r="Y573" i="15"/>
  <c r="Z566" i="15"/>
  <c r="Y566" i="15"/>
  <c r="Z567" i="15"/>
  <c r="Y567" i="15"/>
  <c r="Z561" i="15"/>
  <c r="Y561" i="15"/>
  <c r="Y580" i="15"/>
  <c r="Z580" i="15"/>
  <c r="K582" i="15"/>
  <c r="Y569" i="15"/>
  <c r="Z569" i="15"/>
  <c r="Z556" i="15"/>
  <c r="Y556" i="15"/>
  <c r="Z579" i="15"/>
  <c r="Y560" i="15"/>
  <c r="Z560" i="15"/>
  <c r="Y559" i="15"/>
  <c r="Z559" i="15"/>
  <c r="Z581" i="15"/>
  <c r="K583" i="15"/>
  <c r="Y581" i="15"/>
  <c r="Y557" i="15"/>
  <c r="Z557" i="15"/>
  <c r="Y558" i="15"/>
  <c r="Z558" i="15"/>
  <c r="Y571" i="15"/>
  <c r="Z571" i="15"/>
  <c r="Y572" i="15"/>
  <c r="Z572" i="15"/>
  <c r="Y568" i="15"/>
  <c r="Z568" i="15"/>
  <c r="Y570" i="15"/>
  <c r="Y226" i="15"/>
  <c r="Z221" i="15"/>
  <c r="Y354" i="15"/>
  <c r="Y334" i="15"/>
  <c r="Z289" i="15"/>
  <c r="Y280" i="15"/>
  <c r="Z280" i="15"/>
  <c r="Y333" i="15"/>
  <c r="Y290" i="15"/>
  <c r="Z290" i="15"/>
  <c r="Z224" i="15"/>
  <c r="Y224" i="15"/>
  <c r="Z413" i="15"/>
  <c r="Y413" i="15"/>
  <c r="Y237" i="15"/>
  <c r="Z237" i="15"/>
  <c r="Z281" i="15"/>
  <c r="Y281" i="15"/>
  <c r="Z228" i="15"/>
  <c r="Y228" i="15"/>
  <c r="Z233" i="15"/>
  <c r="Y233" i="15"/>
  <c r="Z343" i="15"/>
  <c r="Y353" i="15"/>
  <c r="Z412" i="15"/>
  <c r="Y412" i="15"/>
  <c r="Z238" i="15"/>
  <c r="Y238" i="15"/>
  <c r="Y321" i="15"/>
  <c r="Y416" i="15"/>
  <c r="Z416" i="15"/>
  <c r="T416" i="14"/>
  <c r="T417" i="14"/>
  <c r="K585" i="15" l="1"/>
  <c r="Y583" i="15"/>
  <c r="Z583" i="15"/>
  <c r="K584" i="15"/>
  <c r="Z582" i="15"/>
  <c r="Y582" i="15"/>
  <c r="Z321" i="15"/>
  <c r="Z234" i="15"/>
  <c r="Y234" i="15"/>
  <c r="Y225" i="15"/>
  <c r="Z225" i="15"/>
  <c r="Y282" i="15"/>
  <c r="Z282" i="15"/>
  <c r="Z291" i="15"/>
  <c r="Y291" i="15"/>
  <c r="R366" i="14"/>
  <c r="R365" i="14"/>
  <c r="R364" i="14"/>
  <c r="Y584" i="15" l="1"/>
  <c r="Z584" i="15"/>
  <c r="Z585" i="15"/>
  <c r="Y585" i="15"/>
  <c r="Z322" i="15"/>
  <c r="Y322" i="15"/>
  <c r="AC330" i="14" l="1"/>
  <c r="AC329" i="14"/>
  <c r="AC328" i="14"/>
  <c r="AB330" i="14"/>
  <c r="AB329" i="14"/>
  <c r="AB328" i="14"/>
  <c r="AA328" i="14" s="1"/>
  <c r="R276" i="14"/>
  <c r="R275" i="14"/>
  <c r="M246" i="14"/>
  <c r="M247" i="14"/>
  <c r="M249" i="14"/>
  <c r="M250" i="14"/>
  <c r="M252" i="14"/>
  <c r="M253" i="14"/>
  <c r="M254" i="14"/>
  <c r="M255" i="14"/>
  <c r="M256" i="14"/>
  <c r="M257" i="14"/>
  <c r="M258" i="14"/>
  <c r="M259" i="14"/>
  <c r="M260" i="14"/>
  <c r="M262" i="14"/>
  <c r="M263" i="14"/>
  <c r="M264" i="14"/>
  <c r="M265" i="14"/>
  <c r="M266" i="14"/>
  <c r="M267" i="14"/>
  <c r="M268" i="14"/>
  <c r="M230" i="14"/>
  <c r="M241" i="14"/>
  <c r="M242" i="14"/>
  <c r="M243" i="14"/>
  <c r="M244" i="14"/>
  <c r="M229" i="14"/>
  <c r="AG116" i="14"/>
  <c r="AH116" i="14"/>
  <c r="AG117" i="14"/>
  <c r="AH117" i="14"/>
  <c r="AG118" i="14"/>
  <c r="AH118" i="14"/>
  <c r="AG122" i="14"/>
  <c r="AH122" i="14"/>
  <c r="AG123" i="14"/>
  <c r="AH123" i="14"/>
  <c r="AG124" i="14"/>
  <c r="AH124" i="14"/>
  <c r="AA330" i="14" l="1"/>
  <c r="AA329" i="14"/>
  <c r="M106" i="14" l="1"/>
  <c r="M105" i="14"/>
  <c r="M104" i="14"/>
  <c r="M89" i="14"/>
  <c r="M90" i="14"/>
  <c r="M91" i="14"/>
  <c r="M92" i="14"/>
  <c r="M93" i="14"/>
  <c r="M94" i="14"/>
  <c r="M95" i="14"/>
  <c r="M96" i="14"/>
  <c r="M97" i="14"/>
  <c r="M88" i="14"/>
  <c r="M87" i="14"/>
  <c r="M86" i="14"/>
  <c r="M85" i="14"/>
  <c r="M84" i="14"/>
  <c r="M83" i="14"/>
  <c r="M1" i="14"/>
  <c r="AH6" i="14"/>
  <c r="AH7" i="14"/>
  <c r="AH8" i="14"/>
  <c r="AH9" i="14"/>
  <c r="AH10" i="14"/>
  <c r="AH11" i="14"/>
  <c r="A8" i="14"/>
  <c r="R121" i="14" s="1"/>
  <c r="A9" i="14"/>
  <c r="A10" i="14"/>
  <c r="A11" i="14"/>
  <c r="A7" i="14"/>
  <c r="R120" i="14" s="1"/>
  <c r="A6" i="14"/>
  <c r="L1" i="14"/>
  <c r="K1" i="14"/>
  <c r="J1" i="14"/>
  <c r="I1" i="14"/>
  <c r="H1" i="14"/>
  <c r="G1" i="14"/>
  <c r="F1" i="14"/>
  <c r="E1" i="14"/>
  <c r="D1" i="14"/>
  <c r="C1" i="14"/>
  <c r="AH550" i="14"/>
  <c r="AG550" i="14"/>
  <c r="R549" i="14"/>
  <c r="AH549" i="14" s="1"/>
  <c r="R548" i="14"/>
  <c r="AH548" i="14" s="1"/>
  <c r="R547" i="14"/>
  <c r="AG547" i="14" s="1"/>
  <c r="R546" i="14"/>
  <c r="AH546" i="14" s="1"/>
  <c r="AA545" i="14"/>
  <c r="AG545" i="14" s="1"/>
  <c r="U543" i="14"/>
  <c r="U542" i="14"/>
  <c r="U541" i="14"/>
  <c r="U540" i="14"/>
  <c r="U539" i="14"/>
  <c r="U538" i="14"/>
  <c r="AH537" i="14"/>
  <c r="A537" i="14"/>
  <c r="AG537" i="14" s="1"/>
  <c r="AH536" i="14"/>
  <c r="A536" i="14"/>
  <c r="AG536" i="14" s="1"/>
  <c r="AH535" i="14"/>
  <c r="A535" i="14"/>
  <c r="AG535" i="14" s="1"/>
  <c r="AH534" i="14"/>
  <c r="A534" i="14"/>
  <c r="AG534" i="14" s="1"/>
  <c r="AH533" i="14"/>
  <c r="A533" i="14"/>
  <c r="AG533" i="14" s="1"/>
  <c r="AH532" i="14"/>
  <c r="A532" i="14"/>
  <c r="AG532" i="14" s="1"/>
  <c r="AH531" i="14"/>
  <c r="A531" i="14"/>
  <c r="AG531" i="14" s="1"/>
  <c r="AH530" i="14"/>
  <c r="A530" i="14"/>
  <c r="AG530" i="14" s="1"/>
  <c r="AH529" i="14"/>
  <c r="A529" i="14"/>
  <c r="AG529" i="14" s="1"/>
  <c r="AH528" i="14"/>
  <c r="A528" i="14"/>
  <c r="AG528" i="14" s="1"/>
  <c r="AH527" i="14"/>
  <c r="A527" i="14"/>
  <c r="AG527" i="14" s="1"/>
  <c r="AH526" i="14"/>
  <c r="A526" i="14"/>
  <c r="AG526" i="14" s="1"/>
  <c r="AH525" i="14"/>
  <c r="A525" i="14"/>
  <c r="AG525" i="14" s="1"/>
  <c r="AH524" i="14"/>
  <c r="A524" i="14"/>
  <c r="AG524" i="14" s="1"/>
  <c r="AH523" i="14"/>
  <c r="A523" i="14"/>
  <c r="AG523" i="14" s="1"/>
  <c r="AH522" i="14"/>
  <c r="A522" i="14"/>
  <c r="AG522" i="14" s="1"/>
  <c r="AH521" i="14"/>
  <c r="A521" i="14"/>
  <c r="AG521" i="14" s="1"/>
  <c r="AH520" i="14"/>
  <c r="A520" i="14"/>
  <c r="AG520" i="14" s="1"/>
  <c r="AH519" i="14"/>
  <c r="A519" i="14"/>
  <c r="AG519" i="14" s="1"/>
  <c r="AH518" i="14"/>
  <c r="A518" i="14"/>
  <c r="AG518" i="14" s="1"/>
  <c r="AH517" i="14"/>
  <c r="A517" i="14"/>
  <c r="AG517" i="14" s="1"/>
  <c r="AH516" i="14"/>
  <c r="A516" i="14"/>
  <c r="AG516" i="14" s="1"/>
  <c r="AH515" i="14"/>
  <c r="A515" i="14"/>
  <c r="AG515" i="14" s="1"/>
  <c r="AH514" i="14"/>
  <c r="A514" i="14"/>
  <c r="AG514" i="14" s="1"/>
  <c r="AH513" i="14"/>
  <c r="A513" i="14"/>
  <c r="AG513" i="14" s="1"/>
  <c r="AH512" i="14"/>
  <c r="A512" i="14"/>
  <c r="AG512" i="14" s="1"/>
  <c r="AH511" i="14"/>
  <c r="A511" i="14"/>
  <c r="AG511" i="14" s="1"/>
  <c r="AH510" i="14"/>
  <c r="A510" i="14"/>
  <c r="AG510" i="14" s="1"/>
  <c r="AH509" i="14"/>
  <c r="A509" i="14"/>
  <c r="AG509" i="14" s="1"/>
  <c r="AH508" i="14"/>
  <c r="A508" i="14"/>
  <c r="AG508" i="14" s="1"/>
  <c r="R507" i="14"/>
  <c r="AA506" i="14"/>
  <c r="AH506" i="14" s="1"/>
  <c r="AA505" i="14"/>
  <c r="AH505" i="14" s="1"/>
  <c r="R504" i="14"/>
  <c r="AH504" i="14" s="1"/>
  <c r="AA503" i="14"/>
  <c r="AG503" i="14" s="1"/>
  <c r="AA502" i="14"/>
  <c r="AH502" i="14" s="1"/>
  <c r="R501" i="14"/>
  <c r="AH501" i="14" s="1"/>
  <c r="AA500" i="14"/>
  <c r="AH500" i="14" s="1"/>
  <c r="AA499" i="14"/>
  <c r="R498" i="14"/>
  <c r="AH498" i="14" s="1"/>
  <c r="AA497" i="14"/>
  <c r="AH497" i="14" s="1"/>
  <c r="AA496" i="14"/>
  <c r="AH496" i="14" s="1"/>
  <c r="R495" i="14"/>
  <c r="AG495" i="14" s="1"/>
  <c r="AA494" i="14"/>
  <c r="AH494" i="14" s="1"/>
  <c r="AA493" i="14"/>
  <c r="AH493" i="14" s="1"/>
  <c r="R492" i="14"/>
  <c r="AH492" i="14" s="1"/>
  <c r="AH490" i="14"/>
  <c r="A490" i="14"/>
  <c r="AG490" i="14" s="1"/>
  <c r="AH489" i="14"/>
  <c r="A489" i="14"/>
  <c r="AG489" i="14" s="1"/>
  <c r="AA488" i="14"/>
  <c r="AH488" i="14" s="1"/>
  <c r="AA487" i="14"/>
  <c r="AG487" i="14" s="1"/>
  <c r="AA486" i="14"/>
  <c r="AH486" i="14" s="1"/>
  <c r="AH485" i="14"/>
  <c r="A485" i="14"/>
  <c r="AG485" i="14" s="1"/>
  <c r="AH484" i="14"/>
  <c r="A484" i="14"/>
  <c r="AG484" i="14" s="1"/>
  <c r="AH483" i="14"/>
  <c r="A483" i="14"/>
  <c r="AG483" i="14" s="1"/>
  <c r="AH482" i="14"/>
  <c r="A482" i="14"/>
  <c r="AG482" i="14" s="1"/>
  <c r="AH481" i="14"/>
  <c r="A481" i="14"/>
  <c r="AG481" i="14" s="1"/>
  <c r="AH480" i="14"/>
  <c r="A480" i="14"/>
  <c r="AG480" i="14" s="1"/>
  <c r="U475" i="14"/>
  <c r="U474" i="14"/>
  <c r="U465" i="14"/>
  <c r="U464" i="14"/>
  <c r="U455" i="14"/>
  <c r="U454" i="14"/>
  <c r="R453" i="14"/>
  <c r="AH453" i="14" s="1"/>
  <c r="R452" i="14"/>
  <c r="AG452" i="14" s="1"/>
  <c r="AH448" i="14"/>
  <c r="A448" i="14"/>
  <c r="AH447" i="14"/>
  <c r="A447" i="14"/>
  <c r="AG447" i="14" s="1"/>
  <c r="AH446" i="14"/>
  <c r="A446" i="14"/>
  <c r="AG446" i="14" s="1"/>
  <c r="R415" i="14"/>
  <c r="AH415" i="14" s="1"/>
  <c r="R414" i="14"/>
  <c r="AG414" i="14" s="1"/>
  <c r="R413" i="14"/>
  <c r="AH413" i="14" s="1"/>
  <c r="U418" i="14"/>
  <c r="U417" i="14"/>
  <c r="U416" i="14"/>
  <c r="R412" i="14"/>
  <c r="AG412" i="14" s="1"/>
  <c r="R411" i="14"/>
  <c r="AH411" i="14" s="1"/>
  <c r="R410" i="14"/>
  <c r="U409" i="14"/>
  <c r="Y408" i="14"/>
  <c r="Y409" i="14" s="1"/>
  <c r="U408" i="14"/>
  <c r="U407" i="14"/>
  <c r="R406" i="14"/>
  <c r="AH406" i="14" s="1"/>
  <c r="R405" i="14"/>
  <c r="AH405" i="14" s="1"/>
  <c r="R404" i="14"/>
  <c r="AH404" i="14" s="1"/>
  <c r="AH400" i="14"/>
  <c r="U381" i="14"/>
  <c r="U380" i="14"/>
  <c r="U379" i="14"/>
  <c r="U369" i="14"/>
  <c r="U368" i="14"/>
  <c r="U367" i="14"/>
  <c r="AH365" i="14"/>
  <c r="AH364" i="14"/>
  <c r="AL363" i="14"/>
  <c r="R363" i="14"/>
  <c r="AH363" i="14" s="1"/>
  <c r="AL362" i="14"/>
  <c r="R362" i="14"/>
  <c r="AH362" i="14" s="1"/>
  <c r="AL361" i="14"/>
  <c r="R361" i="14"/>
  <c r="AG361" i="14" s="1"/>
  <c r="AH354" i="14"/>
  <c r="AH352" i="14"/>
  <c r="AH351" i="14"/>
  <c r="AH350" i="14"/>
  <c r="AG349" i="14"/>
  <c r="R348" i="14"/>
  <c r="AH348" i="14" s="1"/>
  <c r="R347" i="14"/>
  <c r="AH347" i="14" s="1"/>
  <c r="AM346" i="14"/>
  <c r="R346" i="14"/>
  <c r="AH345" i="14"/>
  <c r="AG344" i="14"/>
  <c r="AH343" i="14"/>
  <c r="AC342" i="14"/>
  <c r="AB342" i="14"/>
  <c r="AC341" i="14"/>
  <c r="AB341" i="14"/>
  <c r="AC340" i="14"/>
  <c r="AB340" i="14"/>
  <c r="AC339" i="14"/>
  <c r="AB339" i="14"/>
  <c r="AC338" i="14"/>
  <c r="AB338" i="14"/>
  <c r="AC337" i="14"/>
  <c r="AB337" i="14"/>
  <c r="A330" i="14"/>
  <c r="AA333" i="14" s="1"/>
  <c r="A329" i="14"/>
  <c r="AA332" i="14" s="1"/>
  <c r="A328" i="14"/>
  <c r="AA331" i="14" s="1"/>
  <c r="R219" i="14"/>
  <c r="A310" i="14"/>
  <c r="AH309" i="14"/>
  <c r="A309" i="14"/>
  <c r="AG309" i="14" s="1"/>
  <c r="AH304" i="14"/>
  <c r="A304" i="14"/>
  <c r="A305" i="14" s="1"/>
  <c r="AH303" i="14"/>
  <c r="A303" i="14"/>
  <c r="AG303" i="14" s="1"/>
  <c r="AH302" i="14"/>
  <c r="A302" i="14"/>
  <c r="AG302" i="14" s="1"/>
  <c r="AH301" i="14"/>
  <c r="A301" i="14"/>
  <c r="AG301" i="14" s="1"/>
  <c r="AH300" i="14"/>
  <c r="A300" i="14"/>
  <c r="AG300" i="14" s="1"/>
  <c r="AH299" i="14"/>
  <c r="A299" i="14"/>
  <c r="AG299" i="14" s="1"/>
  <c r="AD330" i="14"/>
  <c r="A295" i="14"/>
  <c r="AD329" i="14"/>
  <c r="A294" i="14"/>
  <c r="AD328" i="14"/>
  <c r="A293" i="14"/>
  <c r="U292" i="14"/>
  <c r="U291" i="14"/>
  <c r="U288" i="14"/>
  <c r="U287" i="14"/>
  <c r="R286" i="14"/>
  <c r="R285" i="14"/>
  <c r="W282" i="14"/>
  <c r="V282" i="14"/>
  <c r="W281" i="14"/>
  <c r="V281" i="14"/>
  <c r="U281" i="14"/>
  <c r="U280" i="14"/>
  <c r="U279" i="14"/>
  <c r="R278" i="14"/>
  <c r="AH278" i="14" s="1"/>
  <c r="R277" i="14"/>
  <c r="AH277" i="14" s="1"/>
  <c r="Q274" i="14"/>
  <c r="AH274" i="14" s="1"/>
  <c r="Q273" i="14"/>
  <c r="AH273" i="14" s="1"/>
  <c r="AA272" i="14"/>
  <c r="AH272" i="14" s="1"/>
  <c r="AA271" i="14"/>
  <c r="AH271" i="14" s="1"/>
  <c r="AA270" i="14"/>
  <c r="AH270" i="14" s="1"/>
  <c r="AA269" i="14"/>
  <c r="AH269" i="14" s="1"/>
  <c r="U268" i="14"/>
  <c r="U267" i="14"/>
  <c r="U266" i="14"/>
  <c r="AA265" i="14"/>
  <c r="AH265" i="14" s="1"/>
  <c r="U262" i="14"/>
  <c r="AA261" i="14"/>
  <c r="AH261" i="14" s="1"/>
  <c r="A261" i="14"/>
  <c r="AA258" i="14"/>
  <c r="AH258" i="14" s="1"/>
  <c r="AA257" i="14"/>
  <c r="AG257" i="14" s="1"/>
  <c r="AA256" i="14"/>
  <c r="AH256" i="14" s="1"/>
  <c r="V252" i="14"/>
  <c r="U252" i="14"/>
  <c r="V250" i="14"/>
  <c r="V249" i="14"/>
  <c r="U249" i="14"/>
  <c r="V247" i="14"/>
  <c r="V244" i="14"/>
  <c r="V243" i="14"/>
  <c r="V242" i="14"/>
  <c r="AH4" i="14"/>
  <c r="A4" i="14"/>
  <c r="AH3" i="14"/>
  <c r="A3" i="14"/>
  <c r="AH228" i="14"/>
  <c r="A228" i="14"/>
  <c r="AG228" i="14" s="1"/>
  <c r="AH227" i="14"/>
  <c r="A227" i="14"/>
  <c r="AG227" i="14" s="1"/>
  <c r="AH226" i="14"/>
  <c r="A226" i="14"/>
  <c r="AH225" i="14"/>
  <c r="A225" i="14"/>
  <c r="AH224" i="14"/>
  <c r="A224" i="14"/>
  <c r="AH223" i="14"/>
  <c r="A223" i="14"/>
  <c r="AG223" i="14" s="1"/>
  <c r="AH222" i="14"/>
  <c r="A222" i="14"/>
  <c r="AG222" i="14" s="1"/>
  <c r="AH221" i="14"/>
  <c r="A221" i="14"/>
  <c r="AG221" i="14" s="1"/>
  <c r="AH220" i="14"/>
  <c r="A220" i="14"/>
  <c r="AG220" i="14" s="1"/>
  <c r="AD217" i="14"/>
  <c r="AB217" i="14"/>
  <c r="AH215" i="14"/>
  <c r="AG215" i="14"/>
  <c r="AH214" i="14"/>
  <c r="AG214" i="14"/>
  <c r="AH213" i="14"/>
  <c r="A213" i="14"/>
  <c r="AH212" i="14"/>
  <c r="A212" i="14"/>
  <c r="AA324" i="14" s="1"/>
  <c r="AH211" i="14"/>
  <c r="A211" i="14"/>
  <c r="AA323" i="14" s="1"/>
  <c r="AG323" i="14" s="1"/>
  <c r="AH210" i="14"/>
  <c r="A210" i="14"/>
  <c r="AG210" i="14" s="1"/>
  <c r="AH209" i="14"/>
  <c r="A209" i="14"/>
  <c r="AH208" i="14"/>
  <c r="A208" i="14"/>
  <c r="AH207" i="14"/>
  <c r="A207" i="14"/>
  <c r="AG207" i="14" s="1"/>
  <c r="AH206" i="14"/>
  <c r="A206" i="14"/>
  <c r="R473" i="14" s="1"/>
  <c r="AH205" i="14"/>
  <c r="A205" i="14"/>
  <c r="AH204" i="14"/>
  <c r="A204" i="14"/>
  <c r="AG204" i="14" s="1"/>
  <c r="AH203" i="14"/>
  <c r="A203" i="14"/>
  <c r="AG203" i="14" s="1"/>
  <c r="AH202" i="14"/>
  <c r="A202" i="14"/>
  <c r="AD216" i="14" s="1"/>
  <c r="AH201" i="14"/>
  <c r="A201" i="14"/>
  <c r="AG201" i="14" s="1"/>
  <c r="AH200" i="14"/>
  <c r="A200" i="14"/>
  <c r="AG200" i="14" s="1"/>
  <c r="AH199" i="14"/>
  <c r="A199" i="14"/>
  <c r="AG199" i="14" s="1"/>
  <c r="AH198" i="14"/>
  <c r="A198" i="14"/>
  <c r="AG198" i="14" s="1"/>
  <c r="AH197" i="14"/>
  <c r="A197" i="14"/>
  <c r="AG197" i="14" s="1"/>
  <c r="AH196" i="14"/>
  <c r="A196" i="14"/>
  <c r="AG196" i="14" s="1"/>
  <c r="AH195" i="14"/>
  <c r="A195" i="14"/>
  <c r="AH194" i="14"/>
  <c r="A194" i="14"/>
  <c r="AG194" i="14" s="1"/>
  <c r="AH193" i="14"/>
  <c r="AG193" i="14"/>
  <c r="AH192" i="14"/>
  <c r="AG192" i="14"/>
  <c r="AH191" i="14"/>
  <c r="A191" i="14"/>
  <c r="AG191" i="14" s="1"/>
  <c r="AH190" i="14"/>
  <c r="A190" i="14"/>
  <c r="AH189" i="14"/>
  <c r="A189" i="14"/>
  <c r="AH188" i="14"/>
  <c r="A188" i="14"/>
  <c r="AG188" i="14" s="1"/>
  <c r="AH187" i="14"/>
  <c r="A187" i="14"/>
  <c r="AH186" i="14"/>
  <c r="A186" i="14"/>
  <c r="AG186" i="14" s="1"/>
  <c r="AH185" i="14"/>
  <c r="A185" i="14"/>
  <c r="AG185" i="14" s="1"/>
  <c r="AH184" i="14"/>
  <c r="A184" i="14"/>
  <c r="AH183" i="14"/>
  <c r="A183" i="14"/>
  <c r="AH182" i="14"/>
  <c r="A182" i="14"/>
  <c r="AG182" i="14" s="1"/>
  <c r="AH181" i="14"/>
  <c r="A181" i="14"/>
  <c r="AH180" i="14"/>
  <c r="A180" i="14"/>
  <c r="AH179" i="14"/>
  <c r="A179" i="14"/>
  <c r="T427" i="14" s="1"/>
  <c r="T439" i="14" s="1"/>
  <c r="AH178" i="14"/>
  <c r="A178" i="14"/>
  <c r="AH177" i="14"/>
  <c r="A177" i="14"/>
  <c r="S384" i="14" s="1"/>
  <c r="S385" i="14" s="1"/>
  <c r="S386" i="14" s="1"/>
  <c r="S387" i="14" s="1"/>
  <c r="AH176" i="14"/>
  <c r="A176" i="14"/>
  <c r="AH175" i="14"/>
  <c r="A175" i="14"/>
  <c r="AG175" i="14" s="1"/>
  <c r="AH174" i="14"/>
  <c r="A174" i="14"/>
  <c r="AG174" i="14" s="1"/>
  <c r="AH173" i="14"/>
  <c r="A173" i="14"/>
  <c r="AG173" i="14" s="1"/>
  <c r="AH172" i="14"/>
  <c r="A172" i="14"/>
  <c r="AG172" i="14" s="1"/>
  <c r="AH171" i="14"/>
  <c r="A171" i="14"/>
  <c r="AG171" i="14" s="1"/>
  <c r="AH170" i="14"/>
  <c r="A170" i="14"/>
  <c r="AG170" i="14" s="1"/>
  <c r="AH169" i="14"/>
  <c r="A169" i="14"/>
  <c r="AG169" i="14" s="1"/>
  <c r="AH168" i="14"/>
  <c r="A168" i="14"/>
  <c r="AG168" i="14" s="1"/>
  <c r="AH167" i="14"/>
  <c r="A167" i="14"/>
  <c r="AG167" i="14" s="1"/>
  <c r="AH166" i="14"/>
  <c r="A166" i="14"/>
  <c r="AG166" i="14" s="1"/>
  <c r="AH165" i="14"/>
  <c r="A165" i="14"/>
  <c r="AG165" i="14" s="1"/>
  <c r="AH164" i="14"/>
  <c r="A164" i="14"/>
  <c r="AG164" i="14" s="1"/>
  <c r="AH163" i="14"/>
  <c r="A163" i="14"/>
  <c r="AG163" i="14" s="1"/>
  <c r="AH162" i="14"/>
  <c r="A162" i="14"/>
  <c r="AG162" i="14" s="1"/>
  <c r="AH161" i="14"/>
  <c r="A161" i="14"/>
  <c r="AG161" i="14" s="1"/>
  <c r="AH160" i="14"/>
  <c r="A160" i="14"/>
  <c r="AG160" i="14" s="1"/>
  <c r="AH159" i="14"/>
  <c r="A159" i="14"/>
  <c r="AG159" i="14" s="1"/>
  <c r="AH158" i="14"/>
  <c r="A158" i="14"/>
  <c r="AG158" i="14" s="1"/>
  <c r="AH157" i="14"/>
  <c r="A157" i="14"/>
  <c r="AG157" i="14" s="1"/>
  <c r="AH156" i="14"/>
  <c r="A156" i="14"/>
  <c r="AG156" i="14" s="1"/>
  <c r="AH155" i="14"/>
  <c r="A155" i="14"/>
  <c r="AG155" i="14" s="1"/>
  <c r="AH154" i="14"/>
  <c r="A154" i="14"/>
  <c r="AG154" i="14" s="1"/>
  <c r="AH153" i="14"/>
  <c r="A153" i="14"/>
  <c r="AG153" i="14" s="1"/>
  <c r="AH152" i="14"/>
  <c r="A152" i="14"/>
  <c r="AG152" i="14" s="1"/>
  <c r="AH151" i="14"/>
  <c r="A151" i="14"/>
  <c r="AG151" i="14" s="1"/>
  <c r="AH150" i="14"/>
  <c r="A150" i="14"/>
  <c r="AG150" i="14" s="1"/>
  <c r="AH149" i="14"/>
  <c r="A149" i="14"/>
  <c r="AG149" i="14" s="1"/>
  <c r="AH148" i="14"/>
  <c r="A148" i="14"/>
  <c r="AG148" i="14" s="1"/>
  <c r="AH147" i="14"/>
  <c r="A147" i="14"/>
  <c r="AG147" i="14" s="1"/>
  <c r="AH146" i="14"/>
  <c r="A146" i="14"/>
  <c r="AG146" i="14" s="1"/>
  <c r="AH145" i="14"/>
  <c r="A145" i="14"/>
  <c r="AG145" i="14" s="1"/>
  <c r="AH144" i="14"/>
  <c r="A144" i="14"/>
  <c r="AG144" i="14" s="1"/>
  <c r="AH143" i="14"/>
  <c r="A143" i="14"/>
  <c r="AG143" i="14" s="1"/>
  <c r="AH142" i="14"/>
  <c r="A142" i="14"/>
  <c r="AG142" i="14" s="1"/>
  <c r="AH141" i="14"/>
  <c r="A141" i="14"/>
  <c r="AG141" i="14" s="1"/>
  <c r="AH140" i="14"/>
  <c r="A140" i="14"/>
  <c r="AG140" i="14" s="1"/>
  <c r="AH139" i="14"/>
  <c r="A139" i="14"/>
  <c r="AG139" i="14" s="1"/>
  <c r="AH138" i="14"/>
  <c r="A138" i="14"/>
  <c r="AG138" i="14" s="1"/>
  <c r="AH137" i="14"/>
  <c r="A137" i="14"/>
  <c r="AG137" i="14" s="1"/>
  <c r="AH136" i="14"/>
  <c r="A136" i="14"/>
  <c r="AG136" i="14" s="1"/>
  <c r="AH133" i="14"/>
  <c r="AH132" i="14"/>
  <c r="AC334" i="14"/>
  <c r="AH131" i="14"/>
  <c r="A131" i="14"/>
  <c r="AG131" i="14" s="1"/>
  <c r="AH130" i="14"/>
  <c r="A130" i="14"/>
  <c r="AH129" i="14"/>
  <c r="A129" i="14"/>
  <c r="AG129" i="14" s="1"/>
  <c r="AH128" i="14"/>
  <c r="A128" i="14"/>
  <c r="AG128" i="14" s="1"/>
  <c r="AH127" i="14"/>
  <c r="A127" i="14"/>
  <c r="AH84" i="14" s="1"/>
  <c r="AH126" i="14"/>
  <c r="A126" i="14"/>
  <c r="AH125" i="14"/>
  <c r="A125" i="14"/>
  <c r="AH82" i="14"/>
  <c r="A82" i="14"/>
  <c r="R457" i="14" s="1"/>
  <c r="AH81" i="14"/>
  <c r="A81" i="14"/>
  <c r="AH80" i="14"/>
  <c r="A80" i="14"/>
  <c r="R460" i="14" s="1"/>
  <c r="AH79" i="14"/>
  <c r="A79" i="14"/>
  <c r="AG79" i="14" s="1"/>
  <c r="AH78" i="14"/>
  <c r="A78" i="14"/>
  <c r="AH77" i="14"/>
  <c r="A77" i="14"/>
  <c r="AG77" i="14" s="1"/>
  <c r="AH76" i="14"/>
  <c r="A76" i="14"/>
  <c r="AH75" i="14"/>
  <c r="A75" i="14"/>
  <c r="AH74" i="14"/>
  <c r="A74" i="14"/>
  <c r="AH73" i="14"/>
  <c r="A73" i="14"/>
  <c r="AH72" i="14"/>
  <c r="A72" i="14"/>
  <c r="AG72" i="14" s="1"/>
  <c r="AH71" i="14"/>
  <c r="A71" i="14"/>
  <c r="AG71" i="14" s="1"/>
  <c r="AH70" i="14"/>
  <c r="A70" i="14"/>
  <c r="AG70" i="14" s="1"/>
  <c r="AH69" i="14"/>
  <c r="A69" i="14"/>
  <c r="AG69" i="14" s="1"/>
  <c r="AH68" i="14"/>
  <c r="A68" i="14"/>
  <c r="AG68" i="14" s="1"/>
  <c r="AH67" i="14"/>
  <c r="A67" i="14"/>
  <c r="AG67" i="14" s="1"/>
  <c r="AH66" i="14"/>
  <c r="AG66" i="14"/>
  <c r="AH65" i="14"/>
  <c r="AG65" i="14"/>
  <c r="AH64" i="14"/>
  <c r="AG64" i="14"/>
  <c r="AH63" i="14"/>
  <c r="AG63" i="14"/>
  <c r="AH62" i="14"/>
  <c r="AG62" i="14"/>
  <c r="AH61" i="14"/>
  <c r="AG61" i="14"/>
  <c r="AH60" i="14"/>
  <c r="AG60" i="14"/>
  <c r="AH59" i="14"/>
  <c r="AG59" i="14"/>
  <c r="AH58" i="14"/>
  <c r="AG58" i="14"/>
  <c r="AH57" i="14"/>
  <c r="AG57" i="14"/>
  <c r="AH56" i="14"/>
  <c r="AG56" i="14"/>
  <c r="AH55" i="14"/>
  <c r="AG55" i="14"/>
  <c r="AH54" i="14"/>
  <c r="AG54" i="14"/>
  <c r="AH53" i="14"/>
  <c r="AG53" i="14"/>
  <c r="AH52" i="14"/>
  <c r="AG52" i="14"/>
  <c r="AH51" i="14"/>
  <c r="AG51" i="14"/>
  <c r="AH50" i="14"/>
  <c r="AG50" i="14"/>
  <c r="S274" i="1"/>
  <c r="S273" i="1"/>
  <c r="S270" i="1"/>
  <c r="S269" i="1"/>
  <c r="P268" i="1"/>
  <c r="P267" i="1"/>
  <c r="O256" i="1"/>
  <c r="O255" i="1"/>
  <c r="U385" i="14" l="1"/>
  <c r="U384" i="14"/>
  <c r="S396" i="14"/>
  <c r="U388" i="14"/>
  <c r="U389" i="14"/>
  <c r="S397" i="14"/>
  <c r="T426" i="14"/>
  <c r="T438" i="14" s="1"/>
  <c r="T425" i="14"/>
  <c r="T437" i="14" s="1"/>
  <c r="S398" i="14"/>
  <c r="S399" i="14"/>
  <c r="R234" i="14"/>
  <c r="T246" i="14"/>
  <c r="T249" i="14" s="1"/>
  <c r="T408" i="14"/>
  <c r="T407" i="14"/>
  <c r="T380" i="14"/>
  <c r="T379" i="14"/>
  <c r="AA311" i="14"/>
  <c r="T252" i="14"/>
  <c r="T409" i="14"/>
  <c r="T381" i="14"/>
  <c r="R235" i="14"/>
  <c r="AG286" i="14"/>
  <c r="AH286" i="14"/>
  <c r="AD306" i="14"/>
  <c r="AD305" i="14"/>
  <c r="R237" i="14"/>
  <c r="AA134" i="14"/>
  <c r="AA135" i="14"/>
  <c r="AA298" i="14"/>
  <c r="AG295" i="14"/>
  <c r="AD307" i="14"/>
  <c r="R238" i="14"/>
  <c r="AG125" i="14"/>
  <c r="Q217" i="14"/>
  <c r="AH217" i="14" s="1"/>
  <c r="AA296" i="14"/>
  <c r="AG293" i="14"/>
  <c r="R233" i="14"/>
  <c r="R232" i="14"/>
  <c r="AG285" i="14"/>
  <c r="AH285" i="14"/>
  <c r="AA297" i="14"/>
  <c r="AG297" i="14" s="1"/>
  <c r="AG294" i="14"/>
  <c r="AA373" i="14"/>
  <c r="T559" i="14"/>
  <c r="T557" i="14"/>
  <c r="T558" i="14"/>
  <c r="S559" i="14"/>
  <c r="S558" i="14"/>
  <c r="S557" i="14"/>
  <c r="T241" i="14"/>
  <c r="T242" i="14"/>
  <c r="S242" i="14"/>
  <c r="S243" i="14"/>
  <c r="AG181" i="14"/>
  <c r="T250" i="14"/>
  <c r="AG189" i="14"/>
  <c r="T255" i="14"/>
  <c r="T253" i="14"/>
  <c r="T254" i="14"/>
  <c r="AG195" i="14"/>
  <c r="AA360" i="14"/>
  <c r="AA359" i="14"/>
  <c r="AA358" i="14"/>
  <c r="T243" i="14"/>
  <c r="U243" i="14"/>
  <c r="U250" i="14" s="1"/>
  <c r="U242" i="14"/>
  <c r="U247" i="14" s="1"/>
  <c r="U241" i="14"/>
  <c r="U244" i="14" s="1"/>
  <c r="T247" i="14"/>
  <c r="T244" i="14"/>
  <c r="AE256" i="1"/>
  <c r="AF256" i="1"/>
  <c r="AF268" i="1"/>
  <c r="AE268" i="1"/>
  <c r="AF267" i="1"/>
  <c r="AE267" i="1"/>
  <c r="AF255" i="1"/>
  <c r="AE255" i="1"/>
  <c r="S395" i="14"/>
  <c r="S394" i="14"/>
  <c r="AH240" i="14"/>
  <c r="U383" i="14"/>
  <c r="AH239" i="14"/>
  <c r="S455" i="14"/>
  <c r="S421" i="14"/>
  <c r="S420" i="14"/>
  <c r="S419" i="14"/>
  <c r="R114" i="14"/>
  <c r="R111" i="14"/>
  <c r="R108" i="14"/>
  <c r="R110" i="14"/>
  <c r="R107" i="14"/>
  <c r="R115" i="14"/>
  <c r="R112" i="14"/>
  <c r="R109" i="14"/>
  <c r="AG240" i="14"/>
  <c r="R119" i="14"/>
  <c r="AH219" i="14"/>
  <c r="AG219" i="14"/>
  <c r="R113" i="14"/>
  <c r="AG184" i="14"/>
  <c r="AG225" i="14"/>
  <c r="AG8" i="14"/>
  <c r="AG6" i="14"/>
  <c r="AG7" i="14"/>
  <c r="AG11" i="14"/>
  <c r="AG10" i="14"/>
  <c r="AG9" i="14"/>
  <c r="T541" i="14"/>
  <c r="T538" i="14" s="1"/>
  <c r="AG400" i="14"/>
  <c r="AH257" i="14"/>
  <c r="AG350" i="14"/>
  <c r="AG3" i="14"/>
  <c r="AG226" i="14"/>
  <c r="AG496" i="14"/>
  <c r="A306" i="14"/>
  <c r="AA312" i="14" s="1"/>
  <c r="AH89" i="14"/>
  <c r="AG270" i="14"/>
  <c r="AA337" i="14"/>
  <c r="AH337" i="14" s="1"/>
  <c r="AG99" i="14"/>
  <c r="AG256" i="14"/>
  <c r="AG271" i="14"/>
  <c r="AG405" i="14"/>
  <c r="AB334" i="14"/>
  <c r="AA334" i="14" s="1"/>
  <c r="R317" i="14"/>
  <c r="AG317" i="14" s="1"/>
  <c r="AA338" i="14"/>
  <c r="AH338" i="14" s="1"/>
  <c r="AG88" i="14"/>
  <c r="AA371" i="14"/>
  <c r="AG371" i="14" s="1"/>
  <c r="AH412" i="14"/>
  <c r="AA491" i="14"/>
  <c r="AH491" i="14" s="1"/>
  <c r="AG91" i="14"/>
  <c r="AH85" i="14"/>
  <c r="AG176" i="14"/>
  <c r="AG277" i="14"/>
  <c r="AG343" i="14"/>
  <c r="AH487" i="14"/>
  <c r="AG96" i="14"/>
  <c r="AG202" i="14"/>
  <c r="AA376" i="14"/>
  <c r="AG78" i="14"/>
  <c r="AG180" i="14"/>
  <c r="AG5" i="14"/>
  <c r="AB306" i="14"/>
  <c r="AG348" i="14"/>
  <c r="AG488" i="14"/>
  <c r="AG75" i="14"/>
  <c r="AG82" i="14"/>
  <c r="AG212" i="14"/>
  <c r="AC216" i="14"/>
  <c r="AG269" i="14"/>
  <c r="AG274" i="14"/>
  <c r="AG493" i="14"/>
  <c r="AG497" i="14"/>
  <c r="AG504" i="14"/>
  <c r="AG546" i="14"/>
  <c r="AH332" i="14"/>
  <c r="AA340" i="14"/>
  <c r="AG340" i="14" s="1"/>
  <c r="AA231" i="14"/>
  <c r="AH231" i="14" s="1"/>
  <c r="AG265" i="14"/>
  <c r="AG304" i="14"/>
  <c r="AA341" i="14"/>
  <c r="AH341" i="14" s="1"/>
  <c r="AG506" i="14"/>
  <c r="AH495" i="14"/>
  <c r="AB305" i="14"/>
  <c r="AH323" i="14"/>
  <c r="AB335" i="14"/>
  <c r="AA339" i="14"/>
  <c r="AH339" i="14" s="1"/>
  <c r="AA342" i="14"/>
  <c r="AH342" i="14" s="1"/>
  <c r="AH97" i="14"/>
  <c r="AG127" i="14"/>
  <c r="T543" i="14"/>
  <c r="T540" i="14" s="1"/>
  <c r="AG190" i="14"/>
  <c r="AG206" i="14"/>
  <c r="AG273" i="14"/>
  <c r="A307" i="14"/>
  <c r="AA313" i="14" s="1"/>
  <c r="AA327" i="14"/>
  <c r="AG327" i="14" s="1"/>
  <c r="AG352" i="14"/>
  <c r="AH361" i="14"/>
  <c r="AG365" i="14"/>
  <c r="AH414" i="14"/>
  <c r="AG501" i="14"/>
  <c r="AG505" i="14"/>
  <c r="AH547" i="14"/>
  <c r="AH100" i="14"/>
  <c r="AG548" i="14"/>
  <c r="AG258" i="14"/>
  <c r="AH344" i="14"/>
  <c r="AH349" i="14"/>
  <c r="AH452" i="14"/>
  <c r="AG498" i="14"/>
  <c r="AG74" i="14"/>
  <c r="AH105" i="14"/>
  <c r="AG132" i="14"/>
  <c r="AG211" i="14"/>
  <c r="AA230" i="14"/>
  <c r="AH230" i="14" s="1"/>
  <c r="AH503" i="14"/>
  <c r="AH545" i="14"/>
  <c r="AA229" i="14"/>
  <c r="AH229" i="14" s="1"/>
  <c r="AH91" i="14"/>
  <c r="AH87" i="14"/>
  <c r="AG87" i="14"/>
  <c r="AG89" i="14"/>
  <c r="AH101" i="14"/>
  <c r="AG101" i="14"/>
  <c r="AH324" i="14"/>
  <c r="AG324" i="14"/>
  <c r="AH460" i="14"/>
  <c r="AG460" i="14"/>
  <c r="AH457" i="14"/>
  <c r="AG457" i="14"/>
  <c r="AH106" i="14"/>
  <c r="AG106" i="14"/>
  <c r="AH83" i="14"/>
  <c r="AG83" i="14"/>
  <c r="R471" i="14"/>
  <c r="R477" i="14"/>
  <c r="R470" i="14"/>
  <c r="AH473" i="14"/>
  <c r="AG473" i="14"/>
  <c r="S280" i="14"/>
  <c r="U382" i="14"/>
  <c r="AG415" i="14"/>
  <c r="R476" i="14"/>
  <c r="S474" i="14"/>
  <c r="S417" i="14"/>
  <c r="U392" i="14"/>
  <c r="S288" i="14"/>
  <c r="S282" i="14"/>
  <c r="S464" i="14"/>
  <c r="S407" i="14"/>
  <c r="S279" i="14"/>
  <c r="S475" i="14"/>
  <c r="S418" i="14"/>
  <c r="S367" i="14"/>
  <c r="S287" i="14"/>
  <c r="S454" i="14"/>
  <c r="S408" i="14"/>
  <c r="U393" i="14"/>
  <c r="S465" i="14"/>
  <c r="S416" i="14"/>
  <c r="S409" i="14"/>
  <c r="S292" i="14"/>
  <c r="AG130" i="14"/>
  <c r="AG179" i="14"/>
  <c r="AG187" i="14"/>
  <c r="AG209" i="14"/>
  <c r="AG224" i="14"/>
  <c r="S263" i="14"/>
  <c r="S268" i="14"/>
  <c r="AG345" i="14"/>
  <c r="AH353" i="14"/>
  <c r="AG353" i="14"/>
  <c r="AG73" i="14"/>
  <c r="S543" i="14"/>
  <c r="S541" i="14"/>
  <c r="S542" i="14"/>
  <c r="T266" i="14"/>
  <c r="S281" i="14"/>
  <c r="S291" i="14"/>
  <c r="AA310" i="14"/>
  <c r="R319" i="14"/>
  <c r="AB336" i="14"/>
  <c r="AH346" i="14"/>
  <c r="AG346" i="14"/>
  <c r="AH507" i="14"/>
  <c r="AG507" i="14"/>
  <c r="AA544" i="14"/>
  <c r="AA218" i="14"/>
  <c r="AG81" i="14"/>
  <c r="AG76" i="14"/>
  <c r="AG84" i="14"/>
  <c r="AG133" i="14"/>
  <c r="R450" i="14"/>
  <c r="R456" i="14"/>
  <c r="R451" i="14"/>
  <c r="AG177" i="14"/>
  <c r="AA322" i="14"/>
  <c r="AB216" i="14"/>
  <c r="AA478" i="14"/>
  <c r="AA468" i="14"/>
  <c r="AA458" i="14"/>
  <c r="AG4" i="14"/>
  <c r="S259" i="14"/>
  <c r="AG278" i="14"/>
  <c r="R284" i="14"/>
  <c r="AC336" i="14"/>
  <c r="AH499" i="14"/>
  <c r="AG499" i="14"/>
  <c r="R462" i="14"/>
  <c r="R463" i="14"/>
  <c r="U259" i="14"/>
  <c r="U260" i="14" s="1"/>
  <c r="U263" i="14" s="1"/>
  <c r="U264" i="14" s="1"/>
  <c r="AM311" i="14"/>
  <c r="AH366" i="14"/>
  <c r="AG366" i="14"/>
  <c r="AH410" i="14"/>
  <c r="AG410" i="14"/>
  <c r="R472" i="14"/>
  <c r="AM305" i="14"/>
  <c r="AM306" i="14"/>
  <c r="AM307" i="14"/>
  <c r="AG183" i="14"/>
  <c r="AG205" i="14"/>
  <c r="AA320" i="14"/>
  <c r="AG213" i="14"/>
  <c r="T262" i="14"/>
  <c r="AG272" i="14"/>
  <c r="AA325" i="14"/>
  <c r="AG347" i="14"/>
  <c r="AG363" i="14"/>
  <c r="AH401" i="14"/>
  <c r="AG401" i="14"/>
  <c r="AG453" i="14"/>
  <c r="R466" i="14"/>
  <c r="R461" i="14"/>
  <c r="R467" i="14"/>
  <c r="AG126" i="14"/>
  <c r="AG80" i="14"/>
  <c r="AA326" i="14"/>
  <c r="AM273" i="14"/>
  <c r="AC335" i="14"/>
  <c r="R283" i="14"/>
  <c r="AG178" i="14"/>
  <c r="AG208" i="14"/>
  <c r="AA459" i="14"/>
  <c r="AA479" i="14"/>
  <c r="AA469" i="14"/>
  <c r="AA321" i="14"/>
  <c r="AA449" i="14"/>
  <c r="AG448" i="14"/>
  <c r="AA372" i="14"/>
  <c r="AA377" i="14"/>
  <c r="AA370" i="14"/>
  <c r="AG406" i="14"/>
  <c r="AG413" i="14"/>
  <c r="AG486" i="14"/>
  <c r="AG494" i="14"/>
  <c r="AG502" i="14"/>
  <c r="AG351" i="14"/>
  <c r="AG362" i="14"/>
  <c r="AG364" i="14"/>
  <c r="AG549" i="14"/>
  <c r="AG354" i="14"/>
  <c r="AL372" i="14"/>
  <c r="AA378" i="14"/>
  <c r="AG404" i="14"/>
  <c r="AG411" i="14"/>
  <c r="AG492" i="14"/>
  <c r="AG500" i="14"/>
  <c r="AB307" i="14"/>
  <c r="AL370" i="14"/>
  <c r="A1" i="14"/>
  <c r="AH598" i="14"/>
  <c r="AG598" i="14"/>
  <c r="AH597" i="14"/>
  <c r="AG597" i="14"/>
  <c r="AH596" i="14"/>
  <c r="AG596" i="14"/>
  <c r="AH595" i="14"/>
  <c r="AG595" i="14"/>
  <c r="AH594" i="14"/>
  <c r="AG594" i="14"/>
  <c r="AH593" i="14"/>
  <c r="AG593" i="14"/>
  <c r="AH592" i="14"/>
  <c r="AG592" i="14"/>
  <c r="AH591" i="14"/>
  <c r="AG591" i="14"/>
  <c r="AH590" i="14"/>
  <c r="AG590" i="14"/>
  <c r="AH589" i="14"/>
  <c r="AG589" i="14"/>
  <c r="AH588" i="14"/>
  <c r="AG588" i="14"/>
  <c r="AH587" i="14"/>
  <c r="AG587" i="14"/>
  <c r="AH586" i="14"/>
  <c r="AG586" i="14"/>
  <c r="AH585" i="14"/>
  <c r="AG585" i="14"/>
  <c r="AH584" i="14"/>
  <c r="AG584" i="14"/>
  <c r="AH583" i="14"/>
  <c r="AG583" i="14"/>
  <c r="AH582" i="14"/>
  <c r="AG582" i="14"/>
  <c r="AH581" i="14"/>
  <c r="AG581" i="14"/>
  <c r="AH580" i="14"/>
  <c r="AG580" i="14"/>
  <c r="AH579" i="14"/>
  <c r="AG579" i="14"/>
  <c r="AH578" i="14"/>
  <c r="AG578" i="14"/>
  <c r="AH577" i="14"/>
  <c r="AG577" i="14"/>
  <c r="AH576" i="14"/>
  <c r="AG576" i="14"/>
  <c r="AH575" i="14"/>
  <c r="AG575" i="14"/>
  <c r="AH574" i="14"/>
  <c r="AG574" i="14"/>
  <c r="AH573" i="14"/>
  <c r="AG573" i="14"/>
  <c r="AH572" i="14"/>
  <c r="AG572" i="14"/>
  <c r="AH571" i="14"/>
  <c r="AG571" i="14"/>
  <c r="AH570" i="14"/>
  <c r="AG570" i="14"/>
  <c r="AH569" i="14"/>
  <c r="AG569" i="14"/>
  <c r="AH568" i="14"/>
  <c r="AG568" i="14"/>
  <c r="AH567" i="14"/>
  <c r="AG567" i="14"/>
  <c r="AH566" i="14"/>
  <c r="AG566" i="14"/>
  <c r="AH565" i="14"/>
  <c r="AG565" i="14"/>
  <c r="AH564" i="14"/>
  <c r="AG564" i="14"/>
  <c r="AH563" i="14"/>
  <c r="AG563" i="14"/>
  <c r="AH562" i="14"/>
  <c r="AG562" i="14"/>
  <c r="AH561" i="14"/>
  <c r="AG561" i="14"/>
  <c r="AH2" i="14"/>
  <c r="AG2" i="14"/>
  <c r="AI437" i="14" l="1"/>
  <c r="T440" i="14"/>
  <c r="AI438" i="14"/>
  <c r="T441" i="14"/>
  <c r="AI439" i="14"/>
  <c r="T442" i="14"/>
  <c r="AI425" i="14"/>
  <c r="T428" i="14"/>
  <c r="AI426" i="14"/>
  <c r="T429" i="14"/>
  <c r="AI427" i="14"/>
  <c r="T430" i="14"/>
  <c r="AG217" i="14"/>
  <c r="AG135" i="14"/>
  <c r="AH135" i="14"/>
  <c r="AH134" i="14"/>
  <c r="AG134" i="14"/>
  <c r="AG284" i="14"/>
  <c r="AH284" i="14"/>
  <c r="AH291" i="14"/>
  <c r="AG291" i="14"/>
  <c r="AH287" i="14"/>
  <c r="AG287" i="14"/>
  <c r="AG288" i="14"/>
  <c r="AH288" i="14"/>
  <c r="AG292" i="14"/>
  <c r="AH292" i="14"/>
  <c r="AG557" i="14"/>
  <c r="AH557" i="14"/>
  <c r="AH558" i="14"/>
  <c r="AG558" i="14"/>
  <c r="AG559" i="14"/>
  <c r="AH559" i="14"/>
  <c r="S250" i="14"/>
  <c r="S252" i="14" s="1"/>
  <c r="S255" i="14"/>
  <c r="AH255" i="14" s="1"/>
  <c r="S241" i="14"/>
  <c r="S249" i="14"/>
  <c r="S244" i="14"/>
  <c r="S253" i="14"/>
  <c r="S246" i="14"/>
  <c r="S254" i="14"/>
  <c r="S247" i="14"/>
  <c r="AG232" i="14"/>
  <c r="AH232" i="14"/>
  <c r="AG233" i="14"/>
  <c r="AH233" i="14"/>
  <c r="AG239" i="14"/>
  <c r="AM313" i="14"/>
  <c r="AH313" i="14" s="1"/>
  <c r="AA375" i="14"/>
  <c r="AH375" i="14" s="1"/>
  <c r="AH419" i="14"/>
  <c r="AG419" i="14"/>
  <c r="AG420" i="14"/>
  <c r="AH420" i="14"/>
  <c r="AM312" i="14"/>
  <c r="AG312" i="14" s="1"/>
  <c r="AA374" i="14"/>
  <c r="AH374" i="14" s="1"/>
  <c r="AG421" i="14"/>
  <c r="AH421" i="14"/>
  <c r="AH340" i="14"/>
  <c r="AG235" i="14"/>
  <c r="AH235" i="14"/>
  <c r="AG234" i="14"/>
  <c r="AH234" i="14"/>
  <c r="AG238" i="14"/>
  <c r="AH238" i="14"/>
  <c r="AG237" i="14"/>
  <c r="AH237" i="14"/>
  <c r="AH371" i="14"/>
  <c r="AG305" i="14"/>
  <c r="AG218" i="14"/>
  <c r="AH218" i="14"/>
  <c r="AG491" i="14"/>
  <c r="T542" i="14"/>
  <c r="T539" i="14" s="1"/>
  <c r="AG114" i="14"/>
  <c r="AH114" i="14"/>
  <c r="AH107" i="14"/>
  <c r="AG107" i="14"/>
  <c r="AG115" i="14"/>
  <c r="AH115" i="14"/>
  <c r="AH119" i="14"/>
  <c r="AG119" i="14"/>
  <c r="AG108" i="14"/>
  <c r="AH108" i="14"/>
  <c r="AH109" i="14"/>
  <c r="AG109" i="14"/>
  <c r="AG111" i="14"/>
  <c r="AH111" i="14"/>
  <c r="AG112" i="14"/>
  <c r="AH112" i="14"/>
  <c r="AG113" i="14"/>
  <c r="AH113" i="14"/>
  <c r="AG120" i="14"/>
  <c r="AH120" i="14"/>
  <c r="AH121" i="14"/>
  <c r="AG121" i="14"/>
  <c r="AH110" i="14"/>
  <c r="AG110" i="14"/>
  <c r="AH305" i="14"/>
  <c r="AH297" i="14"/>
  <c r="AG341" i="14"/>
  <c r="AG85" i="14"/>
  <c r="AG97" i="14"/>
  <c r="AH243" i="14"/>
  <c r="AH96" i="14"/>
  <c r="AG231" i="14"/>
  <c r="AH317" i="14"/>
  <c r="AA335" i="14"/>
  <c r="AH335" i="14" s="1"/>
  <c r="T465" i="14"/>
  <c r="AH465" i="14" s="1"/>
  <c r="AG337" i="14"/>
  <c r="AH88" i="14"/>
  <c r="AG342" i="14"/>
  <c r="AG229" i="14"/>
  <c r="AG338" i="14"/>
  <c r="AG332" i="14"/>
  <c r="AH99" i="14"/>
  <c r="AH5" i="14"/>
  <c r="AH328" i="14"/>
  <c r="AG306" i="14"/>
  <c r="AG339" i="14"/>
  <c r="AG86" i="14"/>
  <c r="AH86" i="14"/>
  <c r="AA336" i="14"/>
  <c r="AG336" i="14" s="1"/>
  <c r="AG230" i="14"/>
  <c r="AH306" i="14"/>
  <c r="AH330" i="14"/>
  <c r="AG100" i="14"/>
  <c r="AH327" i="14"/>
  <c r="AG105" i="14"/>
  <c r="AH376" i="14"/>
  <c r="AG376" i="14"/>
  <c r="T475" i="14"/>
  <c r="AG475" i="14" s="1"/>
  <c r="T455" i="14"/>
  <c r="AH455" i="14" s="1"/>
  <c r="T369" i="14"/>
  <c r="T282" i="14"/>
  <c r="AH282" i="14" s="1"/>
  <c r="AG243" i="14"/>
  <c r="AG103" i="14"/>
  <c r="AH103" i="14"/>
  <c r="AH370" i="14"/>
  <c r="AG370" i="14"/>
  <c r="AH377" i="14"/>
  <c r="AG377" i="14"/>
  <c r="AH472" i="14"/>
  <c r="AG472" i="14"/>
  <c r="AG242" i="14"/>
  <c r="AH242" i="14"/>
  <c r="AH98" i="14"/>
  <c r="AG98" i="14"/>
  <c r="S538" i="14"/>
  <c r="AG541" i="14"/>
  <c r="AH541" i="14"/>
  <c r="AH94" i="14"/>
  <c r="AG94" i="14"/>
  <c r="AG471" i="14"/>
  <c r="AH471" i="14"/>
  <c r="S539" i="14"/>
  <c r="AH358" i="14"/>
  <c r="AG358" i="14"/>
  <c r="AH372" i="14"/>
  <c r="AG372" i="14"/>
  <c r="AH469" i="14"/>
  <c r="AG469" i="14"/>
  <c r="AH276" i="14"/>
  <c r="AG276" i="14"/>
  <c r="AH467" i="14"/>
  <c r="AG467" i="14"/>
  <c r="AH359" i="14"/>
  <c r="AG359" i="14"/>
  <c r="AG478" i="14"/>
  <c r="AH478" i="14"/>
  <c r="AH90" i="14"/>
  <c r="AG90" i="14"/>
  <c r="AH543" i="14"/>
  <c r="AG543" i="14"/>
  <c r="S540" i="14"/>
  <c r="AG417" i="14"/>
  <c r="AH279" i="14"/>
  <c r="AG279" i="14"/>
  <c r="AH477" i="14"/>
  <c r="AG477" i="14"/>
  <c r="AG378" i="14"/>
  <c r="AH378" i="14"/>
  <c r="AH333" i="14"/>
  <c r="AG333" i="14"/>
  <c r="AH283" i="14"/>
  <c r="AG283" i="14"/>
  <c r="AH461" i="14"/>
  <c r="AG461" i="14"/>
  <c r="AH463" i="14"/>
  <c r="AG463" i="14"/>
  <c r="AH275" i="14"/>
  <c r="AG275" i="14"/>
  <c r="AH458" i="14"/>
  <c r="AG458" i="14"/>
  <c r="AG216" i="14"/>
  <c r="AH216" i="14"/>
  <c r="AH451" i="14"/>
  <c r="AG451" i="14"/>
  <c r="AH373" i="14"/>
  <c r="AG373" i="14"/>
  <c r="AH92" i="14"/>
  <c r="AG92" i="14"/>
  <c r="AH476" i="14"/>
  <c r="AG476" i="14"/>
  <c r="AH280" i="14"/>
  <c r="AG280" i="14"/>
  <c r="AH449" i="14"/>
  <c r="AG449" i="14"/>
  <c r="AH479" i="14"/>
  <c r="AG479" i="14"/>
  <c r="AG466" i="14"/>
  <c r="AH466" i="14"/>
  <c r="AG462" i="14"/>
  <c r="AH462" i="14"/>
  <c r="AH331" i="14"/>
  <c r="AG331" i="14"/>
  <c r="AH456" i="14"/>
  <c r="AG456" i="14"/>
  <c r="AG374" i="14"/>
  <c r="AH93" i="14"/>
  <c r="AG93" i="14"/>
  <c r="AG104" i="14"/>
  <c r="AH104" i="14"/>
  <c r="AH468" i="14"/>
  <c r="AG468" i="14"/>
  <c r="AH322" i="14"/>
  <c r="AG322" i="14"/>
  <c r="AG450" i="14"/>
  <c r="AH450" i="14"/>
  <c r="AH544" i="14"/>
  <c r="AG544" i="14"/>
  <c r="AH268" i="14"/>
  <c r="AG268" i="14"/>
  <c r="AG334" i="14"/>
  <c r="AH334" i="14"/>
  <c r="AH321" i="14"/>
  <c r="AG321" i="14"/>
  <c r="AG296" i="14"/>
  <c r="AH296" i="14"/>
  <c r="AH310" i="14"/>
  <c r="AG310" i="14"/>
  <c r="AH307" i="14"/>
  <c r="AG307" i="14"/>
  <c r="AH325" i="14"/>
  <c r="AG325" i="14"/>
  <c r="AH311" i="14"/>
  <c r="AG311" i="14"/>
  <c r="AH416" i="14"/>
  <c r="AG416" i="14"/>
  <c r="S368" i="14"/>
  <c r="AH95" i="14"/>
  <c r="AG95" i="14"/>
  <c r="AH298" i="14"/>
  <c r="AG298" i="14"/>
  <c r="AH320" i="14"/>
  <c r="AG320" i="14"/>
  <c r="AH360" i="14"/>
  <c r="AG360" i="14"/>
  <c r="AG326" i="14"/>
  <c r="AH326" i="14"/>
  <c r="AH263" i="14"/>
  <c r="AG263" i="14"/>
  <c r="S381" i="14"/>
  <c r="S389" i="14" s="1"/>
  <c r="S264" i="14"/>
  <c r="AG459" i="14"/>
  <c r="AH459" i="14"/>
  <c r="S392" i="14"/>
  <c r="X394" i="14" s="1"/>
  <c r="AH394" i="14" s="1"/>
  <c r="S267" i="14"/>
  <c r="AH259" i="14"/>
  <c r="S260" i="14"/>
  <c r="AG259" i="14"/>
  <c r="S379" i="14"/>
  <c r="S425" i="14" s="1"/>
  <c r="S428" i="14" s="1"/>
  <c r="T464" i="14"/>
  <c r="AG464" i="14" s="1"/>
  <c r="T367" i="14"/>
  <c r="AH367" i="14" s="1"/>
  <c r="T454" i="14"/>
  <c r="AH454" i="14" s="1"/>
  <c r="T368" i="14"/>
  <c r="T474" i="14"/>
  <c r="AH474" i="14" s="1"/>
  <c r="T281" i="14"/>
  <c r="AH281" i="14" s="1"/>
  <c r="AG319" i="14"/>
  <c r="AH319" i="14"/>
  <c r="R318" i="14"/>
  <c r="AG102" i="14"/>
  <c r="AH102" i="14"/>
  <c r="AH470" i="14"/>
  <c r="AG470" i="14"/>
  <c r="A1" i="1"/>
  <c r="AG250" i="14" l="1"/>
  <c r="AH250" i="14"/>
  <c r="S383" i="14"/>
  <c r="S427" i="14"/>
  <c r="S430" i="14" s="1"/>
  <c r="AG375" i="14"/>
  <c r="AH542" i="14"/>
  <c r="AG455" i="14"/>
  <c r="AH312" i="14"/>
  <c r="AG313" i="14"/>
  <c r="AG394" i="14"/>
  <c r="AH383" i="14"/>
  <c r="AG542" i="14"/>
  <c r="AG255" i="14"/>
  <c r="AG330" i="14"/>
  <c r="AG335" i="14"/>
  <c r="AH336" i="14"/>
  <c r="AG465" i="14"/>
  <c r="AG282" i="14"/>
  <c r="AG328" i="14"/>
  <c r="AH475" i="14"/>
  <c r="AH417" i="14"/>
  <c r="AH464" i="14"/>
  <c r="AG367" i="14"/>
  <c r="AG252" i="14"/>
  <c r="AH252" i="14"/>
  <c r="S262" i="14"/>
  <c r="S380" i="14"/>
  <c r="S388" i="14" s="1"/>
  <c r="AH260" i="14"/>
  <c r="AG260" i="14"/>
  <c r="AG254" i="14"/>
  <c r="AH254" i="14"/>
  <c r="AG281" i="14"/>
  <c r="AG392" i="14"/>
  <c r="AH329" i="14"/>
  <c r="AG329" i="14"/>
  <c r="AH267" i="14"/>
  <c r="AG267" i="14"/>
  <c r="AH246" i="14"/>
  <c r="AG246" i="14"/>
  <c r="AG454" i="14"/>
  <c r="AH540" i="14"/>
  <c r="AG540" i="14"/>
  <c r="AH247" i="14"/>
  <c r="AG247" i="14"/>
  <c r="AG244" i="14"/>
  <c r="AH244" i="14"/>
  <c r="AG355" i="14"/>
  <c r="AH264" i="14"/>
  <c r="AG264" i="14"/>
  <c r="S266" i="14"/>
  <c r="AG249" i="14"/>
  <c r="AH249" i="14"/>
  <c r="AH538" i="14"/>
  <c r="AG538" i="14"/>
  <c r="AG253" i="14"/>
  <c r="AH253" i="14"/>
  <c r="AH318" i="14"/>
  <c r="AG318" i="14"/>
  <c r="AH355" i="14"/>
  <c r="AH381" i="14"/>
  <c r="X409" i="14"/>
  <c r="AG381" i="14"/>
  <c r="S393" i="14"/>
  <c r="X395" i="14" s="1"/>
  <c r="S369" i="14"/>
  <c r="AH368" i="14"/>
  <c r="AG368" i="14"/>
  <c r="AG474" i="14"/>
  <c r="AH379" i="14"/>
  <c r="AG379" i="14"/>
  <c r="X407" i="14"/>
  <c r="AH356" i="14"/>
  <c r="AG356" i="14"/>
  <c r="AH539" i="14"/>
  <c r="AG539" i="14"/>
  <c r="AH241" i="14"/>
  <c r="AG241" i="14"/>
  <c r="AA334" i="1"/>
  <c r="AA333" i="1"/>
  <c r="AA332" i="1"/>
  <c r="Z334" i="1"/>
  <c r="Z333" i="1"/>
  <c r="Z332" i="1"/>
  <c r="AA331" i="1"/>
  <c r="AA330" i="1"/>
  <c r="AA329" i="1"/>
  <c r="Z330" i="1"/>
  <c r="Z331" i="1"/>
  <c r="Z329" i="1"/>
  <c r="P319" i="1"/>
  <c r="AF298" i="1"/>
  <c r="AF302" i="1"/>
  <c r="AF421" i="1"/>
  <c r="AF422" i="1"/>
  <c r="AF423" i="1"/>
  <c r="AF455" i="1"/>
  <c r="AF456" i="1"/>
  <c r="AF457" i="1"/>
  <c r="AF458" i="1"/>
  <c r="AF459" i="1"/>
  <c r="AF460" i="1"/>
  <c r="AF464" i="1"/>
  <c r="AF465" i="1"/>
  <c r="AG383" i="14" l="1"/>
  <c r="AE319" i="1"/>
  <c r="AF319" i="1"/>
  <c r="S382" i="14"/>
  <c r="S426" i="14"/>
  <c r="S429" i="14" s="1"/>
  <c r="AH395" i="14"/>
  <c r="AG395" i="14"/>
  <c r="AH392" i="14"/>
  <c r="AH407" i="14"/>
  <c r="AG407" i="14"/>
  <c r="AH357" i="14"/>
  <c r="AG357" i="14"/>
  <c r="AH266" i="14"/>
  <c r="AG266" i="14"/>
  <c r="X408" i="14"/>
  <c r="AH408" i="14" s="1"/>
  <c r="AH380" i="14"/>
  <c r="AG380" i="14"/>
  <c r="AH262" i="14"/>
  <c r="AG262" i="14"/>
  <c r="AH393" i="14"/>
  <c r="AH418" i="14"/>
  <c r="AG418" i="14"/>
  <c r="AH369" i="14"/>
  <c r="AG369" i="14"/>
  <c r="AG409" i="14"/>
  <c r="AH409" i="14"/>
  <c r="Y330" i="1"/>
  <c r="AF330" i="1" s="1"/>
  <c r="Y329" i="1"/>
  <c r="AF329" i="1" s="1"/>
  <c r="Y331" i="1"/>
  <c r="Y334" i="1"/>
  <c r="Y333" i="1"/>
  <c r="Y332" i="1"/>
  <c r="P338" i="1"/>
  <c r="AK338" i="1"/>
  <c r="P340" i="1"/>
  <c r="P339" i="1"/>
  <c r="AG382" i="14" l="1"/>
  <c r="AH382" i="14"/>
  <c r="AG393" i="14"/>
  <c r="AG408" i="14"/>
  <c r="AE329" i="1"/>
  <c r="AE330" i="1"/>
  <c r="AF331" i="1"/>
  <c r="AE331" i="1"/>
  <c r="AF334" i="1"/>
  <c r="AE334" i="1"/>
  <c r="AE332" i="1"/>
  <c r="AF332" i="1"/>
  <c r="AF333" i="1"/>
  <c r="AE333" i="1"/>
  <c r="AE338" i="1"/>
  <c r="AF338" i="1"/>
  <c r="AE339" i="1"/>
  <c r="AF339" i="1"/>
  <c r="AE340" i="1"/>
  <c r="AF340" i="1"/>
  <c r="Y475" i="1"/>
  <c r="Y474" i="1"/>
  <c r="P476" i="1"/>
  <c r="Y481" i="1"/>
  <c r="Y480" i="1"/>
  <c r="P482" i="1"/>
  <c r="Y478" i="1"/>
  <c r="Y477" i="1"/>
  <c r="P479" i="1"/>
  <c r="AF478" i="1" l="1"/>
  <c r="AE478" i="1"/>
  <c r="AF482" i="1"/>
  <c r="AE482" i="1"/>
  <c r="AE480" i="1"/>
  <c r="AF480" i="1"/>
  <c r="AE481" i="1"/>
  <c r="AF481" i="1"/>
  <c r="AF475" i="1"/>
  <c r="AE475" i="1"/>
  <c r="AE479" i="1"/>
  <c r="AF479" i="1"/>
  <c r="AE477" i="1"/>
  <c r="AF477" i="1"/>
  <c r="AE476" i="1"/>
  <c r="AF476" i="1"/>
  <c r="AE474" i="1"/>
  <c r="AF474" i="1"/>
  <c r="S263" i="1"/>
  <c r="U264" i="1"/>
  <c r="T264" i="1"/>
  <c r="U263" i="1"/>
  <c r="T263" i="1"/>
  <c r="A297" i="1" l="1"/>
  <c r="AE297" i="1" s="1"/>
  <c r="A296" i="1"/>
  <c r="AE296" i="1" s="1"/>
  <c r="A295" i="1"/>
  <c r="AE295" i="1" s="1"/>
  <c r="A294" i="1"/>
  <c r="AE294" i="1" s="1"/>
  <c r="A293" i="1"/>
  <c r="AE293" i="1" s="1"/>
  <c r="P571" i="1" l="1"/>
  <c r="P570" i="1"/>
  <c r="AE570" i="1" l="1"/>
  <c r="AF570" i="1"/>
  <c r="AE571" i="1"/>
  <c r="AF571" i="1"/>
  <c r="AF512" i="1"/>
  <c r="A512" i="1"/>
  <c r="AE512" i="1" s="1"/>
  <c r="AF467" i="1" l="1"/>
  <c r="AE467" i="1"/>
  <c r="A172" i="1"/>
  <c r="AE172" i="1" s="1"/>
  <c r="AF172" i="1"/>
  <c r="H87" i="5" l="1"/>
  <c r="S87" i="5" s="1"/>
  <c r="H88" i="5"/>
  <c r="S88" i="5" s="1"/>
  <c r="H86" i="5" l="1"/>
  <c r="S86" i="5" s="1"/>
  <c r="H85" i="5" l="1"/>
  <c r="S85" i="5" s="1"/>
  <c r="H84" i="5"/>
  <c r="S84" i="5" s="1"/>
  <c r="S90" i="5" l="1"/>
  <c r="S91" i="5"/>
  <c r="H83" i="5"/>
  <c r="S83" i="5" s="1"/>
  <c r="H82" i="5"/>
  <c r="S82" i="5" s="1"/>
  <c r="H81" i="5"/>
  <c r="S81" i="5" s="1"/>
  <c r="S373" i="1"/>
  <c r="S372" i="1"/>
  <c r="S371" i="1"/>
  <c r="H79" i="5"/>
  <c r="S79" i="5" s="1"/>
  <c r="H80" i="5"/>
  <c r="S80" i="5" s="1"/>
  <c r="H78" i="5"/>
  <c r="S78" i="5" s="1"/>
  <c r="H68" i="5" l="1"/>
  <c r="H67" i="5"/>
  <c r="H66" i="5"/>
  <c r="H77" i="5" l="1"/>
  <c r="H76" i="5"/>
  <c r="H75" i="5"/>
  <c r="H74" i="5"/>
  <c r="H73" i="5"/>
  <c r="H72" i="5"/>
  <c r="H71" i="5"/>
  <c r="H70" i="5"/>
  <c r="H69" i="5"/>
  <c r="AF211" i="1" l="1"/>
  <c r="AF210" i="1"/>
  <c r="A211" i="1"/>
  <c r="A210" i="1"/>
  <c r="Y212" i="1" l="1"/>
  <c r="Y213" i="1"/>
  <c r="Y214" i="1"/>
  <c r="Y215" i="1"/>
  <c r="R577" i="1"/>
  <c r="R573" i="1"/>
  <c r="R576" i="1"/>
  <c r="R574" i="1"/>
  <c r="R575" i="1"/>
  <c r="R578" i="1"/>
  <c r="R221" i="1"/>
  <c r="H9" i="5"/>
  <c r="S9" i="5" s="1"/>
  <c r="R223" i="1"/>
  <c r="H10" i="5"/>
  <c r="S10" i="5" s="1"/>
  <c r="R222" i="1"/>
  <c r="AE210" i="1"/>
  <c r="AE211" i="1"/>
  <c r="AF215" i="1" l="1"/>
  <c r="AE215" i="1"/>
  <c r="AE214" i="1"/>
  <c r="AF214" i="1"/>
  <c r="AE213" i="1"/>
  <c r="AF213" i="1"/>
  <c r="AE212" i="1"/>
  <c r="AF212" i="1"/>
  <c r="Y249" i="1"/>
  <c r="Y251" i="1"/>
  <c r="Y250" i="1"/>
  <c r="Y238" i="1"/>
  <c r="Y237" i="1"/>
  <c r="Y236" i="1"/>
  <c r="AF250" i="1" l="1"/>
  <c r="AE250" i="1"/>
  <c r="AF251" i="1"/>
  <c r="AE251" i="1"/>
  <c r="AF249" i="1"/>
  <c r="AE249" i="1"/>
  <c r="AF236" i="1"/>
  <c r="AE236" i="1"/>
  <c r="AE237" i="1"/>
  <c r="AF237" i="1"/>
  <c r="AE238" i="1"/>
  <c r="AF238" i="1"/>
  <c r="H57" i="5"/>
  <c r="H56" i="5"/>
  <c r="H55" i="5"/>
  <c r="P420" i="1"/>
  <c r="P419" i="1"/>
  <c r="P418" i="1"/>
  <c r="AE418" i="1" l="1"/>
  <c r="AF418" i="1"/>
  <c r="AE420" i="1"/>
  <c r="AF420" i="1"/>
  <c r="AE419" i="1"/>
  <c r="AF419" i="1"/>
  <c r="P417" i="1"/>
  <c r="P416" i="1"/>
  <c r="P415" i="1"/>
  <c r="AE417" i="1" l="1"/>
  <c r="AF417" i="1"/>
  <c r="AF415" i="1"/>
  <c r="AE415" i="1"/>
  <c r="AE416" i="1"/>
  <c r="AF416" i="1"/>
  <c r="A204" i="1"/>
  <c r="S518" i="1" l="1"/>
  <c r="S517" i="1"/>
  <c r="S516" i="1"/>
  <c r="S515" i="1"/>
  <c r="S514" i="1"/>
  <c r="S513" i="1"/>
  <c r="Y472" i="1"/>
  <c r="Y471" i="1"/>
  <c r="Y469" i="1"/>
  <c r="Y468" i="1"/>
  <c r="AE471" i="1" l="1"/>
  <c r="AF471" i="1"/>
  <c r="AF472" i="1"/>
  <c r="AE472" i="1"/>
  <c r="AE469" i="1"/>
  <c r="AF469" i="1"/>
  <c r="AE468" i="1"/>
  <c r="AF468" i="1"/>
  <c r="P473" i="1"/>
  <c r="P470" i="1"/>
  <c r="AE470" i="1" l="1"/>
  <c r="AF470" i="1"/>
  <c r="AF473" i="1"/>
  <c r="AE47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483" i="1"/>
  <c r="S235" i="1" l="1"/>
  <c r="S234" i="1"/>
  <c r="S233" i="1"/>
  <c r="T232" i="1"/>
  <c r="T230" i="1"/>
  <c r="T229" i="1"/>
  <c r="T227" i="1"/>
  <c r="T222" i="1"/>
  <c r="T223" i="1"/>
  <c r="T224" i="1"/>
  <c r="Y231" i="1"/>
  <c r="AF231" i="1" s="1"/>
  <c r="A231" i="1"/>
  <c r="M251" i="14" s="1"/>
  <c r="AG251" i="14" s="1"/>
  <c r="A225" i="1"/>
  <c r="M245" i="14" s="1"/>
  <c r="AG245" i="14" s="1"/>
  <c r="A228" i="1"/>
  <c r="M248" i="14" s="1"/>
  <c r="AG248" i="14" s="1"/>
  <c r="Y228" i="1"/>
  <c r="AF228" i="1" s="1"/>
  <c r="Y225" i="1"/>
  <c r="AF225" i="1" s="1"/>
  <c r="S229" i="1" l="1"/>
  <c r="S226" i="1"/>
  <c r="S232" i="1"/>
  <c r="AE231" i="1"/>
  <c r="AE228" i="1"/>
  <c r="AE225" i="1"/>
  <c r="AF164" i="1" l="1"/>
  <c r="A164" i="1"/>
  <c r="AE164" i="1" s="1"/>
  <c r="H8" i="5" l="1"/>
  <c r="S8" i="5" s="1"/>
  <c r="H60" i="5"/>
  <c r="S60" i="5" s="1"/>
  <c r="H59" i="5"/>
  <c r="S59" i="5" s="1"/>
  <c r="H58" i="5"/>
  <c r="S58" i="5" s="1"/>
  <c r="H63" i="5"/>
  <c r="S63" i="5" s="1"/>
  <c r="H62" i="5"/>
  <c r="S62" i="5" s="1"/>
  <c r="H61" i="5"/>
  <c r="S61" i="5" s="1"/>
  <c r="S57" i="5" l="1"/>
  <c r="S56" i="5"/>
  <c r="S55" i="5"/>
  <c r="H45" i="5" l="1"/>
  <c r="S45" i="5" s="1"/>
  <c r="H44" i="5"/>
  <c r="S44" i="5" s="1"/>
  <c r="H43" i="5"/>
  <c r="S43" i="5" s="1"/>
  <c r="H42" i="5"/>
  <c r="S42" i="5" s="1"/>
  <c r="H41" i="5"/>
  <c r="S41" i="5" s="1"/>
  <c r="H40" i="5"/>
  <c r="S40" i="5" s="1"/>
  <c r="H39" i="5"/>
  <c r="H38" i="5"/>
  <c r="H37" i="5"/>
  <c r="K1" i="3" l="1"/>
  <c r="A303" i="1" l="1"/>
  <c r="A302" i="1"/>
  <c r="AE302" i="1" s="1"/>
  <c r="A465" i="1" l="1"/>
  <c r="AE465" i="1" s="1"/>
  <c r="A464" i="1"/>
  <c r="AE464" i="1" s="1"/>
  <c r="Y463" i="1"/>
  <c r="Y462" i="1"/>
  <c r="Y461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456" i="1"/>
  <c r="AE456" i="1" s="1"/>
  <c r="A457" i="1"/>
  <c r="AE457" i="1" s="1"/>
  <c r="A458" i="1"/>
  <c r="AE458" i="1" s="1"/>
  <c r="A459" i="1"/>
  <c r="AE459" i="1" s="1"/>
  <c r="A460" i="1"/>
  <c r="AE460" i="1" s="1"/>
  <c r="A455" i="1"/>
  <c r="AE455" i="1" s="1"/>
  <c r="AF171" i="1"/>
  <c r="AE461" i="1" l="1"/>
  <c r="AF461" i="1"/>
  <c r="AE462" i="1"/>
  <c r="AF462" i="1"/>
  <c r="AE463" i="1"/>
  <c r="AF463" i="1"/>
  <c r="Y466" i="1"/>
  <c r="AE466" i="1" l="1"/>
  <c r="AF466" i="1"/>
  <c r="H21" i="5"/>
  <c r="S21" i="5" s="1"/>
  <c r="AE171" i="1"/>
  <c r="J1" i="3"/>
  <c r="K1" i="1"/>
  <c r="A298" i="1" l="1"/>
  <c r="A22" i="2"/>
  <c r="Y392" i="1" l="1"/>
  <c r="Y393" i="1"/>
  <c r="Y394" i="1"/>
  <c r="AE298" i="1"/>
  <c r="Z301" i="1"/>
  <c r="Z300" i="1"/>
  <c r="Z299" i="1"/>
  <c r="AB300" i="1"/>
  <c r="AB299" i="1"/>
  <c r="AB301" i="1"/>
  <c r="AJ388" i="1"/>
  <c r="A301" i="1"/>
  <c r="A300" i="1"/>
  <c r="A299" i="1"/>
  <c r="D1" i="3"/>
  <c r="AF394" i="1" l="1"/>
  <c r="AE394" i="1"/>
  <c r="AE393" i="1"/>
  <c r="AF393" i="1"/>
  <c r="AF392" i="1"/>
  <c r="AE392" i="1"/>
  <c r="P306" i="1"/>
  <c r="AE301" i="1"/>
  <c r="AF299" i="1"/>
  <c r="P304" i="1"/>
  <c r="AE299" i="1"/>
  <c r="AF300" i="1"/>
  <c r="P305" i="1"/>
  <c r="AE300" i="1"/>
  <c r="AF301" i="1"/>
  <c r="AF170" i="1"/>
  <c r="AE170" i="1"/>
  <c r="J1" i="1"/>
  <c r="I1" i="3"/>
  <c r="AE305" i="1" l="1"/>
  <c r="AF305" i="1"/>
  <c r="AF304" i="1"/>
  <c r="AE304" i="1"/>
  <c r="AE306" i="1"/>
  <c r="AF306" i="1"/>
  <c r="AF169" i="1" l="1"/>
  <c r="A169" i="1"/>
  <c r="H20" i="5" s="1"/>
  <c r="S20" i="5" s="1"/>
  <c r="A168" i="1"/>
  <c r="AF168" i="1"/>
  <c r="AE168" i="1" l="1"/>
  <c r="AE169" i="1"/>
  <c r="H19" i="5"/>
  <c r="S19" i="5" s="1"/>
  <c r="H1" i="3" l="1"/>
  <c r="A322" i="1"/>
  <c r="A321" i="1"/>
  <c r="A320" i="1"/>
  <c r="AF173" i="1" l="1"/>
  <c r="A167" i="1"/>
  <c r="A173" i="1"/>
  <c r="A277" i="1"/>
  <c r="A276" i="1"/>
  <c r="A275" i="1"/>
  <c r="Y254" i="1"/>
  <c r="Y285" i="1" l="1"/>
  <c r="Y286" i="1"/>
  <c r="Y284" i="1"/>
  <c r="Y358" i="1"/>
  <c r="Y324" i="1"/>
  <c r="R261" i="1"/>
  <c r="Y288" i="1"/>
  <c r="Y357" i="1"/>
  <c r="Y278" i="1"/>
  <c r="Y325" i="1"/>
  <c r="Y323" i="1"/>
  <c r="Y292" i="1"/>
  <c r="Y291" i="1"/>
  <c r="Y289" i="1"/>
  <c r="Y290" i="1"/>
  <c r="Y280" i="1"/>
  <c r="Y287" i="1"/>
  <c r="Y279" i="1"/>
  <c r="Y356" i="1"/>
  <c r="R262" i="1"/>
  <c r="P219" i="1"/>
  <c r="P220" i="1"/>
  <c r="AE254" i="1"/>
  <c r="AF254" i="1"/>
  <c r="AK192" i="1"/>
  <c r="AE173" i="1"/>
  <c r="H22" i="5"/>
  <c r="S22" i="5" s="1"/>
  <c r="H54" i="5"/>
  <c r="H53" i="5"/>
  <c r="H52" i="5"/>
  <c r="H51" i="5"/>
  <c r="H50" i="5"/>
  <c r="H49" i="5"/>
  <c r="AE357" i="1" l="1"/>
  <c r="AF357" i="1"/>
  <c r="AE358" i="1"/>
  <c r="AF358" i="1"/>
  <c r="AE284" i="1"/>
  <c r="AF284" i="1"/>
  <c r="AF286" i="1"/>
  <c r="AE286" i="1"/>
  <c r="AE356" i="1"/>
  <c r="AF356" i="1"/>
  <c r="AE285" i="1"/>
  <c r="AF285" i="1"/>
  <c r="AF220" i="1"/>
  <c r="AE220" i="1"/>
  <c r="AF219" i="1"/>
  <c r="AE219" i="1"/>
  <c r="AE192" i="1"/>
  <c r="AF192" i="1"/>
  <c r="H18" i="5"/>
  <c r="S18" i="5" s="1"/>
  <c r="H17" i="5"/>
  <c r="S17" i="5" s="1"/>
  <c r="H48" i="5"/>
  <c r="H47" i="5"/>
  <c r="H46" i="5"/>
  <c r="H36" i="5" l="1"/>
  <c r="H35" i="5"/>
  <c r="H34" i="5"/>
  <c r="P364" i="1" l="1"/>
  <c r="P370" i="1"/>
  <c r="P369" i="1"/>
  <c r="P3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5" i="1"/>
  <c r="AF166" i="1"/>
  <c r="AF167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7" i="1"/>
  <c r="AF198" i="1"/>
  <c r="AF201" i="1"/>
  <c r="AF202" i="1"/>
  <c r="AF203" i="1"/>
  <c r="AF204" i="1"/>
  <c r="AF206" i="1"/>
  <c r="AF205" i="1"/>
  <c r="AF207" i="1"/>
  <c r="AF208" i="1"/>
  <c r="AF209" i="1"/>
  <c r="P260" i="1"/>
  <c r="P259" i="1"/>
  <c r="AE368" i="1" l="1"/>
  <c r="AF368" i="1"/>
  <c r="AE364" i="1"/>
  <c r="AF364" i="1"/>
  <c r="AF259" i="1"/>
  <c r="AE259" i="1"/>
  <c r="AE260" i="1"/>
  <c r="AF260" i="1"/>
  <c r="AE370" i="1"/>
  <c r="AF370" i="1"/>
  <c r="AF369" i="1"/>
  <c r="AE369" i="1"/>
  <c r="S450" i="1"/>
  <c r="S449" i="1"/>
  <c r="S440" i="1"/>
  <c r="S439" i="1"/>
  <c r="S430" i="1"/>
  <c r="S429" i="1"/>
  <c r="P428" i="1"/>
  <c r="P427" i="1"/>
  <c r="S262" i="1"/>
  <c r="AE427" i="1" l="1"/>
  <c r="AF427" i="1"/>
  <c r="AE428" i="1"/>
  <c r="AF428" i="1"/>
  <c r="S261" i="1"/>
  <c r="P405" i="1" l="1"/>
  <c r="P402" i="1"/>
  <c r="P363" i="1"/>
  <c r="P362" i="1"/>
  <c r="W407" i="1"/>
  <c r="W408" i="1" s="1"/>
  <c r="AF363" i="1" l="1"/>
  <c r="AE363" i="1"/>
  <c r="AE362" i="1"/>
  <c r="AF362" i="1"/>
  <c r="AE402" i="1"/>
  <c r="AF402" i="1"/>
  <c r="AE405" i="1"/>
  <c r="AF405" i="1"/>
  <c r="A423" i="1"/>
  <c r="AE423" i="1" s="1"/>
  <c r="Y245" i="1" l="1"/>
  <c r="Y241" i="1"/>
  <c r="AF241" i="1" s="1"/>
  <c r="A241" i="1"/>
  <c r="M261" i="14" s="1"/>
  <c r="AG261" i="14" s="1"/>
  <c r="A422" i="1"/>
  <c r="AE422" i="1" s="1"/>
  <c r="A421" i="1"/>
  <c r="AE421" i="1" s="1"/>
  <c r="S242" i="1"/>
  <c r="S246" i="1"/>
  <c r="S248" i="1"/>
  <c r="S247" i="1"/>
  <c r="AE241" i="1" l="1"/>
  <c r="AE245" i="1"/>
  <c r="AF245" i="1"/>
  <c r="AE197" i="1"/>
  <c r="AE198" i="1"/>
  <c r="P411" i="1" l="1"/>
  <c r="P410" i="1"/>
  <c r="P409" i="1"/>
  <c r="AF410" i="1" l="1"/>
  <c r="AE410" i="1"/>
  <c r="AF409" i="1"/>
  <c r="AE409" i="1"/>
  <c r="AE411" i="1"/>
  <c r="AF411" i="1"/>
  <c r="AE344" i="1" l="1"/>
  <c r="AF344" i="1"/>
  <c r="AE345" i="1"/>
  <c r="AF345" i="1"/>
  <c r="AE346" i="1"/>
  <c r="AF346" i="1"/>
  <c r="P404" i="1"/>
  <c r="P403" i="1"/>
  <c r="AE403" i="1" l="1"/>
  <c r="AF403" i="1"/>
  <c r="AE404" i="1"/>
  <c r="AF404" i="1"/>
  <c r="P401" i="1"/>
  <c r="AE401" i="1" l="1"/>
  <c r="AF401" i="1"/>
  <c r="S414" i="1"/>
  <c r="S413" i="1"/>
  <c r="S412" i="1"/>
  <c r="S408" i="1"/>
  <c r="S407" i="1"/>
  <c r="S406" i="1"/>
  <c r="S397" i="1"/>
  <c r="S396" i="1"/>
  <c r="S395" i="1"/>
  <c r="S354" i="1"/>
  <c r="S355" i="1"/>
  <c r="S353" i="1"/>
  <c r="P343" i="1"/>
  <c r="P342" i="1"/>
  <c r="P341" i="1"/>
  <c r="P337" i="1"/>
  <c r="P336" i="1"/>
  <c r="P335" i="1"/>
  <c r="AF335" i="1" l="1"/>
  <c r="AE335" i="1"/>
  <c r="AF342" i="1"/>
  <c r="AE342" i="1"/>
  <c r="AF343" i="1"/>
  <c r="AE343" i="1"/>
  <c r="AE336" i="1"/>
  <c r="AF336" i="1"/>
  <c r="AE337" i="1"/>
  <c r="AF337" i="1"/>
  <c r="AE341" i="1"/>
  <c r="AF341" i="1"/>
  <c r="S34" i="5"/>
  <c r="S35" i="5"/>
  <c r="S36" i="5"/>
  <c r="S37" i="5"/>
  <c r="S38" i="5"/>
  <c r="S39" i="5"/>
  <c r="S46" i="5"/>
  <c r="S47" i="5"/>
  <c r="S48" i="5"/>
  <c r="S49" i="5"/>
  <c r="S50" i="5"/>
  <c r="S51" i="5"/>
  <c r="S52" i="5"/>
  <c r="S53" i="5"/>
  <c r="S54" i="5"/>
  <c r="S64" i="5"/>
  <c r="S66" i="5"/>
  <c r="S67" i="5"/>
  <c r="S68" i="5"/>
  <c r="S69" i="5"/>
  <c r="S70" i="5"/>
  <c r="S71" i="5"/>
  <c r="S72" i="5"/>
  <c r="S73" i="5"/>
  <c r="S74" i="5"/>
  <c r="S75" i="5"/>
  <c r="S76" i="5"/>
  <c r="S77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AB200" i="1" l="1"/>
  <c r="Z200" i="1"/>
  <c r="AF200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" i="1"/>
  <c r="AB276" i="1"/>
  <c r="AB321" i="1" s="1"/>
  <c r="AB277" i="1"/>
  <c r="AB275" i="1"/>
  <c r="AB320" i="1" s="1"/>
  <c r="AE200" i="1"/>
  <c r="F1" i="3"/>
  <c r="I1" i="1"/>
  <c r="H1" i="1"/>
  <c r="AB322" i="1" l="1"/>
  <c r="P307" i="1"/>
  <c r="A209" i="1"/>
  <c r="A208" i="1"/>
  <c r="AE307" i="1" l="1"/>
  <c r="AF307" i="1"/>
  <c r="AE209" i="1"/>
  <c r="AE208" i="1"/>
  <c r="A207" i="1" l="1"/>
  <c r="A205" i="1"/>
  <c r="Y218" i="1" s="1"/>
  <c r="AF218" i="1" s="1"/>
  <c r="A206" i="1"/>
  <c r="Y217" i="1"/>
  <c r="AF217" i="1" s="1"/>
  <c r="G1" i="3"/>
  <c r="AE292" i="1" l="1"/>
  <c r="AF292" i="1"/>
  <c r="R516" i="1"/>
  <c r="R518" i="1"/>
  <c r="R263" i="1"/>
  <c r="AE207" i="1"/>
  <c r="AE206" i="1"/>
  <c r="AE205" i="1"/>
  <c r="AE204" i="1"/>
  <c r="A187" i="1"/>
  <c r="A188" i="1"/>
  <c r="A189" i="1"/>
  <c r="Y313" i="1" s="1"/>
  <c r="A190" i="1"/>
  <c r="Y314" i="1" s="1"/>
  <c r="A191" i="1"/>
  <c r="Y315" i="1" s="1"/>
  <c r="A186" i="1"/>
  <c r="Y312" i="1" l="1"/>
  <c r="Y283" i="1"/>
  <c r="Y310" i="1"/>
  <c r="Y281" i="1"/>
  <c r="Y311" i="1"/>
  <c r="AE311" i="1" s="1"/>
  <c r="Y282" i="1"/>
  <c r="AE287" i="1"/>
  <c r="AF287" i="1"/>
  <c r="AE288" i="1"/>
  <c r="AF288" i="1"/>
  <c r="AE291" i="1"/>
  <c r="AF291" i="1"/>
  <c r="AE289" i="1"/>
  <c r="AF289" i="1"/>
  <c r="AE290" i="1"/>
  <c r="AF290" i="1"/>
  <c r="AE280" i="1"/>
  <c r="AF280" i="1"/>
  <c r="AF279" i="1"/>
  <c r="AE279" i="1"/>
  <c r="AE278" i="1"/>
  <c r="AF278" i="1"/>
  <c r="AE310" i="1"/>
  <c r="AF310" i="1"/>
  <c r="AE314" i="1"/>
  <c r="AF314" i="1"/>
  <c r="AE315" i="1"/>
  <c r="AF315" i="1"/>
  <c r="AE312" i="1"/>
  <c r="AF312" i="1"/>
  <c r="AE313" i="1"/>
  <c r="AF313" i="1"/>
  <c r="AA275" i="1"/>
  <c r="AE325" i="1"/>
  <c r="AF325" i="1"/>
  <c r="AE323" i="1"/>
  <c r="AF323" i="1"/>
  <c r="AE324" i="1"/>
  <c r="AF324" i="1"/>
  <c r="R264" i="1"/>
  <c r="R439" i="1"/>
  <c r="R395" i="1"/>
  <c r="R396" i="1" s="1"/>
  <c r="R407" i="1" s="1"/>
  <c r="R429" i="1"/>
  <c r="R449" i="1"/>
  <c r="R430" i="1"/>
  <c r="R440" i="1"/>
  <c r="R397" i="1"/>
  <c r="R408" i="1" s="1"/>
  <c r="R450" i="1"/>
  <c r="Z275" i="1"/>
  <c r="AA277" i="1"/>
  <c r="Z277" i="1"/>
  <c r="Z276" i="1"/>
  <c r="AA276" i="1"/>
  <c r="AJ364" i="1"/>
  <c r="AA321" i="1"/>
  <c r="AJ363" i="1"/>
  <c r="AA320" i="1"/>
  <c r="AJ362" i="1"/>
  <c r="AE191" i="1"/>
  <c r="AE190" i="1"/>
  <c r="Z320" i="1"/>
  <c r="AA322" i="1"/>
  <c r="Z322" i="1"/>
  <c r="Z321" i="1"/>
  <c r="AE189" i="1"/>
  <c r="AE186" i="1"/>
  <c r="AE188" i="1"/>
  <c r="AE187" i="1"/>
  <c r="A116" i="1"/>
  <c r="AE116" i="1" s="1"/>
  <c r="A115" i="1"/>
  <c r="AE115" i="1" s="1"/>
  <c r="A114" i="1"/>
  <c r="AE114" i="1" s="1"/>
  <c r="A113" i="1"/>
  <c r="AE113" i="1" s="1"/>
  <c r="A112" i="1"/>
  <c r="AE112" i="1" s="1"/>
  <c r="A111" i="1"/>
  <c r="AE111" i="1" s="1"/>
  <c r="G1" i="1"/>
  <c r="F1" i="1"/>
  <c r="E1" i="1"/>
  <c r="D1" i="1"/>
  <c r="C1" i="1"/>
  <c r="E1" i="3"/>
  <c r="A203" i="1"/>
  <c r="AE203" i="1" s="1"/>
  <c r="A202" i="1"/>
  <c r="AE202" i="1" s="1"/>
  <c r="A201" i="1"/>
  <c r="AE201" i="1" s="1"/>
  <c r="AF282" i="1" l="1"/>
  <c r="AE282" i="1"/>
  <c r="AE281" i="1"/>
  <c r="AF281" i="1"/>
  <c r="AE283" i="1"/>
  <c r="AF283" i="1"/>
  <c r="AF311" i="1"/>
  <c r="AF276" i="1"/>
  <c r="AE276" i="1"/>
  <c r="AF277" i="1"/>
  <c r="AE277" i="1"/>
  <c r="AF275" i="1"/>
  <c r="AE275" i="1"/>
  <c r="R406" i="1"/>
  <c r="Y322" i="1"/>
  <c r="Y321" i="1"/>
  <c r="Y320" i="1"/>
  <c r="P309" i="1"/>
  <c r="P308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174" i="1"/>
  <c r="AE174" i="1" s="1"/>
  <c r="A175" i="1"/>
  <c r="AE175" i="1" s="1"/>
  <c r="A176" i="1"/>
  <c r="AE176" i="1" s="1"/>
  <c r="A177" i="1"/>
  <c r="AE177" i="1" s="1"/>
  <c r="A178" i="1"/>
  <c r="AE178" i="1" s="1"/>
  <c r="A179" i="1"/>
  <c r="AE179" i="1" s="1"/>
  <c r="A180" i="1"/>
  <c r="A181" i="1"/>
  <c r="A182" i="1"/>
  <c r="AE182" i="1" s="1"/>
  <c r="A183" i="1"/>
  <c r="A184" i="1"/>
  <c r="A185" i="1"/>
  <c r="AE185" i="1" s="1"/>
  <c r="A166" i="1"/>
  <c r="AE166" i="1" s="1"/>
  <c r="A118" i="1"/>
  <c r="AE118" i="1" s="1"/>
  <c r="A119" i="1"/>
  <c r="AE119" i="1" s="1"/>
  <c r="A120" i="1"/>
  <c r="AE120" i="1" s="1"/>
  <c r="A121" i="1"/>
  <c r="AE121" i="1" s="1"/>
  <c r="A122" i="1"/>
  <c r="AE122" i="1" s="1"/>
  <c r="A123" i="1"/>
  <c r="AE123" i="1" s="1"/>
  <c r="A124" i="1"/>
  <c r="AE124" i="1" s="1"/>
  <c r="A125" i="1"/>
  <c r="AE125" i="1" s="1"/>
  <c r="A126" i="1"/>
  <c r="AE126" i="1" s="1"/>
  <c r="A127" i="1"/>
  <c r="AE127" i="1" s="1"/>
  <c r="A128" i="1"/>
  <c r="AE128" i="1" s="1"/>
  <c r="A129" i="1"/>
  <c r="AE129" i="1" s="1"/>
  <c r="A130" i="1"/>
  <c r="AE130" i="1" s="1"/>
  <c r="A131" i="1"/>
  <c r="AE131" i="1" s="1"/>
  <c r="A132" i="1"/>
  <c r="AE132" i="1" s="1"/>
  <c r="A133" i="1"/>
  <c r="AE133" i="1" s="1"/>
  <c r="A134" i="1"/>
  <c r="AE134" i="1" s="1"/>
  <c r="A135" i="1"/>
  <c r="AE135" i="1" s="1"/>
  <c r="A136" i="1"/>
  <c r="AE136" i="1" s="1"/>
  <c r="A137" i="1"/>
  <c r="AE137" i="1" s="1"/>
  <c r="A138" i="1"/>
  <c r="AE138" i="1" s="1"/>
  <c r="A139" i="1"/>
  <c r="AE139" i="1" s="1"/>
  <c r="A140" i="1"/>
  <c r="AE140" i="1" s="1"/>
  <c r="A141" i="1"/>
  <c r="A142" i="1"/>
  <c r="AE142" i="1" s="1"/>
  <c r="A143" i="1"/>
  <c r="AE143" i="1" s="1"/>
  <c r="A144" i="1"/>
  <c r="A145" i="1"/>
  <c r="AE145" i="1" s="1"/>
  <c r="A146" i="1"/>
  <c r="Y216" i="1" s="1"/>
  <c r="A147" i="1"/>
  <c r="AE147" i="1" s="1"/>
  <c r="A148" i="1"/>
  <c r="AE148" i="1" s="1"/>
  <c r="A149" i="1"/>
  <c r="AE149" i="1" s="1"/>
  <c r="A150" i="1"/>
  <c r="AE150" i="1" s="1"/>
  <c r="A151" i="1"/>
  <c r="AE151" i="1" s="1"/>
  <c r="A152" i="1"/>
  <c r="AE152" i="1" s="1"/>
  <c r="A153" i="1"/>
  <c r="AE153" i="1" s="1"/>
  <c r="A154" i="1"/>
  <c r="A155" i="1"/>
  <c r="A156" i="1"/>
  <c r="A157" i="1"/>
  <c r="A158" i="1"/>
  <c r="A159" i="1"/>
  <c r="A160" i="1"/>
  <c r="A161" i="1"/>
  <c r="A162" i="1"/>
  <c r="A163" i="1"/>
  <c r="A165" i="1"/>
  <c r="A117" i="1"/>
  <c r="A110" i="1"/>
  <c r="AE110" i="1" s="1"/>
  <c r="A109" i="1"/>
  <c r="AE109" i="1" s="1"/>
  <c r="A108" i="1"/>
  <c r="AE108" i="1" s="1"/>
  <c r="A96" i="1"/>
  <c r="AE96" i="1" s="1"/>
  <c r="A97" i="1"/>
  <c r="AE97" i="1" s="1"/>
  <c r="A98" i="1"/>
  <c r="AE98" i="1" s="1"/>
  <c r="A99" i="1"/>
  <c r="AE99" i="1" s="1"/>
  <c r="A100" i="1"/>
  <c r="AE100" i="1" s="1"/>
  <c r="A101" i="1"/>
  <c r="AE101" i="1" s="1"/>
  <c r="A102" i="1"/>
  <c r="AE102" i="1" s="1"/>
  <c r="A103" i="1"/>
  <c r="A104" i="1"/>
  <c r="Y317" i="1" s="1"/>
  <c r="A105" i="1"/>
  <c r="A106" i="1"/>
  <c r="AE106" i="1" s="1"/>
  <c r="A107" i="1"/>
  <c r="AE107" i="1" s="1"/>
  <c r="A95" i="1"/>
  <c r="AE95" i="1" s="1"/>
  <c r="A94" i="1"/>
  <c r="AE94" i="1" s="1"/>
  <c r="A93" i="1"/>
  <c r="A92" i="1"/>
  <c r="AE92" i="1" s="1"/>
  <c r="A91" i="1"/>
  <c r="AE91" i="1" s="1"/>
  <c r="A90" i="1"/>
  <c r="AE90" i="1" s="1"/>
  <c r="A89" i="1"/>
  <c r="AE89" i="1" s="1"/>
  <c r="A88" i="1"/>
  <c r="AE88" i="1" s="1"/>
  <c r="A87" i="1"/>
  <c r="AE87" i="1" s="1"/>
  <c r="A45" i="1"/>
  <c r="A46" i="1"/>
  <c r="A47" i="1"/>
  <c r="AE47" i="1" s="1"/>
  <c r="A48" i="1"/>
  <c r="AE48" i="1" s="1"/>
  <c r="A49" i="1"/>
  <c r="AE49" i="1" s="1"/>
  <c r="A50" i="1"/>
  <c r="S573" i="1" s="1"/>
  <c r="A51" i="1"/>
  <c r="S574" i="1" s="1"/>
  <c r="A52" i="1"/>
  <c r="S575" i="1" s="1"/>
  <c r="A53" i="1"/>
  <c r="A54" i="1"/>
  <c r="A55" i="1"/>
  <c r="A56" i="1"/>
  <c r="AE56" i="1" s="1"/>
  <c r="A57" i="1"/>
  <c r="A58" i="1"/>
  <c r="A59" i="1"/>
  <c r="A44" i="1"/>
  <c r="P72" i="1" s="1"/>
  <c r="Q359" i="1" l="1"/>
  <c r="S442" i="14"/>
  <c r="S441" i="14"/>
  <c r="S440" i="14"/>
  <c r="P74" i="1"/>
  <c r="AF74" i="1" s="1"/>
  <c r="P73" i="1"/>
  <c r="AE73" i="1" s="1"/>
  <c r="AF72" i="1"/>
  <c r="AE72" i="1"/>
  <c r="Q360" i="1"/>
  <c r="R554" i="1"/>
  <c r="R361" i="1"/>
  <c r="R552" i="1"/>
  <c r="R553" i="1" s="1"/>
  <c r="R359" i="1"/>
  <c r="R360" i="1" s="1"/>
  <c r="S439" i="14"/>
  <c r="S438" i="14"/>
  <c r="S437" i="14"/>
  <c r="Q554" i="1"/>
  <c r="Q552" i="1"/>
  <c r="Q553" i="1"/>
  <c r="Y521" i="1"/>
  <c r="Y520" i="1"/>
  <c r="Y519" i="1"/>
  <c r="Q573" i="1"/>
  <c r="Q577" i="1"/>
  <c r="Q576" i="1"/>
  <c r="Q575" i="1"/>
  <c r="Q578" i="1"/>
  <c r="Q574" i="1"/>
  <c r="R560" i="1"/>
  <c r="R545" i="1"/>
  <c r="R558" i="1"/>
  <c r="R559" i="1" s="1"/>
  <c r="R543" i="1"/>
  <c r="R544" i="1" s="1"/>
  <c r="Q543" i="1"/>
  <c r="Q545" i="1"/>
  <c r="Q544" i="1"/>
  <c r="Q560" i="1"/>
  <c r="Q559" i="1"/>
  <c r="Q558" i="1"/>
  <c r="Y525" i="1"/>
  <c r="Y526" i="1"/>
  <c r="Y527" i="1"/>
  <c r="Y524" i="1"/>
  <c r="Y523" i="1"/>
  <c r="Y522" i="1"/>
  <c r="Y444" i="1"/>
  <c r="Y434" i="1"/>
  <c r="Y454" i="1"/>
  <c r="Y443" i="1"/>
  <c r="Y433" i="1"/>
  <c r="Y453" i="1"/>
  <c r="R555" i="1"/>
  <c r="R556" i="1" s="1"/>
  <c r="R540" i="1"/>
  <c r="R541" i="1" s="1"/>
  <c r="Q556" i="1"/>
  <c r="Q557" i="1"/>
  <c r="Q541" i="1"/>
  <c r="Q555" i="1"/>
  <c r="Q540" i="1"/>
  <c r="Q542" i="1"/>
  <c r="R542" i="1"/>
  <c r="R557" i="1"/>
  <c r="R353" i="1"/>
  <c r="R412" i="1" s="1"/>
  <c r="R515" i="1"/>
  <c r="R355" i="1"/>
  <c r="P271" i="1"/>
  <c r="P272" i="1"/>
  <c r="H65" i="5"/>
  <c r="S65" i="5" s="1"/>
  <c r="Q274" i="1"/>
  <c r="Q273" i="1"/>
  <c r="Y316" i="1"/>
  <c r="AE316" i="1" s="1"/>
  <c r="AK255" i="1"/>
  <c r="Q270" i="1"/>
  <c r="Q269" i="1"/>
  <c r="Y318" i="1"/>
  <c r="AE317" i="1"/>
  <c r="AF317" i="1"/>
  <c r="AF322" i="1"/>
  <c r="AE322" i="1"/>
  <c r="AF309" i="1"/>
  <c r="AE309" i="1"/>
  <c r="AE308" i="1"/>
  <c r="AF308" i="1"/>
  <c r="AF320" i="1"/>
  <c r="AE320" i="1"/>
  <c r="AE321" i="1"/>
  <c r="AF321" i="1"/>
  <c r="AK301" i="1"/>
  <c r="AK299" i="1"/>
  <c r="AK300" i="1"/>
  <c r="Q371" i="1"/>
  <c r="Q263" i="1"/>
  <c r="Q264" i="1"/>
  <c r="Y391" i="1"/>
  <c r="Y388" i="1"/>
  <c r="Y389" i="1"/>
  <c r="Y387" i="1"/>
  <c r="Y386" i="1"/>
  <c r="Y390" i="1"/>
  <c r="AJ386" i="1"/>
  <c r="R232" i="1"/>
  <c r="R246" i="1"/>
  <c r="R242" i="1"/>
  <c r="R226" i="1"/>
  <c r="R229" i="1" s="1"/>
  <c r="AE154" i="1"/>
  <c r="S223" i="1"/>
  <c r="S230" i="1" s="1"/>
  <c r="S221" i="1"/>
  <c r="S224" i="1" s="1"/>
  <c r="S222" i="1"/>
  <c r="S227" i="1" s="1"/>
  <c r="Z328" i="1"/>
  <c r="Z327" i="1"/>
  <c r="Z326" i="1"/>
  <c r="AA326" i="1"/>
  <c r="AA328" i="1"/>
  <c r="AA327" i="1"/>
  <c r="AE146" i="1"/>
  <c r="Q412" i="1"/>
  <c r="Q413" i="1"/>
  <c r="Q414" i="1"/>
  <c r="P71" i="1"/>
  <c r="P69" i="1"/>
  <c r="P70" i="1"/>
  <c r="R517" i="1"/>
  <c r="R514" i="1" s="1"/>
  <c r="R513" i="1"/>
  <c r="H33" i="5"/>
  <c r="S33" i="5" s="1"/>
  <c r="P86" i="1"/>
  <c r="H32" i="5"/>
  <c r="S32" i="5" s="1"/>
  <c r="P85" i="1"/>
  <c r="H31" i="5"/>
  <c r="S31" i="5" s="1"/>
  <c r="P84" i="1"/>
  <c r="Q517" i="1"/>
  <c r="Q514" i="1" s="1"/>
  <c r="Q518" i="1"/>
  <c r="Q515" i="1" s="1"/>
  <c r="Q516" i="1"/>
  <c r="R247" i="1"/>
  <c r="R234" i="1"/>
  <c r="R233" i="1"/>
  <c r="R235" i="1"/>
  <c r="H12" i="5"/>
  <c r="S12" i="5" s="1"/>
  <c r="R230" i="1"/>
  <c r="R224" i="1"/>
  <c r="R227" i="1"/>
  <c r="H11" i="5"/>
  <c r="S11" i="5" s="1"/>
  <c r="Q223" i="1"/>
  <c r="Q222" i="1"/>
  <c r="P68" i="1"/>
  <c r="H30" i="5"/>
  <c r="S30" i="5" s="1"/>
  <c r="P67" i="1"/>
  <c r="H29" i="5"/>
  <c r="S29" i="5" s="1"/>
  <c r="P66" i="1"/>
  <c r="H28" i="5"/>
  <c r="S28" i="5" s="1"/>
  <c r="Y303" i="1"/>
  <c r="AE160" i="1"/>
  <c r="H6" i="5"/>
  <c r="S6" i="5" s="1"/>
  <c r="AE141" i="1"/>
  <c r="H4" i="5"/>
  <c r="S4" i="5" s="1"/>
  <c r="AE163" i="1"/>
  <c r="H7" i="5"/>
  <c r="S7" i="5" s="1"/>
  <c r="AE162" i="1"/>
  <c r="H15" i="5"/>
  <c r="S15" i="5" s="1"/>
  <c r="AE161" i="1"/>
  <c r="H14" i="5"/>
  <c r="S14" i="5" s="1"/>
  <c r="AE144" i="1"/>
  <c r="H5" i="5"/>
  <c r="S5" i="5" s="1"/>
  <c r="H16" i="5"/>
  <c r="Q248" i="1"/>
  <c r="H13" i="5"/>
  <c r="S13" i="5" s="1"/>
  <c r="P80" i="1"/>
  <c r="AE167" i="1"/>
  <c r="AE54" i="1"/>
  <c r="P82" i="1"/>
  <c r="AE53" i="1"/>
  <c r="P81" i="1"/>
  <c r="P79" i="1"/>
  <c r="P78" i="1"/>
  <c r="AE55" i="1"/>
  <c r="P83" i="1"/>
  <c r="AE117" i="1"/>
  <c r="H3" i="5"/>
  <c r="S3" i="5" s="1"/>
  <c r="AE155" i="1"/>
  <c r="H2" i="5"/>
  <c r="S2" i="5" s="1"/>
  <c r="AE52" i="1"/>
  <c r="P77" i="1"/>
  <c r="AE51" i="1"/>
  <c r="P76" i="1"/>
  <c r="AE50" i="1"/>
  <c r="P75" i="1"/>
  <c r="Y424" i="1"/>
  <c r="P435" i="1"/>
  <c r="P442" i="1"/>
  <c r="P436" i="1"/>
  <c r="P441" i="1"/>
  <c r="Q450" i="1"/>
  <c r="Q449" i="1"/>
  <c r="AE58" i="1"/>
  <c r="P452" i="1"/>
  <c r="P451" i="1"/>
  <c r="P446" i="1"/>
  <c r="P445" i="1"/>
  <c r="AE184" i="1"/>
  <c r="P448" i="1"/>
  <c r="P447" i="1"/>
  <c r="P438" i="1"/>
  <c r="P437" i="1"/>
  <c r="AE59" i="1"/>
  <c r="P425" i="1"/>
  <c r="P432" i="1"/>
  <c r="P431" i="1"/>
  <c r="P426" i="1"/>
  <c r="Q430" i="1"/>
  <c r="Q440" i="1"/>
  <c r="Q429" i="1"/>
  <c r="Q439" i="1"/>
  <c r="AE57" i="1"/>
  <c r="P266" i="1"/>
  <c r="P265" i="1"/>
  <c r="Q261" i="1"/>
  <c r="Q262" i="1"/>
  <c r="P257" i="1"/>
  <c r="P258" i="1"/>
  <c r="Q353" i="1"/>
  <c r="S400" i="1"/>
  <c r="AE183" i="1"/>
  <c r="AE181" i="1"/>
  <c r="Q406" i="1"/>
  <c r="Q408" i="1"/>
  <c r="Q407" i="1"/>
  <c r="AE157" i="1"/>
  <c r="AE156" i="1"/>
  <c r="AE105" i="1"/>
  <c r="Q239" i="1"/>
  <c r="S399" i="1"/>
  <c r="Q398" i="1"/>
  <c r="X440" i="14" s="1"/>
  <c r="S398" i="1"/>
  <c r="AE44" i="1"/>
  <c r="AE46" i="1"/>
  <c r="AE45" i="1"/>
  <c r="Q243" i="1"/>
  <c r="AE218" i="1"/>
  <c r="AE217" i="1"/>
  <c r="AE104" i="1"/>
  <c r="AE103" i="1"/>
  <c r="AE158" i="1"/>
  <c r="AE159" i="1"/>
  <c r="AE165" i="1"/>
  <c r="Z199" i="1"/>
  <c r="AE93" i="1"/>
  <c r="AB199" i="1"/>
  <c r="AE180" i="1"/>
  <c r="AA199" i="1"/>
  <c r="P62" i="1"/>
  <c r="P61" i="1"/>
  <c r="P60" i="1"/>
  <c r="P65" i="1"/>
  <c r="P64" i="1"/>
  <c r="P63" i="1"/>
  <c r="AE74" i="1" l="1"/>
  <c r="AF73" i="1"/>
  <c r="AF359" i="1"/>
  <c r="Q361" i="1"/>
  <c r="AE360" i="1"/>
  <c r="AF360" i="1"/>
  <c r="AE353" i="1"/>
  <c r="AF353" i="1"/>
  <c r="AE318" i="1"/>
  <c r="AF318" i="1"/>
  <c r="AE359" i="1"/>
  <c r="AE555" i="1"/>
  <c r="AF555" i="1"/>
  <c r="AE557" i="1"/>
  <c r="AF557" i="1"/>
  <c r="AE558" i="1"/>
  <c r="AF558" i="1"/>
  <c r="AE519" i="1"/>
  <c r="AF519" i="1"/>
  <c r="AE556" i="1"/>
  <c r="AF556" i="1"/>
  <c r="AE559" i="1"/>
  <c r="AF559" i="1"/>
  <c r="AE520" i="1"/>
  <c r="AF520" i="1"/>
  <c r="AF522" i="1"/>
  <c r="AE522" i="1"/>
  <c r="AF560" i="1"/>
  <c r="AE560" i="1"/>
  <c r="AE521" i="1"/>
  <c r="AF521" i="1"/>
  <c r="AE553" i="1"/>
  <c r="AF553" i="1"/>
  <c r="AE552" i="1"/>
  <c r="AF552" i="1"/>
  <c r="AE554" i="1"/>
  <c r="AF554" i="1"/>
  <c r="AF574" i="1"/>
  <c r="AE574" i="1"/>
  <c r="AF575" i="1"/>
  <c r="AE575" i="1"/>
  <c r="AF578" i="1"/>
  <c r="AE578" i="1"/>
  <c r="AF576" i="1"/>
  <c r="AE576" i="1"/>
  <c r="AF577" i="1"/>
  <c r="AE577" i="1"/>
  <c r="AF573" i="1"/>
  <c r="AE573" i="1"/>
  <c r="AE544" i="1"/>
  <c r="AF544" i="1"/>
  <c r="AE542" i="1"/>
  <c r="AF542" i="1"/>
  <c r="AE545" i="1"/>
  <c r="AF545" i="1"/>
  <c r="AE540" i="1"/>
  <c r="AF540" i="1"/>
  <c r="AF543" i="1"/>
  <c r="AE543" i="1"/>
  <c r="AE541" i="1"/>
  <c r="AF541" i="1"/>
  <c r="AE527" i="1"/>
  <c r="AF527" i="1"/>
  <c r="AE526" i="1"/>
  <c r="AF526" i="1"/>
  <c r="AE525" i="1"/>
  <c r="AF525" i="1"/>
  <c r="R354" i="1"/>
  <c r="R413" i="1" s="1"/>
  <c r="R371" i="1"/>
  <c r="AE371" i="1" s="1"/>
  <c r="AF265" i="1"/>
  <c r="AE265" i="1"/>
  <c r="AE270" i="1"/>
  <c r="AF270" i="1"/>
  <c r="AE266" i="1"/>
  <c r="AF266" i="1"/>
  <c r="AF258" i="1"/>
  <c r="AE258" i="1"/>
  <c r="AF262" i="1"/>
  <c r="AE262" i="1"/>
  <c r="AF273" i="1"/>
  <c r="AE273" i="1"/>
  <c r="AF261" i="1"/>
  <c r="AE261" i="1"/>
  <c r="AE274" i="1"/>
  <c r="AF274" i="1"/>
  <c r="AE257" i="1"/>
  <c r="AF257" i="1"/>
  <c r="AF272" i="1"/>
  <c r="AE272" i="1"/>
  <c r="AF269" i="1"/>
  <c r="AE269" i="1"/>
  <c r="AE271" i="1"/>
  <c r="AF271" i="1"/>
  <c r="AF316" i="1"/>
  <c r="R414" i="1"/>
  <c r="R400" i="1" s="1"/>
  <c r="R373" i="1"/>
  <c r="AE523" i="1"/>
  <c r="AF523" i="1"/>
  <c r="AE524" i="1"/>
  <c r="AF524" i="1"/>
  <c r="AE264" i="1"/>
  <c r="AF264" i="1"/>
  <c r="AF439" i="1"/>
  <c r="AE439" i="1"/>
  <c r="AE451" i="1"/>
  <c r="AF451" i="1"/>
  <c r="AE435" i="1"/>
  <c r="AF435" i="1"/>
  <c r="AE434" i="1"/>
  <c r="AF434" i="1"/>
  <c r="AF82" i="1"/>
  <c r="AE82" i="1"/>
  <c r="AE67" i="1"/>
  <c r="AF67" i="1"/>
  <c r="AE263" i="1"/>
  <c r="AF263" i="1"/>
  <c r="AE437" i="1"/>
  <c r="AF437" i="1"/>
  <c r="AE452" i="1"/>
  <c r="AF452" i="1"/>
  <c r="AF424" i="1"/>
  <c r="AE424" i="1"/>
  <c r="AF433" i="1"/>
  <c r="AE433" i="1"/>
  <c r="AF84" i="1"/>
  <c r="AE84" i="1"/>
  <c r="AE70" i="1"/>
  <c r="AF70" i="1"/>
  <c r="AF390" i="1"/>
  <c r="AE390" i="1"/>
  <c r="Q372" i="1"/>
  <c r="Q373" i="1" s="1"/>
  <c r="AE445" i="1"/>
  <c r="AF445" i="1"/>
  <c r="AF425" i="1"/>
  <c r="AE425" i="1"/>
  <c r="AE429" i="1"/>
  <c r="AF429" i="1"/>
  <c r="AF438" i="1"/>
  <c r="AE438" i="1"/>
  <c r="AF75" i="1"/>
  <c r="AE75" i="1"/>
  <c r="AE68" i="1"/>
  <c r="AF68" i="1"/>
  <c r="AE69" i="1"/>
  <c r="AF69" i="1"/>
  <c r="AE386" i="1"/>
  <c r="AF386" i="1"/>
  <c r="AE239" i="1"/>
  <c r="AF239" i="1"/>
  <c r="AF446" i="1"/>
  <c r="AE446" i="1"/>
  <c r="AE443" i="1"/>
  <c r="AF443" i="1"/>
  <c r="AF430" i="1"/>
  <c r="AE430" i="1"/>
  <c r="AF447" i="1"/>
  <c r="AE447" i="1"/>
  <c r="AF449" i="1"/>
  <c r="AE449" i="1"/>
  <c r="AF444" i="1"/>
  <c r="AE444" i="1"/>
  <c r="AE80" i="1"/>
  <c r="AF80" i="1"/>
  <c r="AF303" i="1"/>
  <c r="AE303" i="1"/>
  <c r="AF85" i="1"/>
  <c r="AE85" i="1"/>
  <c r="AF71" i="1"/>
  <c r="AE71" i="1"/>
  <c r="AF387" i="1"/>
  <c r="AE387" i="1"/>
  <c r="AF432" i="1"/>
  <c r="AE432" i="1"/>
  <c r="AE436" i="1"/>
  <c r="AF436" i="1"/>
  <c r="AE442" i="1"/>
  <c r="AF442" i="1"/>
  <c r="AF440" i="1"/>
  <c r="AE440" i="1"/>
  <c r="AF83" i="1"/>
  <c r="AE83" i="1"/>
  <c r="AE426" i="1"/>
  <c r="AF426" i="1"/>
  <c r="AF448" i="1"/>
  <c r="AE448" i="1"/>
  <c r="AE450" i="1"/>
  <c r="AF450" i="1"/>
  <c r="AF76" i="1"/>
  <c r="AE76" i="1"/>
  <c r="AE453" i="1"/>
  <c r="AF453" i="1"/>
  <c r="AE78" i="1"/>
  <c r="AF78" i="1"/>
  <c r="AF389" i="1"/>
  <c r="AE389" i="1"/>
  <c r="AF431" i="1"/>
  <c r="AE431" i="1"/>
  <c r="AF441" i="1"/>
  <c r="AE441" i="1"/>
  <c r="AF454" i="1"/>
  <c r="AE454" i="1"/>
  <c r="AE79" i="1"/>
  <c r="AF79" i="1"/>
  <c r="AE86" i="1"/>
  <c r="AF86" i="1"/>
  <c r="AF388" i="1"/>
  <c r="AE388" i="1"/>
  <c r="AF77" i="1"/>
  <c r="AE77" i="1"/>
  <c r="AE81" i="1"/>
  <c r="AF81" i="1"/>
  <c r="AF66" i="1"/>
  <c r="AE66" i="1"/>
  <c r="AE412" i="1"/>
  <c r="AF412" i="1"/>
  <c r="AE391" i="1"/>
  <c r="AF391" i="1"/>
  <c r="Y328" i="1"/>
  <c r="Y326" i="1"/>
  <c r="Y327" i="1"/>
  <c r="AE216" i="1"/>
  <c r="AF216" i="1"/>
  <c r="AF515" i="1"/>
  <c r="AE515" i="1"/>
  <c r="AE514" i="1"/>
  <c r="AF514" i="1"/>
  <c r="Q513" i="1"/>
  <c r="AE516" i="1"/>
  <c r="AF516" i="1"/>
  <c r="AF518" i="1"/>
  <c r="AE518" i="1"/>
  <c r="AF517" i="1"/>
  <c r="AE517" i="1"/>
  <c r="Q233" i="1"/>
  <c r="Q234" i="1"/>
  <c r="AF222" i="1"/>
  <c r="AE222" i="1"/>
  <c r="Q230" i="1"/>
  <c r="Q235" i="1"/>
  <c r="AE223" i="1"/>
  <c r="AF223" i="1"/>
  <c r="Q229" i="1"/>
  <c r="Q227" i="1"/>
  <c r="Q224" i="1"/>
  <c r="Q226" i="1"/>
  <c r="Q221" i="1"/>
  <c r="AE64" i="1"/>
  <c r="AF64" i="1"/>
  <c r="AE65" i="1"/>
  <c r="AF65" i="1"/>
  <c r="Q354" i="1"/>
  <c r="AE63" i="1"/>
  <c r="AF63" i="1"/>
  <c r="AE61" i="1"/>
  <c r="AF61" i="1"/>
  <c r="AF199" i="1"/>
  <c r="AE62" i="1"/>
  <c r="AF62" i="1"/>
  <c r="Q247" i="1"/>
  <c r="AE60" i="1"/>
  <c r="AF60" i="1"/>
  <c r="S240" i="1"/>
  <c r="S243" i="1" s="1"/>
  <c r="S244" i="1" s="1"/>
  <c r="R398" i="1"/>
  <c r="AE398" i="1" s="1"/>
  <c r="R248" i="1"/>
  <c r="AE248" i="1" s="1"/>
  <c r="Q399" i="1"/>
  <c r="X441" i="14" s="1"/>
  <c r="Q395" i="1"/>
  <c r="X437" i="14" s="1"/>
  <c r="Q397" i="1"/>
  <c r="X439" i="14" s="1"/>
  <c r="Q240" i="1"/>
  <c r="Q244" i="1"/>
  <c r="AE199" i="1"/>
  <c r="AE354" i="1" l="1"/>
  <c r="AF354" i="1"/>
  <c r="AE361" i="1"/>
  <c r="AF361" i="1"/>
  <c r="AF371" i="1"/>
  <c r="AE413" i="1"/>
  <c r="AF413" i="1"/>
  <c r="R399" i="1"/>
  <c r="AF399" i="1" s="1"/>
  <c r="R372" i="1"/>
  <c r="AE372" i="1" s="1"/>
  <c r="AE414" i="1"/>
  <c r="AF414" i="1"/>
  <c r="AF248" i="1"/>
  <c r="AE395" i="1"/>
  <c r="AF395" i="1"/>
  <c r="AF398" i="1"/>
  <c r="AE397" i="1"/>
  <c r="AF397" i="1"/>
  <c r="AE229" i="1"/>
  <c r="AF229" i="1"/>
  <c r="AE233" i="1"/>
  <c r="AF233" i="1"/>
  <c r="AE234" i="1"/>
  <c r="AF234" i="1"/>
  <c r="AF327" i="1"/>
  <c r="AE327" i="1"/>
  <c r="AE247" i="1"/>
  <c r="AF247" i="1"/>
  <c r="AE373" i="1"/>
  <c r="AF373" i="1"/>
  <c r="AF243" i="1"/>
  <c r="AE326" i="1"/>
  <c r="AF326" i="1"/>
  <c r="AE235" i="1"/>
  <c r="AF235" i="1"/>
  <c r="AE243" i="1"/>
  <c r="AE244" i="1"/>
  <c r="AF244" i="1"/>
  <c r="AF230" i="1"/>
  <c r="AE230" i="1"/>
  <c r="AF328" i="1"/>
  <c r="AE328" i="1"/>
  <c r="AE240" i="1"/>
  <c r="AF240" i="1"/>
  <c r="AE513" i="1"/>
  <c r="AF513" i="1"/>
  <c r="AE221" i="1"/>
  <c r="AF221" i="1"/>
  <c r="AE226" i="1"/>
  <c r="AF226" i="1"/>
  <c r="AF224" i="1"/>
  <c r="AE224" i="1"/>
  <c r="Q232" i="1"/>
  <c r="AF227" i="1"/>
  <c r="AE227" i="1"/>
  <c r="Q355" i="1"/>
  <c r="Q242" i="1"/>
  <c r="V408" i="1"/>
  <c r="Q400" i="1"/>
  <c r="X442" i="14" s="1"/>
  <c r="Q246" i="1"/>
  <c r="V406" i="1"/>
  <c r="Q396" i="1"/>
  <c r="X438" i="14" s="1"/>
  <c r="S16" i="5"/>
  <c r="AE355" i="1" l="1"/>
  <c r="AF355" i="1"/>
  <c r="AE399" i="1"/>
  <c r="AF372" i="1"/>
  <c r="AE396" i="1"/>
  <c r="AF396" i="1"/>
  <c r="AF246" i="1"/>
  <c r="AE246" i="1"/>
  <c r="AF406" i="1"/>
  <c r="AE406" i="1"/>
  <c r="AE232" i="1"/>
  <c r="AF232" i="1"/>
  <c r="AF400" i="1"/>
  <c r="AE400" i="1"/>
  <c r="AE408" i="1"/>
  <c r="AF408" i="1"/>
  <c r="AE242" i="1"/>
  <c r="AF242" i="1"/>
  <c r="V407" i="1"/>
  <c r="AF407" i="1" l="1"/>
  <c r="AE4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Gina Hicks</author>
    <author>tc={E9345C00-6D13-4B70-8CEF-1565E38C9D21}</author>
  </authors>
  <commentList>
    <comment ref="H1" authorId="0" shapeId="0" xr:uid="{13ED1011-C0F0-4A1B-AF86-94A1243CBA2B}">
      <text>
        <r>
          <rPr>
            <sz val="9"/>
            <color indexed="81"/>
            <rFont val="Tahoma"/>
            <family val="2"/>
          </rPr>
          <t>row of the header</t>
        </r>
      </text>
    </comment>
    <comment ref="D16" authorId="1" shapeId="0" xr:uid="{E9345C00-6D13-4B70-8CEF-1565E38C9D2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the join fields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tc={6485D058-05B2-4CE5-99CF-95E5AF9E5F64}</author>
    <author>tc={2FBA85B5-83B7-472E-9F09-C49A6B500BB6}</author>
    <author>Gina Hicks</author>
  </authors>
  <commentList>
    <comment ref="A206" authorId="0" shapeId="0" xr:uid="{6485D058-05B2-4CE5-99CF-95E5AF9E5F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really a dup. Excel doesn't differentiate case</t>
      </text>
    </comment>
    <comment ref="A255" authorId="1" shapeId="0" xr:uid="{2FBA85B5-83B7-472E-9F09-C49A6B500BB6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 eul assignment. Should be just EvalEUL when done debugging</t>
      </text>
    </comment>
    <comment ref="A415" authorId="2" shapeId="0" xr:uid="{8814CE9A-227A-4638-A49F-4B61ADEFA65B}">
      <text>
        <r>
          <rPr>
            <sz val="9"/>
            <color indexed="81"/>
            <rFont val="Tahoma"/>
            <family val="2"/>
          </rPr>
          <t>this isn't needed. str_EvalNTGR is at the project level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tc={7F5B9861-ECFE-42CD-9AFA-E9CC4FC0C5AD}</author>
    <author>tc={DE633EE3-00EE-4195-88D7-6E7A596B191A}</author>
    <author>tc={DE12AD05-E13B-4228-B28A-57E42E5B72D7}</author>
  </authors>
  <commentList>
    <comment ref="AH134" authorId="0" shapeId="0" xr:uid="{7F5B9861-ECFE-42CD-9AFA-E9CC4FC0C5AD}">
      <text>
        <t>[Threaded comment]
Your version of Excel allows you to read this threaded comment; however, any edits to it will get removed if the file is opened in a newer version of Excel. Learn more: https://go.microsoft.com/fwlink/?linkid=870924
Comment:
    ok for both fuels</t>
      </text>
    </comment>
    <comment ref="A225" authorId="1" shapeId="0" xr:uid="{DE633EE3-00EE-4195-88D7-6E7A596B191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really a dup. Excel doesn't differentiate case</t>
      </text>
    </comment>
    <comment ref="A273" authorId="2" shapeId="0" xr:uid="{DE12AD05-E13B-4228-B28A-57E42E5B72D7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 eul assignment. Should be just EvalEUL when done debugging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tc={8E35A1F5-7EDB-4124-AEB1-548E7E0C759F}</author>
  </authors>
  <commentList>
    <comment ref="A242" authorId="0" shapeId="0" xr:uid="{8E35A1F5-7EDB-4124-AEB1-548E7E0C759F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 eul assignment. Should be just EvalEUL when done debugging</t>
      </text>
    </comment>
  </commentList>
</comments>
</file>

<file path=xl/sharedStrings.xml><?xml version="1.0" encoding="utf-8"?>
<sst xmlns="http://schemas.openxmlformats.org/spreadsheetml/2006/main" count="7322" uniqueCount="2855">
  <si>
    <t>Constant</t>
  </si>
  <si>
    <t>eqn_true</t>
  </si>
  <si>
    <t>eqn_false</t>
  </si>
  <si>
    <t>eqn_condition</t>
  </si>
  <si>
    <t>roundto</t>
  </si>
  <si>
    <t>AccountedFor</t>
  </si>
  <si>
    <t>notes</t>
  </si>
  <si>
    <t>Match in workbook but not pulling from there</t>
  </si>
  <si>
    <t>MB Comments</t>
  </si>
  <si>
    <t>ClaimID</t>
  </si>
  <si>
    <t>ClaimYearQuarter</t>
  </si>
  <si>
    <t>PA</t>
  </si>
  <si>
    <t>PrgID</t>
  </si>
  <si>
    <t>ProgramName</t>
  </si>
  <si>
    <t>MeasCode</t>
  </si>
  <si>
    <t>MeasDescription</t>
  </si>
  <si>
    <t>MeasAppType</t>
  </si>
  <si>
    <t>DeliveryType</t>
  </si>
  <si>
    <t>Upstream_Flag</t>
  </si>
  <si>
    <t>EUC_Flag</t>
  </si>
  <si>
    <t>LGP_Flag</t>
  </si>
  <si>
    <t>REN_Flag</t>
  </si>
  <si>
    <t>OBF_Flag</t>
  </si>
  <si>
    <t>NTG_ID</t>
  </si>
  <si>
    <t>InstallationDate</t>
  </si>
  <si>
    <t>PaidDate</t>
  </si>
  <si>
    <t>ApplicationDate</t>
  </si>
  <si>
    <t>NormUnit</t>
  </si>
  <si>
    <t>MarketEffectsBenefits</t>
  </si>
  <si>
    <t>NumUnits</t>
  </si>
  <si>
    <t>UnitkW1stBaseline</t>
  </si>
  <si>
    <t>UnitkWh1stBaseline</t>
  </si>
  <si>
    <t>UnitTherm1stBaseline</t>
  </si>
  <si>
    <t>UnitkW2ndBaseline</t>
  </si>
  <si>
    <t>UnitkWh2ndBaseline</t>
  </si>
  <si>
    <t>UnitTherm2ndBaseline</t>
  </si>
  <si>
    <t>InstallationRatekW</t>
  </si>
  <si>
    <t>InstallationRatekWh</t>
  </si>
  <si>
    <t>InstallationRateTherm</t>
  </si>
  <si>
    <t>RealizationRatekW</t>
  </si>
  <si>
    <t>RealizationRatekWh</t>
  </si>
  <si>
    <t>RealizationRateTherm</t>
  </si>
  <si>
    <t>NTGRkW</t>
  </si>
  <si>
    <t>NTGRkWh</t>
  </si>
  <si>
    <t>NTGRTherm</t>
  </si>
  <si>
    <t>NTGRCost</t>
  </si>
  <si>
    <t>EUL_Yrs</t>
  </si>
  <si>
    <t>RUL_Yrs</t>
  </si>
  <si>
    <t>ExAnteFirstYearGrosskW</t>
  </si>
  <si>
    <t>ExAnteFirstYearGrosskWh</t>
  </si>
  <si>
    <t>ExAnteFirstYearGrossTherm</t>
  </si>
  <si>
    <t>ExAnteFirstYearNetkW</t>
  </si>
  <si>
    <t>ExAnteFirstYearNetkWh</t>
  </si>
  <si>
    <t>ExAnteFirstYearNetTherm</t>
  </si>
  <si>
    <t>ExAnteLifecycleGrosskW</t>
  </si>
  <si>
    <t>ExAnteLifecycleGrosskWh</t>
  </si>
  <si>
    <t>ExAnteLifecycleGrossTherm</t>
  </si>
  <si>
    <t>ExAnteLifecycleNetkW</t>
  </si>
  <si>
    <t>ExAnteLifecycleNetkWh</t>
  </si>
  <si>
    <t>ExAnteLifecycleNetTherm</t>
  </si>
  <si>
    <t>EvalBase1kWSvgs</t>
  </si>
  <si>
    <t>EvalBase1kWhSvgs</t>
  </si>
  <si>
    <t>EvalBase1ThermSvgs</t>
  </si>
  <si>
    <t>SampleID</t>
  </si>
  <si>
    <t>IneligibleMeasure</t>
  </si>
  <si>
    <t>sourcename</t>
  </si>
  <si>
    <t>type</t>
  </si>
  <si>
    <t>csv</t>
  </si>
  <si>
    <t>location</t>
  </si>
  <si>
    <t>IndexField</t>
  </si>
  <si>
    <t>ForeignKeyRelationship</t>
  </si>
  <si>
    <t>criteria</t>
  </si>
  <si>
    <t>sheet</t>
  </si>
  <si>
    <t>startrow</t>
  </si>
  <si>
    <t>SupportTable_EUL</t>
  </si>
  <si>
    <t>cedarsclaim</t>
  </si>
  <si>
    <t>cedarscustom</t>
  </si>
  <si>
    <t>claimtracker</t>
  </si>
  <si>
    <t>projecttracker</t>
  </si>
  <si>
    <t>Manage Assignments</t>
  </si>
  <si>
    <t>Project Level Tracking</t>
  </si>
  <si>
    <t>evalclaim</t>
  </si>
  <si>
    <t>Z:\Favorites\CPUC10 (Group D - Custom EM&amp;V)\7 DCF\CIAC2018\data\CIAC2018Gross_MsrData.csv</t>
  </si>
  <si>
    <t>DetailID</t>
  </si>
  <si>
    <t>rename_index</t>
  </si>
  <si>
    <t>deer_eul</t>
  </si>
  <si>
    <t>SampleControl</t>
  </si>
  <si>
    <t>net_site_wkb</t>
  </si>
  <si>
    <t>cedars_custom_claim</t>
  </si>
  <si>
    <t>SiteID</t>
  </si>
  <si>
    <t>ImplementationPA</t>
  </si>
  <si>
    <t>ImplementationID</t>
  </si>
  <si>
    <t>BldgType</t>
  </si>
  <si>
    <t>BldgLoc</t>
  </si>
  <si>
    <t>BldgVint</t>
  </si>
  <si>
    <t>BldgHVAC</t>
  </si>
  <si>
    <t>Sector</t>
  </si>
  <si>
    <t>PrgElement</t>
  </si>
  <si>
    <t>ProjectID</t>
  </si>
  <si>
    <t>ProjectDescription</t>
  </si>
  <si>
    <t>NAICSBldgType</t>
  </si>
  <si>
    <t>E3TargetSector</t>
  </si>
  <si>
    <t>E3MeaElecEndUseShape</t>
  </si>
  <si>
    <t>E3GasSector</t>
  </si>
  <si>
    <t>E3GasSavProfile</t>
  </si>
  <si>
    <t>E3ClimateZone</t>
  </si>
  <si>
    <t>InstalledNumUnits</t>
  </si>
  <si>
    <t>InstalledNormUnit</t>
  </si>
  <si>
    <t>CombustionType</t>
  </si>
  <si>
    <t>TotalFirstYearGrosskW</t>
  </si>
  <si>
    <t>TotalFirstYearGrosskWh</t>
  </si>
  <si>
    <t>TotalFirstYearGrossTherm</t>
  </si>
  <si>
    <t>TotalFirstYearNetkW</t>
  </si>
  <si>
    <t>TotalFirstYearNetkWh</t>
  </si>
  <si>
    <t>TotalFirstYearNetTherm</t>
  </si>
  <si>
    <t>TotalLifecycleGrosskW</t>
  </si>
  <si>
    <t>TotalLifecycleGrosskWh</t>
  </si>
  <si>
    <t>TotalLifecycleGrossTherm</t>
  </si>
  <si>
    <t>TotalLifecycleNetkW</t>
  </si>
  <si>
    <t>TotalLifecycleNetkWh</t>
  </si>
  <si>
    <t>TotalLifecycleNetTherm</t>
  </si>
  <si>
    <t>TotalGrossMeasureCost</t>
  </si>
  <si>
    <t>TotalGrossMeasureCost_ER</t>
  </si>
  <si>
    <t>TotalGrossIncentive</t>
  </si>
  <si>
    <t>UnitEndUserRebate</t>
  </si>
  <si>
    <t>UnitIncentiveToOthers</t>
  </si>
  <si>
    <t>UnitDirectInstallLab</t>
  </si>
  <si>
    <t>UnitDirectInstallMat</t>
  </si>
  <si>
    <t>UnitMeaCost1stBaseline</t>
  </si>
  <si>
    <t>UnitMeaCost2ndBaseline</t>
  </si>
  <si>
    <t>WhySavingsZeroed</t>
  </si>
  <si>
    <t>WhyCostsZeroed</t>
  </si>
  <si>
    <t>PartialPaymentPercent</t>
  </si>
  <si>
    <t>PartialPaymentFinal_Flag</t>
  </si>
  <si>
    <t>Residential_Flag</t>
  </si>
  <si>
    <t>Prop39_Flag</t>
  </si>
  <si>
    <t>PublicK_12_Flag</t>
  </si>
  <si>
    <t>SchoolIdentifier</t>
  </si>
  <si>
    <t>FundingCycle</t>
  </si>
  <si>
    <t>ApplicationCode</t>
  </si>
  <si>
    <t>CustomerAgreementDate</t>
  </si>
  <si>
    <t>ProjectCompletionDate</t>
  </si>
  <si>
    <t>AuthorizedSignatureDate</t>
  </si>
  <si>
    <t>ExAnteFirstYearGrossBTU</t>
  </si>
  <si>
    <t>ExAnteGrossMeasureCost</t>
  </si>
  <si>
    <t>ExAnteGrossMeasureCost_ER</t>
  </si>
  <si>
    <t>ExAnteGrossIncentive</t>
  </si>
  <si>
    <t>MeasImpactType</t>
  </si>
  <si>
    <t>WaterOnly_Flag</t>
  </si>
  <si>
    <t>FinancingPrgID</t>
  </si>
  <si>
    <t>MarketEffectsCosts</t>
  </si>
  <si>
    <t>RateScheduleElec</t>
  </si>
  <si>
    <t>RateScheduleGas</t>
  </si>
  <si>
    <t>UseSubCategory</t>
  </si>
  <si>
    <t>TechType</t>
  </si>
  <si>
    <t>MeasInflation</t>
  </si>
  <si>
    <t>Revised_Flag</t>
  </si>
  <si>
    <t>Comments</t>
  </si>
  <si>
    <t>UseCategory</t>
  </si>
  <si>
    <t>TechGroup</t>
  </si>
  <si>
    <t>PreDesc</t>
  </si>
  <si>
    <t>StdDesc</t>
  </si>
  <si>
    <t>ContactID</t>
  </si>
  <si>
    <t>ContactType</t>
  </si>
  <si>
    <t>ContactName</t>
  </si>
  <si>
    <t>ContactPhoneNumber</t>
  </si>
  <si>
    <t>ContactPhoneExtension</t>
  </si>
  <si>
    <t>ContactPhoneType</t>
  </si>
  <si>
    <t>ContactPhoneNumberAlt</t>
  </si>
  <si>
    <t>ContactPhoneExtensionAlt</t>
  </si>
  <si>
    <t>ContactPhoneTypeAlt</t>
  </si>
  <si>
    <t>ContactEmail</t>
  </si>
  <si>
    <t>SiteCity</t>
  </si>
  <si>
    <t>SiteState</t>
  </si>
  <si>
    <t>SiteZipCode</t>
  </si>
  <si>
    <t>NAICSCode</t>
  </si>
  <si>
    <t>SiteAddress</t>
  </si>
  <si>
    <t>SiteUnitNumber</t>
  </si>
  <si>
    <t>ServiceAccountID</t>
  </si>
  <si>
    <t>ServiceAccountName</t>
  </si>
  <si>
    <t>SBW_ProjID</t>
  </si>
  <si>
    <t>domain</t>
  </si>
  <si>
    <t>stratum_kWh</t>
  </si>
  <si>
    <t>stratum_thm</t>
  </si>
  <si>
    <t>sampled_kWh</t>
  </si>
  <si>
    <t>sampled_thm</t>
  </si>
  <si>
    <t>smpld_primary</t>
  </si>
  <si>
    <t>smpld_net_kWh</t>
  </si>
  <si>
    <t>smpld_net_thm</t>
  </si>
  <si>
    <t>smpld_net</t>
  </si>
  <si>
    <t>i_Residential_Flag</t>
  </si>
  <si>
    <t>ExAnteWaterGallons</t>
  </si>
  <si>
    <t>ExAnteWaterTherm</t>
  </si>
  <si>
    <t>ExAnteWaterIouKwh</t>
  </si>
  <si>
    <t>ExAnteWaterNonIouKwh</t>
  </si>
  <si>
    <t>CM_MeasAppType</t>
  </si>
  <si>
    <t>CM_Comments</t>
  </si>
  <si>
    <t>PrimarySector</t>
  </si>
  <si>
    <t>Prg_Sector</t>
  </si>
  <si>
    <t>ProgramImplementer</t>
  </si>
  <si>
    <t>ProgramCategory</t>
  </si>
  <si>
    <t>StatewideProgram</t>
  </si>
  <si>
    <t>ImplementationContractor</t>
  </si>
  <si>
    <t>ProgramManager</t>
  </si>
  <si>
    <t>StartYear</t>
  </si>
  <si>
    <t>EndYear</t>
  </si>
  <si>
    <t>Resource_Flag</t>
  </si>
  <si>
    <t>NonResource_Flag</t>
  </si>
  <si>
    <t>Deemed_Flag</t>
  </si>
  <si>
    <t>Custom_Flag</t>
  </si>
  <si>
    <t>Prg_Upstream_Flag</t>
  </si>
  <si>
    <t>Midstream_Flag</t>
  </si>
  <si>
    <t>Downstream_Flag</t>
  </si>
  <si>
    <t>DirectInstall</t>
  </si>
  <si>
    <t>Audit_Flag</t>
  </si>
  <si>
    <t>Financing</t>
  </si>
  <si>
    <t>ParentProgram</t>
  </si>
  <si>
    <t>Exclude_From_Budget</t>
  </si>
  <si>
    <t>Exclude_From_CE</t>
  </si>
  <si>
    <t>SBW_Sector</t>
  </si>
  <si>
    <t>SBW_InstallYr</t>
  </si>
  <si>
    <t>SBW_InstallInClaimYr</t>
  </si>
  <si>
    <t>SBW_ImpactType</t>
  </si>
  <si>
    <t>Study</t>
  </si>
  <si>
    <t>Sampled</t>
  </si>
  <si>
    <t>SampleOrder</t>
  </si>
  <si>
    <t>Treatment</t>
  </si>
  <si>
    <t>Pretest</t>
  </si>
  <si>
    <t>EvalMsrData</t>
  </si>
  <si>
    <t>EvalMeasID</t>
  </si>
  <si>
    <t>SampledAny</t>
  </si>
  <si>
    <t>CustomerAgreementDate_Eval</t>
  </si>
  <si>
    <t>InstallationDate_Eval</t>
  </si>
  <si>
    <t>InstallDeadline</t>
  </si>
  <si>
    <t>InstallDeadline_MV</t>
  </si>
  <si>
    <t>EquipOrderCheck</t>
  </si>
  <si>
    <t>InstallationTimeLimit</t>
  </si>
  <si>
    <t>PaymentDateCheck</t>
  </si>
  <si>
    <t>PartialClaimCheck</t>
  </si>
  <si>
    <t>PartialClaimDesc</t>
  </si>
  <si>
    <t>FuelSubTest</t>
  </si>
  <si>
    <t>CogenImpact</t>
  </si>
  <si>
    <t>LikeforLike</t>
  </si>
  <si>
    <t>PermitsObtained</t>
  </si>
  <si>
    <t>ExistingEquipRemoved</t>
  </si>
  <si>
    <t>SBDclaim</t>
  </si>
  <si>
    <t>SBDcheck1</t>
  </si>
  <si>
    <t>SBDcheck2</t>
  </si>
  <si>
    <t>DecisionProcess</t>
  </si>
  <si>
    <t>ProjectInitiated</t>
  </si>
  <si>
    <t>MeasuresIdentifiedDesc</t>
  </si>
  <si>
    <t>AlternativeOptions</t>
  </si>
  <si>
    <t>SavingsProvided</t>
  </si>
  <si>
    <t>NonEnergyBenefits</t>
  </si>
  <si>
    <t>ProgramInfulence</t>
  </si>
  <si>
    <t>PaybackCriteria</t>
  </si>
  <si>
    <t>CorporatePolicies</t>
  </si>
  <si>
    <t>OtherInfluencesDesc</t>
  </si>
  <si>
    <t>FinalEligibilityDecision</t>
  </si>
  <si>
    <t>FinalEvalDecision</t>
  </si>
  <si>
    <t>EligibilityComments_Prelim</t>
  </si>
  <si>
    <t>EligibilityComments</t>
  </si>
  <si>
    <t>SiteAddress_Eval</t>
  </si>
  <si>
    <t>SiteUnitNumber_Eval</t>
  </si>
  <si>
    <t>SiteCity_Eval</t>
  </si>
  <si>
    <t>SiteZipCode_Eval</t>
  </si>
  <si>
    <t>Contact2Type</t>
  </si>
  <si>
    <t>Contact2Name</t>
  </si>
  <si>
    <t>Contact2PhoneNumber</t>
  </si>
  <si>
    <t>Contact2PhoneType</t>
  </si>
  <si>
    <t>Contact2PhoneNumberAlt</t>
  </si>
  <si>
    <t>Contact2Email</t>
  </si>
  <si>
    <t>ContactType_Recruit</t>
  </si>
  <si>
    <t>ContactName_Recruit</t>
  </si>
  <si>
    <t>ContactPhoneNumber_Recruit</t>
  </si>
  <si>
    <t>ContactPhoneType_Recruit</t>
  </si>
  <si>
    <t>ContactPhoneNumberAlt_Recruit</t>
  </si>
  <si>
    <t>ContactEmail_Recruit</t>
  </si>
  <si>
    <t>ContactType_OS</t>
  </si>
  <si>
    <t>ContactName_OS</t>
  </si>
  <si>
    <t>ContactPhoneNumber_OS</t>
  </si>
  <si>
    <t>ContactPhoneType_OS</t>
  </si>
  <si>
    <t>ContactPhoneNumberAlt_OS</t>
  </si>
  <si>
    <t>ContactEmail_OS</t>
  </si>
  <si>
    <t>ContactType_DM1</t>
  </si>
  <si>
    <t>ContactName_DM1</t>
  </si>
  <si>
    <t>ContactPhoneNumber_DM1</t>
  </si>
  <si>
    <t>ContactPhoneType_DM1</t>
  </si>
  <si>
    <t>ContactPhoneNumberAlt_DM1</t>
  </si>
  <si>
    <t>ContactEmail_DM1</t>
  </si>
  <si>
    <t>ContactType_DM2</t>
  </si>
  <si>
    <t>ContactName_DM2</t>
  </si>
  <si>
    <t>ContactPhoneNumber_DM2</t>
  </si>
  <si>
    <t>ContactPhoneType_DM2</t>
  </si>
  <si>
    <t>ContactPhoneNumberAlt_DM2</t>
  </si>
  <si>
    <t>ContactEmail_DM2</t>
  </si>
  <si>
    <t>FreeRider</t>
  </si>
  <si>
    <t>HardToReach</t>
  </si>
  <si>
    <t>BaselineDef_Eval</t>
  </si>
  <si>
    <t>Baseline2Def_Eval</t>
  </si>
  <si>
    <t>CodeMet</t>
  </si>
  <si>
    <t>RegsMet</t>
  </si>
  <si>
    <t>ISPMet</t>
  </si>
  <si>
    <t>MeasureSector</t>
  </si>
  <si>
    <t>EvalMeasSys</t>
  </si>
  <si>
    <t>MeasureSystemType</t>
  </si>
  <si>
    <t>MeasDescription_Eval</t>
  </si>
  <si>
    <t>BldgLoc_Eval</t>
  </si>
  <si>
    <t>ModelType</t>
  </si>
  <si>
    <t>CM_MeasAppType_Eval</t>
  </si>
  <si>
    <t>ClaimBaselineType</t>
  </si>
  <si>
    <t>AR_Evidence</t>
  </si>
  <si>
    <t>AR_Evidence_Other</t>
  </si>
  <si>
    <t>NonStdRULExplanation</t>
  </si>
  <si>
    <t>NTGID_DataRequest</t>
  </si>
  <si>
    <t>EULID_DataRequest</t>
  </si>
  <si>
    <t>CalcGrosskW1stBaseline</t>
  </si>
  <si>
    <t>CalcGrosskWh1stBaseline</t>
  </si>
  <si>
    <t>CalcGrossTherm1stBaseline</t>
  </si>
  <si>
    <t>InitialRvwNotes</t>
  </si>
  <si>
    <t>TotalGrossIncentive_Eval</t>
  </si>
  <si>
    <t>SBD_OwnerIncentive</t>
  </si>
  <si>
    <t>SBD_DesignTeamIncentive</t>
  </si>
  <si>
    <t>IncentivesToOthers_Eval</t>
  </si>
  <si>
    <t>TotalGrossMeasureCost_Eval</t>
  </si>
  <si>
    <t>TotalGrossMeasureCost_ER_Eval</t>
  </si>
  <si>
    <t>DI_MaterialCost</t>
  </si>
  <si>
    <t>DI_LaborCost</t>
  </si>
  <si>
    <t>CalcGrosskW2ndBaseline</t>
  </si>
  <si>
    <t>CalcGrosskWh2ndBaseline</t>
  </si>
  <si>
    <t>CalcGrossTherm2ndBaseline</t>
  </si>
  <si>
    <t>EvalBase1kWReasons</t>
  </si>
  <si>
    <t>EvalBase1kWhReasons</t>
  </si>
  <si>
    <t>EvalBase1ThermReasons</t>
  </si>
  <si>
    <t>EvalBase2kWSvgs</t>
  </si>
  <si>
    <t>EvalBase2kWReasons</t>
  </si>
  <si>
    <t>EvalBase2kWhSvgs</t>
  </si>
  <si>
    <t>EvalBase2kWhReasons</t>
  </si>
  <si>
    <t>EvalBase2ThermSvgs</t>
  </si>
  <si>
    <t>EvalBase2ThermReasons</t>
  </si>
  <si>
    <t>WaterSvgsIncl</t>
  </si>
  <si>
    <t>WaterSvgs_Eval</t>
  </si>
  <si>
    <t>EvalFinalRvwNotes</t>
  </si>
  <si>
    <t>BillingDataReqQCDate</t>
  </si>
  <si>
    <t>AssignedSavingsAnalysis</t>
  </si>
  <si>
    <t>OpStaffName</t>
  </si>
  <si>
    <t>OpStaffEmail</t>
  </si>
  <si>
    <t>OpStaffPhone</t>
  </si>
  <si>
    <t>KeyDecisionMakerPhone1</t>
  </si>
  <si>
    <t>ContactPhoneNumber_Recruit_alt</t>
  </si>
  <si>
    <t>KeyDecisionMakerName1</t>
  </si>
  <si>
    <t>KeyDecisionMakerEmail1</t>
  </si>
  <si>
    <t>SBDOwnerName</t>
  </si>
  <si>
    <t>SBDOwnerPhone</t>
  </si>
  <si>
    <t>SBDOwnerEmail</t>
  </si>
  <si>
    <t>ContactEmail_Recruit_alt</t>
  </si>
  <si>
    <t>ContactPhoneNumberAlt_Recruit_alt</t>
  </si>
  <si>
    <t>KeyDecisionMakerName3</t>
  </si>
  <si>
    <t>KeyDecisionMakerName2</t>
  </si>
  <si>
    <t>KeyDecisionMakerPhone2</t>
  </si>
  <si>
    <t>ContactName_Recruit_alt</t>
  </si>
  <si>
    <t>SBDDesignTeamName</t>
  </si>
  <si>
    <t>KeyDecisionMakerEmail2</t>
  </si>
  <si>
    <t>KeyDecisionMakerEmail3</t>
  </si>
  <si>
    <t>ContactPhoneType_Recruit_alt</t>
  </si>
  <si>
    <t>SBDDesignTeamEmail</t>
  </si>
  <si>
    <t>KeyDecisionMakerPhone3</t>
  </si>
  <si>
    <t>ContactType_Recruit_alt</t>
  </si>
  <si>
    <t>SBDDesignTeamPhone</t>
  </si>
  <si>
    <t>NetTrack</t>
  </si>
  <si>
    <t>RepName</t>
  </si>
  <si>
    <t>RepMobile</t>
  </si>
  <si>
    <t>RepEmail</t>
  </si>
  <si>
    <t>RepPhone</t>
  </si>
  <si>
    <t>arupdate</t>
  </si>
  <si>
    <t>AnalysisPlanningDesc</t>
  </si>
  <si>
    <t>IPMVP_Approach</t>
  </si>
  <si>
    <t>EvalAnalysis</t>
  </si>
  <si>
    <t>SiteVisitNeeded</t>
  </si>
  <si>
    <t>WeatherDataNeeded</t>
  </si>
  <si>
    <t>BillingOrAMIDataNeeded</t>
  </si>
  <si>
    <t>AnalysisNotes</t>
  </si>
  <si>
    <t>customclaim</t>
  </si>
  <si>
    <t>case_id</t>
  </si>
  <si>
    <t>intro1</t>
  </si>
  <si>
    <t>obf</t>
  </si>
  <si>
    <t>intro2</t>
  </si>
  <si>
    <t>intro3_name</t>
  </si>
  <si>
    <t>intro3_phone</t>
  </si>
  <si>
    <t>intro3_email</t>
  </si>
  <si>
    <t>intro3_role</t>
  </si>
  <si>
    <t>intro3_department</t>
  </si>
  <si>
    <t>intro4</t>
  </si>
  <si>
    <t>intro4_other</t>
  </si>
  <si>
    <t>v1</t>
  </si>
  <si>
    <t>v1a_01</t>
  </si>
  <si>
    <t>v1a_02</t>
  </si>
  <si>
    <t>v1a_03</t>
  </si>
  <si>
    <t>v2</t>
  </si>
  <si>
    <t>v2_other</t>
  </si>
  <si>
    <t>v2a</t>
  </si>
  <si>
    <t>v2aa</t>
  </si>
  <si>
    <t>v2b</t>
  </si>
  <si>
    <t>v3</t>
  </si>
  <si>
    <t>v4</t>
  </si>
  <si>
    <t>v4a</t>
  </si>
  <si>
    <t>v4b</t>
  </si>
  <si>
    <t>v40</t>
  </si>
  <si>
    <t>ap9</t>
  </si>
  <si>
    <t>ap9_other</t>
  </si>
  <si>
    <t>ap9a_01</t>
  </si>
  <si>
    <t>ap9a_02</t>
  </si>
  <si>
    <t>ap9a_03</t>
  </si>
  <si>
    <t>ap9a_04</t>
  </si>
  <si>
    <t>ap9a_05</t>
  </si>
  <si>
    <t>ap9a_06</t>
  </si>
  <si>
    <t>ap9a_07</t>
  </si>
  <si>
    <t>ap9a_08</t>
  </si>
  <si>
    <t>ap9a_09</t>
  </si>
  <si>
    <t>ap9a_10</t>
  </si>
  <si>
    <t>ap9a_11</t>
  </si>
  <si>
    <t>ap9a_12</t>
  </si>
  <si>
    <t>ap9a_13</t>
  </si>
  <si>
    <t>ap9a_14</t>
  </si>
  <si>
    <t>ap9a_15</t>
  </si>
  <si>
    <t>ap9a_other</t>
  </si>
  <si>
    <t>n33</t>
  </si>
  <si>
    <t>n33name</t>
  </si>
  <si>
    <t>n33a_01</t>
  </si>
  <si>
    <t>n33a_02</t>
  </si>
  <si>
    <t>n33aemail</t>
  </si>
  <si>
    <t>n33aphone</t>
  </si>
  <si>
    <t>c4</t>
  </si>
  <si>
    <t>c4_response</t>
  </si>
  <si>
    <t>c5</t>
  </si>
  <si>
    <t>c5_response</t>
  </si>
  <si>
    <t>c6</t>
  </si>
  <si>
    <t>a1a</t>
  </si>
  <si>
    <t>a1a_response</t>
  </si>
  <si>
    <t>a2a</t>
  </si>
  <si>
    <t>a2a_response</t>
  </si>
  <si>
    <t>a2b_01</t>
  </si>
  <si>
    <t>a2b_02</t>
  </si>
  <si>
    <t>a2b_03</t>
  </si>
  <si>
    <t>a2b_other</t>
  </si>
  <si>
    <t>a2bb_01</t>
  </si>
  <si>
    <t>a2bb_02</t>
  </si>
  <si>
    <t>a2bb_03</t>
  </si>
  <si>
    <t>a2bbname</t>
  </si>
  <si>
    <t>a2bbemail</t>
  </si>
  <si>
    <t>a2bbphone</t>
  </si>
  <si>
    <t>a3</t>
  </si>
  <si>
    <t>a4</t>
  </si>
  <si>
    <t>a4_response</t>
  </si>
  <si>
    <t>a4a</t>
  </si>
  <si>
    <t>a4a_response</t>
  </si>
  <si>
    <t>a1b</t>
  </si>
  <si>
    <t>a1c</t>
  </si>
  <si>
    <t>pp1</t>
  </si>
  <si>
    <t>pp1_response</t>
  </si>
  <si>
    <t>pp2</t>
  </si>
  <si>
    <t>pp2_response</t>
  </si>
  <si>
    <t>pp4</t>
  </si>
  <si>
    <t>pp5</t>
  </si>
  <si>
    <t>pp5_response</t>
  </si>
  <si>
    <t>lt2</t>
  </si>
  <si>
    <t>lt3</t>
  </si>
  <si>
    <t>ca6_01</t>
  </si>
  <si>
    <t>ca6_02</t>
  </si>
  <si>
    <t>ca6_03</t>
  </si>
  <si>
    <t>ca6_04</t>
  </si>
  <si>
    <t>ca6_05</t>
  </si>
  <si>
    <t>ca6_06</t>
  </si>
  <si>
    <t>ca6_07</t>
  </si>
  <si>
    <t>ca6_08</t>
  </si>
  <si>
    <t>ca6_09</t>
  </si>
  <si>
    <t>ca6_other</t>
  </si>
  <si>
    <t>lt6</t>
  </si>
  <si>
    <t>lt6_response</t>
  </si>
  <si>
    <t>lt7</t>
  </si>
  <si>
    <t>lt7_response</t>
  </si>
  <si>
    <t>lt8</t>
  </si>
  <si>
    <t>cc12a</t>
  </si>
  <si>
    <t>cc12b</t>
  </si>
  <si>
    <t>co</t>
  </si>
  <si>
    <t>ccc1</t>
  </si>
  <si>
    <t>ccc3</t>
  </si>
  <si>
    <t>c1</t>
  </si>
  <si>
    <t>c1_response</t>
  </si>
  <si>
    <t>c2</t>
  </si>
  <si>
    <t>c3</t>
  </si>
  <si>
    <t>c3a</t>
  </si>
  <si>
    <t>vendor_name_1</t>
  </si>
  <si>
    <t>vendor_details_1</t>
  </si>
  <si>
    <t>vendor_name_2</t>
  </si>
  <si>
    <t>vendor_details_2</t>
  </si>
  <si>
    <t>vendor_name_3</t>
  </si>
  <si>
    <t>vendor_details_3</t>
  </si>
  <si>
    <t>rigor</t>
  </si>
  <si>
    <t>meas1</t>
  </si>
  <si>
    <t>meas2</t>
  </si>
  <si>
    <t>meas3</t>
  </si>
  <si>
    <t>multimeas</t>
  </si>
  <si>
    <t>multiaddr</t>
  </si>
  <si>
    <t>sector</t>
  </si>
  <si>
    <t>sbw_projid</t>
  </si>
  <si>
    <t>RigorkWh</t>
  </si>
  <si>
    <t>RigorTherm</t>
  </si>
  <si>
    <t>AssignedFirm</t>
  </si>
  <si>
    <t>QCEng</t>
  </si>
  <si>
    <t>ReviewStaff</t>
  </si>
  <si>
    <t>ProgramType</t>
  </si>
  <si>
    <t>RecruitDate</t>
  </si>
  <si>
    <t>DropDate1</t>
  </si>
  <si>
    <t>DropReason1</t>
  </si>
  <si>
    <t>SuppDataReqNeeded</t>
  </si>
  <si>
    <t>SuppDataReqDate</t>
  </si>
  <si>
    <t>SuppDataReqUpload</t>
  </si>
  <si>
    <t>SuppDataReqResponse</t>
  </si>
  <si>
    <t>FileReviewQCReadyDate</t>
  </si>
  <si>
    <t>FileReviewComplDate</t>
  </si>
  <si>
    <t>FileRevCompleteDate</t>
  </si>
  <si>
    <t>MV_QC_Date</t>
  </si>
  <si>
    <t>MV_CompletionDate</t>
  </si>
  <si>
    <t>BillingDataReqNeeded</t>
  </si>
  <si>
    <t>BillingDataRequested</t>
  </si>
  <si>
    <t>BillingDataReceived</t>
  </si>
  <si>
    <t>MeteringEquipNeeded</t>
  </si>
  <si>
    <t>EquipReqDate</t>
  </si>
  <si>
    <t>EquipShip</t>
  </si>
  <si>
    <t>OpStaffSurveyNeeded</t>
  </si>
  <si>
    <t>OpStaffSurveyDate</t>
  </si>
  <si>
    <t>AMIDataReqNeeded</t>
  </si>
  <si>
    <t>AMIDataReqDate</t>
  </si>
  <si>
    <t>MeterDataReqested</t>
  </si>
  <si>
    <t>MeterDataReceived</t>
  </si>
  <si>
    <t>MV_EXEComplDate</t>
  </si>
  <si>
    <t>DataCollectComplDate</t>
  </si>
  <si>
    <t>DropDate2</t>
  </si>
  <si>
    <t>DropReason2</t>
  </si>
  <si>
    <t>DataCollectionComplDate</t>
  </si>
  <si>
    <t>SavingsAnalysisComplQC</t>
  </si>
  <si>
    <t>ProjComplDate</t>
  </si>
  <si>
    <t>DropDate3</t>
  </si>
  <si>
    <t>DropReason3</t>
  </si>
  <si>
    <t>ReviewHours</t>
  </si>
  <si>
    <t>TotalHoursTarget</t>
  </si>
  <si>
    <t>HoursTargetMet</t>
  </si>
  <si>
    <t>HoursTargetReason</t>
  </si>
  <si>
    <t>GrossTrackAssign</t>
  </si>
  <si>
    <t>GrossTrack</t>
  </si>
  <si>
    <t>NetTrackAssign</t>
  </si>
  <si>
    <t>NetSurveyComplDate</t>
  </si>
  <si>
    <t>SurveyAddReview</t>
  </si>
  <si>
    <t>SurveyAddRecruit</t>
  </si>
  <si>
    <t>revieweremail_f</t>
  </si>
  <si>
    <t>revieweremail</t>
  </si>
  <si>
    <t>ClaimPop</t>
  </si>
  <si>
    <t>Z:\Favorites\CPUC10 (Group D - Custom EM&amp;V)\8 PII\11 - Draft and Final Evaluation Reports\CIAC2018\Data\claimpop.csv</t>
  </si>
  <si>
    <t>join of claim and custom measure limited to GroupD claims</t>
  </si>
  <si>
    <t>Z:\Favorites\CPUC10 (Group D - Custom EM&amp;V)\8 PII\11 - Draft and Final Evaluation Reports\CIAC2018\Data\customclaim_grpD.csv</t>
  </si>
  <si>
    <t>SiteLocation</t>
  </si>
  <si>
    <t>RootPath</t>
  </si>
  <si>
    <t>Zpath</t>
  </si>
  <si>
    <t>SpecialtyReq</t>
  </si>
  <si>
    <t>CalcType</t>
  </si>
  <si>
    <t>AddtlNotes</t>
  </si>
  <si>
    <t>Status_FileDownload</t>
  </si>
  <si>
    <t>Status_FileReview</t>
  </si>
  <si>
    <t>Status_DataCollection</t>
  </si>
  <si>
    <t>Status_Final</t>
  </si>
  <si>
    <t>E3TargetSector_Eval</t>
  </si>
  <si>
    <t>E3MeaElecEndUseShape_Eval</t>
  </si>
  <si>
    <t>E3GasSector_Eval</t>
  </si>
  <si>
    <t>E3GasSavProfile_Eval</t>
  </si>
  <si>
    <t>GrossElectricReplacement</t>
  </si>
  <si>
    <t>GrossGasReplacement</t>
  </si>
  <si>
    <t>NetAddOnElecPrimary</t>
  </si>
  <si>
    <t>NetAddOnGasPrimary</t>
  </si>
  <si>
    <t>NetAddOnElecReplacement</t>
  </si>
  <si>
    <t>NetAddOnGasReplacement</t>
  </si>
  <si>
    <t>EvalEUL</t>
  </si>
  <si>
    <t>EvalRUL</t>
  </si>
  <si>
    <t>subsample</t>
  </si>
  <si>
    <t>cumsum</t>
  </si>
  <si>
    <t>random</t>
  </si>
  <si>
    <t>running_pct_kwh</t>
  </si>
  <si>
    <t>certaintykwh</t>
  </si>
  <si>
    <t>poolkwh</t>
  </si>
  <si>
    <t>Sampled_kwh</t>
  </si>
  <si>
    <t>running_pct_thm</t>
  </si>
  <si>
    <t>certaintythm</t>
  </si>
  <si>
    <t>poolthm</t>
  </si>
  <si>
    <t>Sampled_thm</t>
  </si>
  <si>
    <t>Sampled_any</t>
  </si>
  <si>
    <t>eqnsection</t>
  </si>
  <si>
    <t>ExAnteBase1kWSvgs</t>
  </si>
  <si>
    <t>ExAnteBase1kWhSvgs</t>
  </si>
  <si>
    <t>ExAnteBase1ThermSvgs</t>
  </si>
  <si>
    <t>ExAnteBase2kWSvgs</t>
  </si>
  <si>
    <t>ExAnteBase2kWhSvgs</t>
  </si>
  <si>
    <t>ExAnteBase2ThermSvgs</t>
  </si>
  <si>
    <t>calc_1</t>
  </si>
  <si>
    <t>EvalEUL_Yrs</t>
  </si>
  <si>
    <t>EvalRUL_Yrs</t>
  </si>
  <si>
    <t>EvalMeasAppType</t>
  </si>
  <si>
    <t>RawEvalMeasAppType</t>
  </si>
  <si>
    <t>Use claim app type if it wasn't sampled</t>
  </si>
  <si>
    <t>remap ER to AR</t>
  </si>
  <si>
    <t>'AR'</t>
  </si>
  <si>
    <t>agg_group</t>
  </si>
  <si>
    <t>agg_filter</t>
  </si>
  <si>
    <t>agg_field</t>
  </si>
  <si>
    <t>aggsection</t>
  </si>
  <si>
    <t>subsample_weight_kwh</t>
  </si>
  <si>
    <t>subsample_weight_thm</t>
  </si>
  <si>
    <t>copy_field</t>
  </si>
  <si>
    <t>np_where</t>
  </si>
  <si>
    <t>ss_stratum_kwh</t>
  </si>
  <si>
    <t>ss_stratum_thm</t>
  </si>
  <si>
    <t>strkwh_pop_count</t>
  </si>
  <si>
    <t>strthm_smp_count</t>
  </si>
  <si>
    <t>strkwh_smp_count</t>
  </si>
  <si>
    <t>strthm_pop_count</t>
  </si>
  <si>
    <t>agg_function</t>
  </si>
  <si>
    <t>sum, sum</t>
  </si>
  <si>
    <t>count</t>
  </si>
  <si>
    <t>/</t>
  </si>
  <si>
    <t>agg_reducer</t>
  </si>
  <si>
    <t>sum</t>
  </si>
  <si>
    <t>SamplePop</t>
  </si>
  <si>
    <t>Z:\Favorites\CPUC10 (Group D - Custom EM&amp;V)\8 PII\11 - Draft and Final Evaluation Reports\CIAC2018\Data\samplepop.csv</t>
  </si>
  <si>
    <t>adj_unwtd_kw_ntgr</t>
  </si>
  <si>
    <t>adj_unwtd_kwh_ntgr</t>
  </si>
  <si>
    <t>adj_unwtd_thm_ntgr</t>
  </si>
  <si>
    <t>ss_ExPostLifecycleGrosskW</t>
  </si>
  <si>
    <t>ss_ExPostLifecycleGrosskWh</t>
  </si>
  <si>
    <t>ss_ExPostLifecycleGrossthm</t>
  </si>
  <si>
    <t>ss_annual_gross_kw</t>
  </si>
  <si>
    <t>ss_annual_gross_kwh</t>
  </si>
  <si>
    <t>ss_annual_gross_thm</t>
  </si>
  <si>
    <t>ss_ExPostLifecycleNetkW</t>
  </si>
  <si>
    <t>ss_ExPostLifecycleNetkWh</t>
  </si>
  <si>
    <t>ss_ExPostLifecycleNetthm</t>
  </si>
  <si>
    <t>ss_wtd_EvalLifeCycleNTGRkW</t>
  </si>
  <si>
    <t>ss_wtd_EvalLifeCycleNTGRkWh</t>
  </si>
  <si>
    <t>ss_wtd_EvalLifeCycleNTGRthm</t>
  </si>
  <si>
    <t>mean_ntgr_kw</t>
  </si>
  <si>
    <t>mean_ntgr_kwh</t>
  </si>
  <si>
    <t>mean_ntgr_thm</t>
  </si>
  <si>
    <t>sum, max</t>
  </si>
  <si>
    <t>*</t>
  </si>
  <si>
    <t>trash</t>
  </si>
  <si>
    <t>isAR</t>
  </si>
  <si>
    <t>kwhnettrue</t>
  </si>
  <si>
    <t>kwhnetfalse</t>
  </si>
  <si>
    <t>project_pop</t>
  </si>
  <si>
    <t>skip</t>
  </si>
  <si>
    <t>x</t>
  </si>
  <si>
    <t>str_wt_ExPost_annualized_gross_kw</t>
  </si>
  <si>
    <t>str_wt_ExPost_annualized_gross_kwh</t>
  </si>
  <si>
    <t>str_wt_ExPost_annualized_gross_thm</t>
  </si>
  <si>
    <t>ExAnte_Annualized_kW</t>
  </si>
  <si>
    <t>ExAnte_Annualized_thm</t>
  </si>
  <si>
    <t>ExAnte_Annualized_kWh</t>
  </si>
  <si>
    <t>str_wt_ExAnte_annualized_gross_kw</t>
  </si>
  <si>
    <t>str_wt_ExAnte_annualized_gross_thm</t>
  </si>
  <si>
    <t>str_wt_ExAnte_annualized_gross_kwh</t>
  </si>
  <si>
    <t>max, max</t>
  </si>
  <si>
    <t>EvalEULID</t>
  </si>
  <si>
    <t>EvalExPostAnnualizedGrosskW</t>
  </si>
  <si>
    <t>EvalExPostAnnualizedGrosskWh</t>
  </si>
  <si>
    <t>EvalExPostAnnualizedGrossTherm</t>
  </si>
  <si>
    <t>max</t>
  </si>
  <si>
    <t>strkwh_smp_count_prelim</t>
  </si>
  <si>
    <t>strthm_smp_count_prelim</t>
  </si>
  <si>
    <t>ss_Incentive</t>
  </si>
  <si>
    <t>agg_imd_group</t>
  </si>
  <si>
    <t>agg_imd_function</t>
  </si>
  <si>
    <t>EvalExPostAnnualizedNetkW</t>
  </si>
  <si>
    <t>EvalExPostAnnualizedNetTherm</t>
  </si>
  <si>
    <t>EvalExPostAnnualizedNetkWh</t>
  </si>
  <si>
    <t>ss_wtd_Claim_EUL_kwh</t>
  </si>
  <si>
    <t>ss_wtd_Claim_EUL_thm</t>
  </si>
  <si>
    <t>ss_wtd_Eval_EUL_kwh</t>
  </si>
  <si>
    <t>ss_wtd_Eval_EUL_thm</t>
  </si>
  <si>
    <t>ss_EUL_kwh_rr</t>
  </si>
  <si>
    <t>ss_EUL_thm_rr</t>
  </si>
  <si>
    <t>prj_EvalEUL_Yrs_kwh</t>
  </si>
  <si>
    <t>prj_EvalEUL_Yrs_thm</t>
  </si>
  <si>
    <t>ss_wtd_Claim_Incentive_kwh</t>
  </si>
  <si>
    <t>ss_wtd_Claim_Incentive_thm</t>
  </si>
  <si>
    <t>ss_wtd_Eval_Incentive_kwh</t>
  </si>
  <si>
    <t>ss_wtd_Eval_Incentive_thm</t>
  </si>
  <si>
    <t>ss_Incentive_kwh_rr</t>
  </si>
  <si>
    <t>ss_Incentive_thm_rr</t>
  </si>
  <si>
    <t>prj_EvalIncentive_kwh</t>
  </si>
  <si>
    <t>prj_EvalIncentive_thm</t>
  </si>
  <si>
    <t>ss_wtd_Claim_1stBaselineCost_kwh</t>
  </si>
  <si>
    <t>ss_wtd_Claim_1stBaselineCost_thm</t>
  </si>
  <si>
    <t>ss_wtd_Eval_1stBaselineCost_kwh</t>
  </si>
  <si>
    <t>ss_wtd_Eval_1stBaselineCost_thm</t>
  </si>
  <si>
    <t>ss_1stBaselineCost_kwh_rr</t>
  </si>
  <si>
    <t>ss_1stBaselineCost_thm_rr</t>
  </si>
  <si>
    <t>prj_Eval1stBaselineCost_kwh</t>
  </si>
  <si>
    <t>prj_Eval1stBaselineCost_thm</t>
  </si>
  <si>
    <t>ss_wtd_Claim_2ndBaselineCost_kwh</t>
  </si>
  <si>
    <t>ss_wtd_Claim_2ndBaselineCost_thm</t>
  </si>
  <si>
    <t>ss_wtd_Eval_2ndBaselineCost_kwh</t>
  </si>
  <si>
    <t>ss_wtd_Eval_2ndBaselineCost_thm</t>
  </si>
  <si>
    <t>ss_2ndBaselineCost_kwh_rr</t>
  </si>
  <si>
    <t>ss_2ndBaselineCost_thm_rr</t>
  </si>
  <si>
    <t>prj_Eval2ndBaselineCost_kwh</t>
  </si>
  <si>
    <t>prj_Eval2ndBaselineCost_thm</t>
  </si>
  <si>
    <t>prj_EvalExPostAnnualizedNetkW</t>
  </si>
  <si>
    <t>prj_EvalExPostAnnualizedNetthm</t>
  </si>
  <si>
    <t>prj_EvalExPostAnnualizedNetkWh</t>
  </si>
  <si>
    <t>prj_EvalNTGR_kW</t>
  </si>
  <si>
    <t>prj_EvalNTGR_thm</t>
  </si>
  <si>
    <t>prj_EvalNTGR_kWh</t>
  </si>
  <si>
    <t>fuel mismatch</t>
  </si>
  <si>
    <t>Eval_ExPostLifecycleGrosskW</t>
  </si>
  <si>
    <t>Eval_ExPostLifecycleGrossTherm</t>
  </si>
  <si>
    <t>Eval_ExPostLifecycleGrosskWh</t>
  </si>
  <si>
    <t>EvalExPostLifeCycleGrosskW</t>
  </si>
  <si>
    <t>EvalExPostLifeCycleGrossTherm</t>
  </si>
  <si>
    <t>EvalExPostLifeCycleGrosskWh</t>
  </si>
  <si>
    <t>EvalExPostLifeCycleNetkW</t>
  </si>
  <si>
    <t>EvalExPostLifeCycleNetTherm</t>
  </si>
  <si>
    <t>EvalExPostLifeCycleNetkWh</t>
  </si>
  <si>
    <t>Eval_ExPostLifecycleNetkW</t>
  </si>
  <si>
    <t>Eval_ExPostLifecycleNetkWh</t>
  </si>
  <si>
    <t>Eval_ExPostLifecycleNetTherm</t>
  </si>
  <si>
    <t>EvalIncentive_kWh</t>
  </si>
  <si>
    <t>EvalIncentive_Therm</t>
  </si>
  <si>
    <t>Eval1stBaselineCost_kWh</t>
  </si>
  <si>
    <t>Eval1stBaselineCost_Therm</t>
  </si>
  <si>
    <t>Eval2ndBaselineCost_kWh</t>
  </si>
  <si>
    <t>Eval2ndBaselineCost_Therm</t>
  </si>
  <si>
    <t>EvalActual_kw</t>
  </si>
  <si>
    <t>EvalActual_kwh</t>
  </si>
  <si>
    <t>EvalActual_thm</t>
  </si>
  <si>
    <t>ClaimpopTest</t>
  </si>
  <si>
    <t>Z:\Favorites\CPUC10 (Group D - Custom EM&amp;V)\8 PII\11 - Draft and Final Evaluation Reports\CIAC2018\Data\claimpop_test.csv</t>
  </si>
  <si>
    <t>samplepopTest</t>
  </si>
  <si>
    <t>Z:\Favorites\CPUC10 (Group D - Custom EM&amp;V)\8 PII\11 - Draft and Final Evaluation Reports\CIAC2018\Data\samplepop_test.csv</t>
  </si>
  <si>
    <t>subsample_weight</t>
  </si>
  <si>
    <t>ExAnte_Annualized_rradj_kW</t>
  </si>
  <si>
    <t>ExAnte_Annualized_rradj_kWh</t>
  </si>
  <si>
    <t>ExAnte_Annualized_rradj_thm</t>
  </si>
  <si>
    <t>ExAnte_Annualized_Net_rradj_kW</t>
  </si>
  <si>
    <t>ExAnte_Annualized_Net_rradj_kWh</t>
  </si>
  <si>
    <t>ExAnte_Annualized_Net_rradj_thm</t>
  </si>
  <si>
    <t>ProjectDropped</t>
  </si>
  <si>
    <t>Z:\Favorites\CPUC10 (Group D - Custom EM&amp;V)\4 Deliverables\09 - Ex-Post Evaluated Gross Savings Estimates\CIAC\2018 Evaluation\Extrapolation\strat_bounds_for_Gina.csv</t>
  </si>
  <si>
    <t>framedesign</t>
  </si>
  <si>
    <t>frame</t>
  </si>
  <si>
    <t>stratum</t>
  </si>
  <si>
    <t>n</t>
  </si>
  <si>
    <t>pop</t>
  </si>
  <si>
    <t>lower</t>
  </si>
  <si>
    <t>upper</t>
  </si>
  <si>
    <t>tot_LCNet</t>
  </si>
  <si>
    <t>framedesign_kwh</t>
  </si>
  <si>
    <t>Z:\Favorites\CPUC10 (Group D - Custom EM&amp;V)\8 PII\11 - Draft and Final Evaluation Reports\CIAC2018\Data\framedesign_kwh.csv</t>
  </si>
  <si>
    <t>framedesign_thm</t>
  </si>
  <si>
    <t>Z:\Favorites\CPUC10 (Group D - Custom EM&amp;V)\8 PII\11 - Draft and Final Evaluation Reports\CIAC2018\Data\framedesign_thm.csv</t>
  </si>
  <si>
    <t>frame=='Electric'</t>
  </si>
  <si>
    <t>frame=='Gas'</t>
  </si>
  <si>
    <t>domain strata</t>
  </si>
  <si>
    <t>netcompletes</t>
  </si>
  <si>
    <t>sampleid</t>
  </si>
  <si>
    <t>completed</t>
  </si>
  <si>
    <t>contact</t>
  </si>
  <si>
    <t>business</t>
  </si>
  <si>
    <t>meas_1_date</t>
  </si>
  <si>
    <t>sbd</t>
  </si>
  <si>
    <t>ciac_nsbd</t>
  </si>
  <si>
    <t>wb</t>
  </si>
  <si>
    <t>sys</t>
  </si>
  <si>
    <t>dt</t>
  </si>
  <si>
    <t>intro3</t>
  </si>
  <si>
    <t>intro4_openend</t>
  </si>
  <si>
    <t>incent1</t>
  </si>
  <si>
    <t>a1gg</t>
  </si>
  <si>
    <t>pi1</t>
  </si>
  <si>
    <t>pi3</t>
  </si>
  <si>
    <t>pi3a</t>
  </si>
  <si>
    <t>pi4</t>
  </si>
  <si>
    <t>pi6</t>
  </si>
  <si>
    <t>pi6_openend</t>
  </si>
  <si>
    <t>pi7</t>
  </si>
  <si>
    <t>pi7a</t>
  </si>
  <si>
    <t>pi7a_openend</t>
  </si>
  <si>
    <t>obf1</t>
  </si>
  <si>
    <t>d1</t>
  </si>
  <si>
    <t>fdintro</t>
  </si>
  <si>
    <t>fdintro_openend</t>
  </si>
  <si>
    <t>fd1</t>
  </si>
  <si>
    <t>fd1_openend</t>
  </si>
  <si>
    <t>fd2</t>
  </si>
  <si>
    <t>fd2_openend</t>
  </si>
  <si>
    <t>fd3</t>
  </si>
  <si>
    <t>fdcc1</t>
  </si>
  <si>
    <t>fdcc1_openend</t>
  </si>
  <si>
    <t>fdcc2</t>
  </si>
  <si>
    <t>fdcc2_openend</t>
  </si>
  <si>
    <t>n3kk1</t>
  </si>
  <si>
    <t>n3kk2</t>
  </si>
  <si>
    <t>fin0</t>
  </si>
  <si>
    <t>fin1</t>
  </si>
  <si>
    <t>fin11</t>
  </si>
  <si>
    <t>fin12</t>
  </si>
  <si>
    <t>fin13</t>
  </si>
  <si>
    <t>fin7</t>
  </si>
  <si>
    <t>fin7_1</t>
  </si>
  <si>
    <t>fin7_2</t>
  </si>
  <si>
    <t>fin7_3</t>
  </si>
  <si>
    <t>fin8</t>
  </si>
  <si>
    <t>fin8_1</t>
  </si>
  <si>
    <t>fin8_2</t>
  </si>
  <si>
    <t>fin8_3</t>
  </si>
  <si>
    <t>npi14_openend</t>
  </si>
  <si>
    <t>ap1a</t>
  </si>
  <si>
    <t>ap2_openend</t>
  </si>
  <si>
    <t>ap2a</t>
  </si>
  <si>
    <t>ap2b</t>
  </si>
  <si>
    <t>apcc1</t>
  </si>
  <si>
    <t>apcc2</t>
  </si>
  <si>
    <t>p1</t>
  </si>
  <si>
    <t>p2</t>
  </si>
  <si>
    <t>p3</t>
  </si>
  <si>
    <t>p4</t>
  </si>
  <si>
    <t>lt1</t>
  </si>
  <si>
    <t>wb1</t>
  </si>
  <si>
    <t>wb1a</t>
  </si>
  <si>
    <t>wb2</t>
  </si>
  <si>
    <t>wb2a</t>
  </si>
  <si>
    <t>wb3</t>
  </si>
  <si>
    <t>wb3_openend</t>
  </si>
  <si>
    <t>wbcc1</t>
  </si>
  <si>
    <t>wb4</t>
  </si>
  <si>
    <t>wb4a</t>
  </si>
  <si>
    <t>wb5</t>
  </si>
  <si>
    <t>wb5a</t>
  </si>
  <si>
    <t>wb_npi4</t>
  </si>
  <si>
    <t>wb_n3k</t>
  </si>
  <si>
    <t>wb_npi1</t>
  </si>
  <si>
    <t>wb_npi2</t>
  </si>
  <si>
    <t>wb_npi3</t>
  </si>
  <si>
    <t>wb_npi5</t>
  </si>
  <si>
    <t>wb_npi6</t>
  </si>
  <si>
    <t>wb_npi7</t>
  </si>
  <si>
    <t>wb_npi8</t>
  </si>
  <si>
    <t>wb_npi9</t>
  </si>
  <si>
    <t>wb_npi10</t>
  </si>
  <si>
    <t>wb_npi11</t>
  </si>
  <si>
    <t>wb_npi12</t>
  </si>
  <si>
    <t>wb_npi13</t>
  </si>
  <si>
    <t>wb_npi14</t>
  </si>
  <si>
    <t>wb_rpi1</t>
  </si>
  <si>
    <t>wb_rpi2</t>
  </si>
  <si>
    <t>wb_pi5</t>
  </si>
  <si>
    <t>wb_ap1</t>
  </si>
  <si>
    <t>wb_ap2</t>
  </si>
  <si>
    <t>wb_dtpi6</t>
  </si>
  <si>
    <t>wb_dtpi7</t>
  </si>
  <si>
    <t>wb_dtpi8</t>
  </si>
  <si>
    <t>wb_dtml2</t>
  </si>
  <si>
    <t>wb_dtnm2</t>
  </si>
  <si>
    <t>wb_dtnm3</t>
  </si>
  <si>
    <t>wb_dtnm4</t>
  </si>
  <si>
    <t>sa_meas1</t>
  </si>
  <si>
    <t>sa_claimid1</t>
  </si>
  <si>
    <t>sa_date_meas1</t>
  </si>
  <si>
    <t>sa1_meas1</t>
  </si>
  <si>
    <t>sa2_meas1</t>
  </si>
  <si>
    <t>sa_npi4_meas1</t>
  </si>
  <si>
    <t>sa_n3k_meas1</t>
  </si>
  <si>
    <t>sa_npi1_meas1</t>
  </si>
  <si>
    <t>sa_npi2_meas1</t>
  </si>
  <si>
    <t>sa_npi3_meas1</t>
  </si>
  <si>
    <t>sa_npi5_meas1</t>
  </si>
  <si>
    <t>sa_npi6_meas1</t>
  </si>
  <si>
    <t>sa_npi7_meas1</t>
  </si>
  <si>
    <t>sa_npi8_meas1</t>
  </si>
  <si>
    <t>sa_npi9_meas1</t>
  </si>
  <si>
    <t>sa_npi10_meas1</t>
  </si>
  <si>
    <t>sa_npi11_meas1</t>
  </si>
  <si>
    <t>sa_npi12_meas1</t>
  </si>
  <si>
    <t>sa_npi13_meas1</t>
  </si>
  <si>
    <t>sa_npi14_meas1</t>
  </si>
  <si>
    <t>sa_rpi1_meas1</t>
  </si>
  <si>
    <t>sa_rpi2_meas1</t>
  </si>
  <si>
    <t>sa_pi5_meas1</t>
  </si>
  <si>
    <t>sa_ap1_meas1</t>
  </si>
  <si>
    <t>sa_ap2_meas1</t>
  </si>
  <si>
    <t>sa_meas2</t>
  </si>
  <si>
    <t>sa_claimid2</t>
  </si>
  <si>
    <t>sa_date_meas2</t>
  </si>
  <si>
    <t>sa1_meas2</t>
  </si>
  <si>
    <t>sa2_meas2</t>
  </si>
  <si>
    <t>sa_npi4_meas2</t>
  </si>
  <si>
    <t>sa_n3k_meas2</t>
  </si>
  <si>
    <t>sa_npi1_meas2</t>
  </si>
  <si>
    <t>sa_npi2_meas2</t>
  </si>
  <si>
    <t>sa_npi3_meas2</t>
  </si>
  <si>
    <t>sa_npi5_meas2</t>
  </si>
  <si>
    <t>sa_npi6_meas2</t>
  </si>
  <si>
    <t>sa_npi7_meas2</t>
  </si>
  <si>
    <t>sa_npi8_meas2</t>
  </si>
  <si>
    <t>sa_npi9_meas2</t>
  </si>
  <si>
    <t>sa_npi10_meas2</t>
  </si>
  <si>
    <t>sa_npi11_meas2</t>
  </si>
  <si>
    <t>sa_npi12_meas2</t>
  </si>
  <si>
    <t>sa_npi13_meas2</t>
  </si>
  <si>
    <t>sa_npi14_meas2</t>
  </si>
  <si>
    <t>sa_rpi1_meas2</t>
  </si>
  <si>
    <t>sa_rpi2_meas2</t>
  </si>
  <si>
    <t>sa_pi5_meas2</t>
  </si>
  <si>
    <t>sa_ap1_meas2</t>
  </si>
  <si>
    <t>sa_ap2_meas2</t>
  </si>
  <si>
    <t>sa_meas3</t>
  </si>
  <si>
    <t>sa_claimid3</t>
  </si>
  <si>
    <t>sa_date_meas3</t>
  </si>
  <si>
    <t>sa1_meas3</t>
  </si>
  <si>
    <t>sa2_meas3</t>
  </si>
  <si>
    <t>sa_npi4_meas3</t>
  </si>
  <si>
    <t>sa_n3k_meas3</t>
  </si>
  <si>
    <t>sa_npi1_meas3</t>
  </si>
  <si>
    <t>sa_npi2_meas3</t>
  </si>
  <si>
    <t>sa_npi3_meas3</t>
  </si>
  <si>
    <t>sa_npi5_meas3</t>
  </si>
  <si>
    <t>sa_npi6_meas3</t>
  </si>
  <si>
    <t>sa_npi7_meas3</t>
  </si>
  <si>
    <t>sa_npi8_meas3</t>
  </si>
  <si>
    <t>sa_npi9_meas3</t>
  </si>
  <si>
    <t>sa_npi10_meas3</t>
  </si>
  <si>
    <t>sa_npi11_meas3</t>
  </si>
  <si>
    <t>sa_npi12_meas3</t>
  </si>
  <si>
    <t>sa_npi13_meas3</t>
  </si>
  <si>
    <t>sa_npi14_meas3</t>
  </si>
  <si>
    <t>sa_rpi1_meas3</t>
  </si>
  <si>
    <t>sa_rpi2_meas3</t>
  </si>
  <si>
    <t>sa_pi5_meas3</t>
  </si>
  <si>
    <t>sa_ap1_meas3</t>
  </si>
  <si>
    <t>sa_ap2_meas3</t>
  </si>
  <si>
    <t>wb_dtintrob</t>
  </si>
  <si>
    <t>wb_dtintro0b</t>
  </si>
  <si>
    <t>wb_dtintro2b</t>
  </si>
  <si>
    <t>wb_dtpi1</t>
  </si>
  <si>
    <t>wb_dtpi2</t>
  </si>
  <si>
    <t>wb_dtpi3</t>
  </si>
  <si>
    <t>wb_dtpi4</t>
  </si>
  <si>
    <t>wb_dtpi5</t>
  </si>
  <si>
    <t>wb_dtpi5a</t>
  </si>
  <si>
    <t>wb_dtml1</t>
  </si>
  <si>
    <t>wb_dtml1a</t>
  </si>
  <si>
    <t>wb_dtml1b</t>
  </si>
  <si>
    <t>wb_dtml2a</t>
  </si>
  <si>
    <t>wb_dtp1</t>
  </si>
  <si>
    <t>wb_dtp2</t>
  </si>
  <si>
    <t>wb_dtp3</t>
  </si>
  <si>
    <t>wb_dtp3b</t>
  </si>
  <si>
    <t>wb_dtp4</t>
  </si>
  <si>
    <t>wb_dtlt1</t>
  </si>
  <si>
    <t>wb_dtlt2</t>
  </si>
  <si>
    <t>wb_dtlt3</t>
  </si>
  <si>
    <t>n3a_meas1</t>
  </si>
  <si>
    <t>n3b_meas1</t>
  </si>
  <si>
    <t>n3c_meas1</t>
  </si>
  <si>
    <t>n3d_meas1</t>
  </si>
  <si>
    <t>n3e_meas1</t>
  </si>
  <si>
    <t>n3f_meas1</t>
  </si>
  <si>
    <t>n3g_meas1</t>
  </si>
  <si>
    <t>n3h_meas1</t>
  </si>
  <si>
    <t>n3i_meas1</t>
  </si>
  <si>
    <t>n3j_meas1</t>
  </si>
  <si>
    <t>n3k_meas1</t>
  </si>
  <si>
    <t>n3l_meas1</t>
  </si>
  <si>
    <t>n3m_meas1</t>
  </si>
  <si>
    <t>n3n_meas1</t>
  </si>
  <si>
    <t>n3o_meas1</t>
  </si>
  <si>
    <t>n3p_meas1</t>
  </si>
  <si>
    <t>n3q_meas1</t>
  </si>
  <si>
    <t>n3r_meas1</t>
  </si>
  <si>
    <t>n3s_meas1</t>
  </si>
  <si>
    <t>n3tt_1_meas1</t>
  </si>
  <si>
    <t>n2_meas1</t>
  </si>
  <si>
    <t>n41_meas1</t>
  </si>
  <si>
    <t>n5_meas1</t>
  </si>
  <si>
    <t>n6_meas1</t>
  </si>
  <si>
    <t>n6a_meas1</t>
  </si>
  <si>
    <t>n3a_meas2</t>
  </si>
  <si>
    <t>n3b_meas2</t>
  </si>
  <si>
    <t>n3c_meas2</t>
  </si>
  <si>
    <t>n3d_meas2</t>
  </si>
  <si>
    <t>n3e_meas2</t>
  </si>
  <si>
    <t>n3f_meas2</t>
  </si>
  <si>
    <t>n3g_meas2</t>
  </si>
  <si>
    <t>n3h_meas2</t>
  </si>
  <si>
    <t>n3i_meas2</t>
  </si>
  <si>
    <t>n3j_meas2</t>
  </si>
  <si>
    <t>n3k_meas2</t>
  </si>
  <si>
    <t>n3l_meas2</t>
  </si>
  <si>
    <t>n3m_meas2</t>
  </si>
  <si>
    <t>n3n_meas2</t>
  </si>
  <si>
    <t>n3o_meas2</t>
  </si>
  <si>
    <t>n3p_meas2</t>
  </si>
  <si>
    <t>n3q_meas2</t>
  </si>
  <si>
    <t>n3r_meas2</t>
  </si>
  <si>
    <t>n3s_meas2</t>
  </si>
  <si>
    <t>n3tt_1_meas2</t>
  </si>
  <si>
    <t>n2_meas2</t>
  </si>
  <si>
    <t>n41_meas2</t>
  </si>
  <si>
    <t>n5_meas2</t>
  </si>
  <si>
    <t>n6_meas2</t>
  </si>
  <si>
    <t>n6a_meas2</t>
  </si>
  <si>
    <t>n3a_meas3</t>
  </si>
  <si>
    <t>n3b_meas3</t>
  </si>
  <si>
    <t>n3c_meas3</t>
  </si>
  <si>
    <t>n3d_meas3</t>
  </si>
  <si>
    <t>n3e_meas3</t>
  </si>
  <si>
    <t>n3f_meas3</t>
  </si>
  <si>
    <t>n3g_meas3</t>
  </si>
  <si>
    <t>n3h_meas3</t>
  </si>
  <si>
    <t>n3i_meas3</t>
  </si>
  <si>
    <t>n3j_meas3</t>
  </si>
  <si>
    <t>n3k_meas3</t>
  </si>
  <si>
    <t>n3l_meas3</t>
  </si>
  <si>
    <t>n3m_meas3</t>
  </si>
  <si>
    <t>n3n_meas3</t>
  </si>
  <si>
    <t>n3o_meas3</t>
  </si>
  <si>
    <t>n3p_meas3</t>
  </si>
  <si>
    <t>n3q_meas3</t>
  </si>
  <si>
    <t>n3r_meas3</t>
  </si>
  <si>
    <t>n3s_meas3</t>
  </si>
  <si>
    <t>n3tt_1_meas3</t>
  </si>
  <si>
    <t>n2_meas3</t>
  </si>
  <si>
    <t>n41_meas3</t>
  </si>
  <si>
    <t>n5_meas3</t>
  </si>
  <si>
    <t>n6_meas3</t>
  </si>
  <si>
    <t>n6a_meas3</t>
  </si>
  <si>
    <t>v2_meas1</t>
  </si>
  <si>
    <t>v3_meas1</t>
  </si>
  <si>
    <t>v4_meas1</t>
  </si>
  <si>
    <t>v5_meas1</t>
  </si>
  <si>
    <t>v6aa_meas1</t>
  </si>
  <si>
    <t>v6bb_meas1</t>
  </si>
  <si>
    <t>v7a_meas1</t>
  </si>
  <si>
    <t>v7b_meas1</t>
  </si>
  <si>
    <t>v7c_meas1</t>
  </si>
  <si>
    <t>v2_meas2</t>
  </si>
  <si>
    <t>v3_meas2</t>
  </si>
  <si>
    <t>v4_meas2</t>
  </si>
  <si>
    <t>v5_meas2</t>
  </si>
  <si>
    <t>v6aa_meas2</t>
  </si>
  <si>
    <t>v6bb_meas2</t>
  </si>
  <si>
    <t>v7a_meas2</t>
  </si>
  <si>
    <t>v7b_meas2</t>
  </si>
  <si>
    <t>v7c_meas2</t>
  </si>
  <si>
    <t>v2_meas3</t>
  </si>
  <si>
    <t>v3_meas3</t>
  </si>
  <si>
    <t>v4_meas3</t>
  </si>
  <si>
    <t>v5_meas3</t>
  </si>
  <si>
    <t>v6aa_meas3</t>
  </si>
  <si>
    <t>v6bb_meas3</t>
  </si>
  <si>
    <t>v7a_meas3</t>
  </si>
  <si>
    <t>v7b_meas3</t>
  </si>
  <si>
    <t>v7c_meas3</t>
  </si>
  <si>
    <t>ClaimId1</t>
  </si>
  <si>
    <t>aa3_meas1_1</t>
  </si>
  <si>
    <t>aa3_meas1_2</t>
  </si>
  <si>
    <t>aa3_meas1_3</t>
  </si>
  <si>
    <t>aa3_meas1_4</t>
  </si>
  <si>
    <t>aa3_meas1_5</t>
  </si>
  <si>
    <t>aa3_meas1_6</t>
  </si>
  <si>
    <t>aa3_meas1_7</t>
  </si>
  <si>
    <t>aa3_meas1_98</t>
  </si>
  <si>
    <t>aa3_meas1other</t>
  </si>
  <si>
    <t>obf1_meas1</t>
  </si>
  <si>
    <t>n3aa_meas1</t>
  </si>
  <si>
    <t>n3aa_response_meas1</t>
  </si>
  <si>
    <t>n3bb_meas1</t>
  </si>
  <si>
    <t>n3bb_response_meas1</t>
  </si>
  <si>
    <t>n3cc_meas1</t>
  </si>
  <si>
    <t>n3cc_response_meas1</t>
  </si>
  <si>
    <t>n3ff_meas1</t>
  </si>
  <si>
    <t>n3ff_response_meas1</t>
  </si>
  <si>
    <t>n3gg_meas1</t>
  </si>
  <si>
    <t>n3gg_response_meas1</t>
  </si>
  <si>
    <t>n3ggg_meas1</t>
  </si>
  <si>
    <t>n3ggg_response_meas1</t>
  </si>
  <si>
    <t>n3hh_meas1</t>
  </si>
  <si>
    <t>n3hh_response_meas1</t>
  </si>
  <si>
    <t>n3hhh_meas1</t>
  </si>
  <si>
    <t>n3hhh_response_meas1</t>
  </si>
  <si>
    <t>n3kk1_meas1</t>
  </si>
  <si>
    <t>n3kk1_response_meas1</t>
  </si>
  <si>
    <t>n3kk2_meas1</t>
  </si>
  <si>
    <t>n3kk2_response_meas1</t>
  </si>
  <si>
    <t>fin0_meas1</t>
  </si>
  <si>
    <t>fin1_a_meas1</t>
  </si>
  <si>
    <t>fin1_b_meas1</t>
  </si>
  <si>
    <t>fin1_c_meas1</t>
  </si>
  <si>
    <t>fin7_meas1_1</t>
  </si>
  <si>
    <t>fin7_meas1_2</t>
  </si>
  <si>
    <t>fin7_meas1_3</t>
  </si>
  <si>
    <t>fin7_meas1_4</t>
  </si>
  <si>
    <t>fin7_meas1_5</t>
  </si>
  <si>
    <t>fin7_other_meas1</t>
  </si>
  <si>
    <t>fin8_meas1_1</t>
  </si>
  <si>
    <t>fin8_meas1_2</t>
  </si>
  <si>
    <t>fin8_meas1_3</t>
  </si>
  <si>
    <t>fin8_other_meas1</t>
  </si>
  <si>
    <t>n3ll_meas1</t>
  </si>
  <si>
    <t>n3ll_response_meas1</t>
  </si>
  <si>
    <t>n3lll_meas1</t>
  </si>
  <si>
    <t>n3lll_response_meas1</t>
  </si>
  <si>
    <t>n3oo_meas1</t>
  </si>
  <si>
    <t>n3oo_response_meas1</t>
  </si>
  <si>
    <t>n3pp_meas1</t>
  </si>
  <si>
    <t>n3pp_response_meas1</t>
  </si>
  <si>
    <t>n3rr_meas1</t>
  </si>
  <si>
    <t>n3rr_response_meas1</t>
  </si>
  <si>
    <t>n3rrr_meas1</t>
  </si>
  <si>
    <t>n3rrr_response_meas1</t>
  </si>
  <si>
    <t>n3t_meas1_1</t>
  </si>
  <si>
    <t>n3t_meas1_2</t>
  </si>
  <si>
    <t>n3t_other_meas1_meas1</t>
  </si>
  <si>
    <t>n3t_other_2_meas1</t>
  </si>
  <si>
    <t>n3tt_2_meas1</t>
  </si>
  <si>
    <t>n3ttt_meas1</t>
  </si>
  <si>
    <t>n3ttt_meas1_response</t>
  </si>
  <si>
    <t>cc1_meas1</t>
  </si>
  <si>
    <t>cc1_response_meas1</t>
  </si>
  <si>
    <t>cc1a_meas1</t>
  </si>
  <si>
    <t>cc1a_response_meas1</t>
  </si>
  <si>
    <t>ncc3_meas1</t>
  </si>
  <si>
    <t>ncc3_response_meas1</t>
  </si>
  <si>
    <t>ncc3a_meas1</t>
  </si>
  <si>
    <t>ncc3a_response_meas1</t>
  </si>
  <si>
    <t>p1_meas1_1</t>
  </si>
  <si>
    <t>p1_meas1_2</t>
  </si>
  <si>
    <t>p1_meas1_3</t>
  </si>
  <si>
    <t>p1_other_meas1</t>
  </si>
  <si>
    <t>p2a_meas1</t>
  </si>
  <si>
    <t>p2b_meas1</t>
  </si>
  <si>
    <t>p3_meas1</t>
  </si>
  <si>
    <t>p4_meas1</t>
  </si>
  <si>
    <t>p3a_meas1</t>
  </si>
  <si>
    <t>p3a_response_meas1</t>
  </si>
  <si>
    <t>p3e_meas1</t>
  </si>
  <si>
    <t>p3e_response_meas1</t>
  </si>
  <si>
    <t>cp1_meas1</t>
  </si>
  <si>
    <t>cp1a_meas1</t>
  </si>
  <si>
    <t>cp1a_response_meas1</t>
  </si>
  <si>
    <t>cp2_meas1</t>
  </si>
  <si>
    <t>cp2_response_meas1</t>
  </si>
  <si>
    <t>cp3_meas1</t>
  </si>
  <si>
    <t>cp3a_meas1</t>
  </si>
  <si>
    <t>cp3a_response_meas1</t>
  </si>
  <si>
    <t>cp4_meas1</t>
  </si>
  <si>
    <t>cp4_response_meas1</t>
  </si>
  <si>
    <t>cp6_meas1</t>
  </si>
  <si>
    <t>cp6_response_meas1</t>
  </si>
  <si>
    <t>sp1_meas1</t>
  </si>
  <si>
    <t>sp1_response_meas1</t>
  </si>
  <si>
    <t>sp2_meas1</t>
  </si>
  <si>
    <t>sp2a_meas1</t>
  </si>
  <si>
    <t>sp2a_response_meas1</t>
  </si>
  <si>
    <t>sp3_meas1</t>
  </si>
  <si>
    <t>sp3_response_meas1</t>
  </si>
  <si>
    <t>sp3a_meas1</t>
  </si>
  <si>
    <t>sp4_meas1</t>
  </si>
  <si>
    <t>sp4_response_meas1</t>
  </si>
  <si>
    <t>sp5_meas1</t>
  </si>
  <si>
    <t>sp5_response_meas1</t>
  </si>
  <si>
    <t>n42_meas1</t>
  </si>
  <si>
    <t>n5a_meas1</t>
  </si>
  <si>
    <t>n5a_response_meas1</t>
  </si>
  <si>
    <t>nn5aa_meas1</t>
  </si>
  <si>
    <t>revised_n3b_meas1</t>
  </si>
  <si>
    <t>revised_n5_meas1</t>
  </si>
  <si>
    <t>n5b_meas1</t>
  </si>
  <si>
    <t>n5bb_meas1</t>
  </si>
  <si>
    <t>n5bb_response_meas1</t>
  </si>
  <si>
    <t>n6_other_meas1</t>
  </si>
  <si>
    <t>n6aa_meas1</t>
  </si>
  <si>
    <t>n6ab_meas1</t>
  </si>
  <si>
    <t>n6ac_meas1</t>
  </si>
  <si>
    <t>n6ba_meas1</t>
  </si>
  <si>
    <t>n6ca_meas1</t>
  </si>
  <si>
    <t>n6cb_meas1</t>
  </si>
  <si>
    <t>n6cc_meas1</t>
  </si>
  <si>
    <t>n7_meas1</t>
  </si>
  <si>
    <t>n7_response_meas1</t>
  </si>
  <si>
    <t>n6a_response_meas1</t>
  </si>
  <si>
    <t>n6b_meas1</t>
  </si>
  <si>
    <t>n6b_response_meas1</t>
  </si>
  <si>
    <t>n6c_meas1</t>
  </si>
  <si>
    <t>n6c_response_meas1</t>
  </si>
  <si>
    <t>er2_meas1</t>
  </si>
  <si>
    <t>er6_meas1</t>
  </si>
  <si>
    <t>er9_meas1</t>
  </si>
  <si>
    <t>er15_meas1</t>
  </si>
  <si>
    <t>er15_response_meas1</t>
  </si>
  <si>
    <t>er19_meas1</t>
  </si>
  <si>
    <t>er19_response_meas1</t>
  </si>
  <si>
    <t>ClaimId2</t>
  </si>
  <si>
    <t>aa3_meas2_1</t>
  </si>
  <si>
    <t>aa3_meas2_2</t>
  </si>
  <si>
    <t>aa3_meas2_3</t>
  </si>
  <si>
    <t>aa3_meas2_4</t>
  </si>
  <si>
    <t>aa3_meas2_5</t>
  </si>
  <si>
    <t>aa3_meas2_6</t>
  </si>
  <si>
    <t>aa3_meas2_7</t>
  </si>
  <si>
    <t>aa3_meas2_98</t>
  </si>
  <si>
    <t>aa3_meas2other</t>
  </si>
  <si>
    <t>obf1_meas2</t>
  </si>
  <si>
    <t>n3aa_meas2</t>
  </si>
  <si>
    <t>n3aa_response_meas2</t>
  </si>
  <si>
    <t>n3bb_meas2</t>
  </si>
  <si>
    <t>n3bb_response_meas2</t>
  </si>
  <si>
    <t>n3cc_meas2</t>
  </si>
  <si>
    <t>n3cc_response_meas2</t>
  </si>
  <si>
    <t>n3ff_meas2</t>
  </si>
  <si>
    <t>n3ff_response_meas2</t>
  </si>
  <si>
    <t>n3gg_meas2</t>
  </si>
  <si>
    <t>n3gg_response_meas2</t>
  </si>
  <si>
    <t>n3ggg_meas2</t>
  </si>
  <si>
    <t>n3ggg_response_meas2</t>
  </si>
  <si>
    <t>n3hh_meas2</t>
  </si>
  <si>
    <t>n3hh_response_meas2</t>
  </si>
  <si>
    <t>n3hhh_meas2</t>
  </si>
  <si>
    <t>n3hhh_response_meas2</t>
  </si>
  <si>
    <t>n3kk1_meas2</t>
  </si>
  <si>
    <t>n3kk1_response_meas2</t>
  </si>
  <si>
    <t>n3kk2_meas2</t>
  </si>
  <si>
    <t>n3kk2_response_meas2</t>
  </si>
  <si>
    <t>fin0_meas2</t>
  </si>
  <si>
    <t>fin1_a_meas2</t>
  </si>
  <si>
    <t>fin1_b_meas2</t>
  </si>
  <si>
    <t>fin1_c_meas2</t>
  </si>
  <si>
    <t>fin7_meas2_1</t>
  </si>
  <si>
    <t>fin7_meas2_2</t>
  </si>
  <si>
    <t>fin7_meas2_3</t>
  </si>
  <si>
    <t>fin7_meas2_4</t>
  </si>
  <si>
    <t>fin7_meas2_5</t>
  </si>
  <si>
    <t>fin7_other_meas2</t>
  </si>
  <si>
    <t>fin8_meas2_1</t>
  </si>
  <si>
    <t>fin8_meas2_2</t>
  </si>
  <si>
    <t>fin8_meas2_3</t>
  </si>
  <si>
    <t>fin8_other_meas2</t>
  </si>
  <si>
    <t>n3ll_meas2</t>
  </si>
  <si>
    <t>n3ll_response_meas2</t>
  </si>
  <si>
    <t>n3lll_meas2</t>
  </si>
  <si>
    <t>n3lll_response_meas2</t>
  </si>
  <si>
    <t>n3oo_meas2</t>
  </si>
  <si>
    <t>n3oo_response_meas2</t>
  </si>
  <si>
    <t>n3pp_meas2</t>
  </si>
  <si>
    <t>n3pp_response_meas2</t>
  </si>
  <si>
    <t>n3rr_meas2</t>
  </si>
  <si>
    <t>n3rr_response_meas2</t>
  </si>
  <si>
    <t>n3rrr_meas2</t>
  </si>
  <si>
    <t>n3rrr_response_meas2</t>
  </si>
  <si>
    <t>n3t_meas2_1</t>
  </si>
  <si>
    <t>n3t_meas2_2</t>
  </si>
  <si>
    <t>n3t_other_meas2_meas2</t>
  </si>
  <si>
    <t>n3t_other_2_meas2</t>
  </si>
  <si>
    <t>n3tt_2_meas2</t>
  </si>
  <si>
    <t>n3ttt_meas2</t>
  </si>
  <si>
    <t>n3ttt_meas2_response</t>
  </si>
  <si>
    <t>cc1_meas2</t>
  </si>
  <si>
    <t>cc1_response_meas2</t>
  </si>
  <si>
    <t>cc1a_meas2</t>
  </si>
  <si>
    <t>cc1a_response_meas2</t>
  </si>
  <si>
    <t>ncc3_meas2</t>
  </si>
  <si>
    <t>ncc3_response_meas2</t>
  </si>
  <si>
    <t>ncc3a_meas2</t>
  </si>
  <si>
    <t>ncc3a_response_meas2</t>
  </si>
  <si>
    <t>p1_meas2_1</t>
  </si>
  <si>
    <t>p1_meas2_2</t>
  </si>
  <si>
    <t>p1_meas2_3</t>
  </si>
  <si>
    <t>p1_other_meas2</t>
  </si>
  <si>
    <t>p2a_meas2</t>
  </si>
  <si>
    <t>p2b_meas2</t>
  </si>
  <si>
    <t>p3_meas2</t>
  </si>
  <si>
    <t>p4_meas2</t>
  </si>
  <si>
    <t>p3a_meas2</t>
  </si>
  <si>
    <t>p3a_response_meas2</t>
  </si>
  <si>
    <t>p3e_meas2</t>
  </si>
  <si>
    <t>p3e_response_meas2</t>
  </si>
  <si>
    <t>cp1_meas2</t>
  </si>
  <si>
    <t>cp1a_meas2</t>
  </si>
  <si>
    <t>cp1a_response_meas2</t>
  </si>
  <si>
    <t>cp2_meas2</t>
  </si>
  <si>
    <t>cp2_response_meas2</t>
  </si>
  <si>
    <t>cp3_meas2</t>
  </si>
  <si>
    <t>cp3a_meas2</t>
  </si>
  <si>
    <t>cp3a_response_meas2</t>
  </si>
  <si>
    <t>cp4_meas2</t>
  </si>
  <si>
    <t>cp4_response_meas2</t>
  </si>
  <si>
    <t>cp6_meas2</t>
  </si>
  <si>
    <t>cp6_response_meas2</t>
  </si>
  <si>
    <t>sp1_meas2</t>
  </si>
  <si>
    <t>sp1_response_meas2</t>
  </si>
  <si>
    <t>sp2_meas2</t>
  </si>
  <si>
    <t>sp2a_meas2</t>
  </si>
  <si>
    <t>sp2a_response_meas2</t>
  </si>
  <si>
    <t>sp3_meas2</t>
  </si>
  <si>
    <t>sp3_response_meas2</t>
  </si>
  <si>
    <t>sp3a_meas2</t>
  </si>
  <si>
    <t>sp4_meas2</t>
  </si>
  <si>
    <t>sp4_response_meas2</t>
  </si>
  <si>
    <t>sp5_meas2</t>
  </si>
  <si>
    <t>sp5_response_meas2</t>
  </si>
  <si>
    <t>n42_meas2</t>
  </si>
  <si>
    <t>n5a_meas2</t>
  </si>
  <si>
    <t>n5a_response_meas2</t>
  </si>
  <si>
    <t>nn5aa_meas2</t>
  </si>
  <si>
    <t>revised_n3b_meas2</t>
  </si>
  <si>
    <t>revised_n5_meas2</t>
  </si>
  <si>
    <t>n5b_meas2</t>
  </si>
  <si>
    <t>n5bb_meas2</t>
  </si>
  <si>
    <t>n5bb_response_meas2</t>
  </si>
  <si>
    <t>n6_other_meas2</t>
  </si>
  <si>
    <t>n6aa_meas2</t>
  </si>
  <si>
    <t>n6ab_meas2</t>
  </si>
  <si>
    <t>n6ac_meas2</t>
  </si>
  <si>
    <t>n6ba_meas2</t>
  </si>
  <si>
    <t>n6ca_meas2</t>
  </si>
  <si>
    <t>n6cb_meas2</t>
  </si>
  <si>
    <t>n6cc_meas2</t>
  </si>
  <si>
    <t>n7_meas2</t>
  </si>
  <si>
    <t>n7_response_meas2</t>
  </si>
  <si>
    <t>n6a_response_meas2</t>
  </si>
  <si>
    <t>n6b_meas2</t>
  </si>
  <si>
    <t>n6b_response_meas2</t>
  </si>
  <si>
    <t>n6c_meas2</t>
  </si>
  <si>
    <t>n6c_response_meas2</t>
  </si>
  <si>
    <t>er2_meas2</t>
  </si>
  <si>
    <t>er6_meas2</t>
  </si>
  <si>
    <t>er9_meas2</t>
  </si>
  <si>
    <t>er15_meas2</t>
  </si>
  <si>
    <t>er15_response_meas2</t>
  </si>
  <si>
    <t>er19_meas2</t>
  </si>
  <si>
    <t>er19_response_meas2</t>
  </si>
  <si>
    <t>ClaimId3</t>
  </si>
  <si>
    <t>aa3_meas3_1</t>
  </si>
  <si>
    <t>aa3_meas3_2</t>
  </si>
  <si>
    <t>aa3_meas3_3</t>
  </si>
  <si>
    <t>aa3_meas3_4</t>
  </si>
  <si>
    <t>aa3_meas3_5</t>
  </si>
  <si>
    <t>aa3_meas3_6</t>
  </si>
  <si>
    <t>aa3_meas3_7</t>
  </si>
  <si>
    <t>aa3_meas3_98</t>
  </si>
  <si>
    <t>aa3_meas3other</t>
  </si>
  <si>
    <t>obf1_meas3</t>
  </si>
  <si>
    <t>n3aa_meas3</t>
  </si>
  <si>
    <t>n3aa_response_meas3</t>
  </si>
  <si>
    <t>n3bb_meas3</t>
  </si>
  <si>
    <t>n3bb_response_meas3</t>
  </si>
  <si>
    <t>n3cc_meas3</t>
  </si>
  <si>
    <t>n3cc_response_meas3</t>
  </si>
  <si>
    <t>n3ff_meas3</t>
  </si>
  <si>
    <t>n3ff_response_meas3</t>
  </si>
  <si>
    <t>n3gg_meas3</t>
  </si>
  <si>
    <t>n3gg_response_meas3</t>
  </si>
  <si>
    <t>n3ggg_meas3</t>
  </si>
  <si>
    <t>n3ggg_response_meas3</t>
  </si>
  <si>
    <t>n3hh_meas3</t>
  </si>
  <si>
    <t>n3hh_response_meas3</t>
  </si>
  <si>
    <t>n3hhh_meas3</t>
  </si>
  <si>
    <t>n3hhh_response_meas3</t>
  </si>
  <si>
    <t>n3kk1_meas3</t>
  </si>
  <si>
    <t>n3kk1_response_meas3</t>
  </si>
  <si>
    <t>n3kk2_meas3</t>
  </si>
  <si>
    <t>n3kk2_response_meas3</t>
  </si>
  <si>
    <t>fin0_meas3</t>
  </si>
  <si>
    <t>fin1_a_meas3</t>
  </si>
  <si>
    <t>fin1_b_meas3</t>
  </si>
  <si>
    <t>fin1_c_meas3</t>
  </si>
  <si>
    <t>fin7_meas3_1</t>
  </si>
  <si>
    <t>fin7_meas3_2</t>
  </si>
  <si>
    <t>fin7_meas3_3</t>
  </si>
  <si>
    <t>fin7_meas3_4</t>
  </si>
  <si>
    <t>fin7_meas3_5</t>
  </si>
  <si>
    <t>fin7_other_meas3</t>
  </si>
  <si>
    <t>fin8_meas3_1</t>
  </si>
  <si>
    <t>fin8_meas3_2</t>
  </si>
  <si>
    <t>fin8_meas3_3</t>
  </si>
  <si>
    <t>fin8_other_meas3</t>
  </si>
  <si>
    <t>n3ll_meas3</t>
  </si>
  <si>
    <t>n3ll_response_meas3</t>
  </si>
  <si>
    <t>n3lll_meas3</t>
  </si>
  <si>
    <t>n3lll_response_meas3</t>
  </si>
  <si>
    <t>n3oo_meas3</t>
  </si>
  <si>
    <t>n3oo_response_meas3</t>
  </si>
  <si>
    <t>n3pp_meas3</t>
  </si>
  <si>
    <t>n3pp_response_meas3</t>
  </si>
  <si>
    <t>n3rr_meas3</t>
  </si>
  <si>
    <t>n3rr_response_meas3</t>
  </si>
  <si>
    <t>n3rrr_meas3</t>
  </si>
  <si>
    <t>n3rrr_response_meas3</t>
  </si>
  <si>
    <t>n3t_meas3_1</t>
  </si>
  <si>
    <t>n3t_meas3_2</t>
  </si>
  <si>
    <t>n3t_other_meas3_meas3</t>
  </si>
  <si>
    <t>n3t_other_2_meas3</t>
  </si>
  <si>
    <t>n3tt_2_meas3</t>
  </si>
  <si>
    <t>n3ttt_meas3</t>
  </si>
  <si>
    <t>n3ttt_meas3_response</t>
  </si>
  <si>
    <t>cc1_meas3</t>
  </si>
  <si>
    <t>cc1_response_meas3</t>
  </si>
  <si>
    <t>cc1a_meas3</t>
  </si>
  <si>
    <t>cc1a_response_meas3</t>
  </si>
  <si>
    <t>ncc3_meas3</t>
  </si>
  <si>
    <t>ncc3_response_meas3</t>
  </si>
  <si>
    <t>ncc3a_meas3</t>
  </si>
  <si>
    <t>ncc3a_response_meas3</t>
  </si>
  <si>
    <t>p1_meas3_1</t>
  </si>
  <si>
    <t>p1_meas3_2</t>
  </si>
  <si>
    <t>p1_meas3_3</t>
  </si>
  <si>
    <t>p1_other_meas3</t>
  </si>
  <si>
    <t>p2a_meas3</t>
  </si>
  <si>
    <t>p2b_meas3</t>
  </si>
  <si>
    <t>p3_meas3</t>
  </si>
  <si>
    <t>p4_meas3</t>
  </si>
  <si>
    <t>p3a_meas3</t>
  </si>
  <si>
    <t>p3a_response_meas3</t>
  </si>
  <si>
    <t>p3e_meas3</t>
  </si>
  <si>
    <t>p3e_response_meas3</t>
  </si>
  <si>
    <t>cp1_meas3</t>
  </si>
  <si>
    <t>cp1a_meas3</t>
  </si>
  <si>
    <t>cp1a_response_meas3</t>
  </si>
  <si>
    <t>cp2_meas3</t>
  </si>
  <si>
    <t>cp2_response_meas3</t>
  </si>
  <si>
    <t>cp3_meas3</t>
  </si>
  <si>
    <t>cp3a_meas3</t>
  </si>
  <si>
    <t>cp3a_response_meas3</t>
  </si>
  <si>
    <t>cp4_meas3</t>
  </si>
  <si>
    <t>cp4_response_meas3</t>
  </si>
  <si>
    <t>cp6_meas3</t>
  </si>
  <si>
    <t>cp6_response_meas3</t>
  </si>
  <si>
    <t>sp1_meas3</t>
  </si>
  <si>
    <t>sp1_response_meas3</t>
  </si>
  <si>
    <t>sp2_meas3</t>
  </si>
  <si>
    <t>sp2a_meas3</t>
  </si>
  <si>
    <t>sp2a_response_meas3</t>
  </si>
  <si>
    <t>sp3_meas3</t>
  </si>
  <si>
    <t>sp3_response_meas3</t>
  </si>
  <si>
    <t>sp3a_meas3</t>
  </si>
  <si>
    <t>sp4_meas3</t>
  </si>
  <si>
    <t>sp4_response_meas3</t>
  </si>
  <si>
    <t>sp5_meas3</t>
  </si>
  <si>
    <t>sp5_response_meas3</t>
  </si>
  <si>
    <t>n42_meas3</t>
  </si>
  <si>
    <t>n5a_meas3</t>
  </si>
  <si>
    <t>n5a_response_meas3</t>
  </si>
  <si>
    <t>nn5aa_meas3</t>
  </si>
  <si>
    <t>revised_n3b_meas3</t>
  </si>
  <si>
    <t>revised_n5_meas3</t>
  </si>
  <si>
    <t>n5b_meas3</t>
  </si>
  <si>
    <t>n5bb_meas3</t>
  </si>
  <si>
    <t>n5bb_response_meas3</t>
  </si>
  <si>
    <t>n6_other_meas3</t>
  </si>
  <si>
    <t>n6aa_meas3</t>
  </si>
  <si>
    <t>n6ab_meas3</t>
  </si>
  <si>
    <t>n6ac_meas3</t>
  </si>
  <si>
    <t>n6ba_meas3</t>
  </si>
  <si>
    <t>n6ca_meas3</t>
  </si>
  <si>
    <t>n6cb_meas3</t>
  </si>
  <si>
    <t>n6cc_meas3</t>
  </si>
  <si>
    <t>n7_meas3</t>
  </si>
  <si>
    <t>n7_response_meas3</t>
  </si>
  <si>
    <t>n6a_response_meas3</t>
  </si>
  <si>
    <t>n6b_meas3</t>
  </si>
  <si>
    <t>n6b_response_meas3</t>
  </si>
  <si>
    <t>n6c_meas3</t>
  </si>
  <si>
    <t>n6c_response_meas3</t>
  </si>
  <si>
    <t>er2_meas3</t>
  </si>
  <si>
    <t>er6_meas3</t>
  </si>
  <si>
    <t>er9_meas3</t>
  </si>
  <si>
    <t>er15_meas3</t>
  </si>
  <si>
    <t>er15_response_meas3</t>
  </si>
  <si>
    <t>er19_meas3</t>
  </si>
  <si>
    <t>er19_response_meas3</t>
  </si>
  <si>
    <t>meas_2_date</t>
  </si>
  <si>
    <t>meas_3_date</t>
  </si>
  <si>
    <t>v_aa1</t>
  </si>
  <si>
    <t>v_aa2</t>
  </si>
  <si>
    <t>v_a1</t>
  </si>
  <si>
    <t>v_a2</t>
  </si>
  <si>
    <t>v_a3</t>
  </si>
  <si>
    <t>v6a_meas1</t>
  </si>
  <si>
    <t>v8_meas1</t>
  </si>
  <si>
    <t>v9_meas1</t>
  </si>
  <si>
    <t>v9a_meas1</t>
  </si>
  <si>
    <t>v10_meas1</t>
  </si>
  <si>
    <t>v11_meas1</t>
  </si>
  <si>
    <t>v12_meas1</t>
  </si>
  <si>
    <t>v13_meas1</t>
  </si>
  <si>
    <t>v13a_meas1</t>
  </si>
  <si>
    <t>v14_meas1</t>
  </si>
  <si>
    <t>v15_meas1</t>
  </si>
  <si>
    <t>v16_meas1</t>
  </si>
  <si>
    <t>v16a_meas1</t>
  </si>
  <si>
    <t>v6a_meas2</t>
  </si>
  <si>
    <t>v8_meas2</t>
  </si>
  <si>
    <t>v9_meas2</t>
  </si>
  <si>
    <t>v9a_meas2</t>
  </si>
  <si>
    <t>v10_meas2</t>
  </si>
  <si>
    <t>v11_meas2</t>
  </si>
  <si>
    <t>v12_meas2</t>
  </si>
  <si>
    <t>v13_meas2</t>
  </si>
  <si>
    <t>v13a_meas2</t>
  </si>
  <si>
    <t>v14_meas2</t>
  </si>
  <si>
    <t>v15_meas2</t>
  </si>
  <si>
    <t>v16_meas2</t>
  </si>
  <si>
    <t>v16a_meas2</t>
  </si>
  <si>
    <t>v6a_meas3</t>
  </si>
  <si>
    <t>v8_meas3</t>
  </si>
  <si>
    <t>v9_meas3</t>
  </si>
  <si>
    <t>v9a_meas3</t>
  </si>
  <si>
    <t>v10_meas3</t>
  </si>
  <si>
    <t>v11_meas3</t>
  </si>
  <si>
    <t>v12_meas3</t>
  </si>
  <si>
    <t>v13_meas3</t>
  </si>
  <si>
    <t>v13a_meas3</t>
  </si>
  <si>
    <t>v14_meas3</t>
  </si>
  <si>
    <t>v15_meas3</t>
  </si>
  <si>
    <t>v16_meas3</t>
  </si>
  <si>
    <t>v16a_meas3</t>
  </si>
  <si>
    <t>NetSurveyComplete</t>
  </si>
  <si>
    <t>Z:\Favorites\CPUC10 (Group D - Custom EM&amp;V)\7 DCF\CIAC2018\data\CIAC2018Gross_Tracker_ProjectLevelTracking.csv</t>
  </si>
  <si>
    <t>Z:\Favorites\CPUC10 (Group D - Custom EM&amp;V)\7 DCF\CIAC2018\data\CIAC2018Gross_Tracker_ManageAssignments.csv</t>
  </si>
  <si>
    <t>domainpop</t>
  </si>
  <si>
    <t>papop</t>
  </si>
  <si>
    <t>ClaimUnweighted_NTGR</t>
  </si>
  <si>
    <t>PercentAdj</t>
  </si>
  <si>
    <t>ClaimUnweightedAdj_NTGR</t>
  </si>
  <si>
    <t>EnhancedStory</t>
  </si>
  <si>
    <t>ClaimWeighted_NTGR_kWh_Thm</t>
  </si>
  <si>
    <t>ClaimWeighted_NTGR_kW</t>
  </si>
  <si>
    <t>Z:\Favorites\CPUC10 (Group D - Custom EM&amp;V)\8 PII\11 - Draft and Final Evaluation Reports\CIAC2018\Data\claimpop_raw.csv</t>
  </si>
  <si>
    <t>netdispo</t>
  </si>
  <si>
    <t>Z:\Favorites\CPUC10 (Group D - Custom EM&amp;V)\7 DCF\CIAC2018\data\CIAC_Net Survey Dispositions.csv</t>
  </si>
  <si>
    <t>RECRUIT</t>
  </si>
  <si>
    <t>PRETEST</t>
  </si>
  <si>
    <t>RIGOR</t>
  </si>
  <si>
    <t>complete_date</t>
  </si>
  <si>
    <t>disposition</t>
  </si>
  <si>
    <t>NetDisposition</t>
  </si>
  <si>
    <t>GrossDisposition</t>
  </si>
  <si>
    <t>Eval1stBaselineCost</t>
  </si>
  <si>
    <t>Eval2ndBaselineCost</t>
  </si>
  <si>
    <t>EvalIncentive</t>
  </si>
  <si>
    <t>GrossContacted</t>
  </si>
  <si>
    <t>NetContacted</t>
  </si>
  <si>
    <t>ReviewStartDate</t>
  </si>
  <si>
    <t>SiteFolderCreateDate</t>
  </si>
  <si>
    <t>PANotifiedDate</t>
  </si>
  <si>
    <t>DropDate</t>
  </si>
  <si>
    <t>DocDownloadDate</t>
  </si>
  <si>
    <t>MVStaff</t>
  </si>
  <si>
    <t>CollectionStaff</t>
  </si>
  <si>
    <t>AnalysisStaff</t>
  </si>
  <si>
    <t>SampleID2</t>
  </si>
  <si>
    <t>Net_ready</t>
  </si>
  <si>
    <t>EMV_folder</t>
  </si>
  <si>
    <t>Gross_upload</t>
  </si>
  <si>
    <t>PA_review_comments</t>
  </si>
  <si>
    <t>SBW_ProjID2</t>
  </si>
  <si>
    <t>Gross_ready</t>
  </si>
  <si>
    <t>Net_upload</t>
  </si>
  <si>
    <t>netgrossdata</t>
  </si>
  <si>
    <t>Z:\Favorites\CPUC10 (Group D - Custom EM&amp;V)\8 PII\10 - Ex Post Evaluated Net Savings Estimates\CIAC2018Gross\newsampleGrossdata.csv</t>
  </si>
  <si>
    <t>smpld_net_new</t>
  </si>
  <si>
    <t>trackerclaim</t>
  </si>
  <si>
    <t>Z:\Favorites\CPUC10 (Group D - Custom EM&amp;V)\7 DCF\CIAC2018\tracker\CIAC2018_Tracker.xlsm</t>
  </si>
  <si>
    <t>Sample Claims</t>
  </si>
  <si>
    <t>Column1</t>
  </si>
  <si>
    <t>Contact2ID</t>
  </si>
  <si>
    <t>Contact2PhoneExtension</t>
  </si>
  <si>
    <t>Contact2PhoneExtensionAlt</t>
  </si>
  <si>
    <t>Contact2PhoneTypeAlt</t>
  </si>
  <si>
    <t>sampled</t>
  </si>
  <si>
    <t>GrossReplacementOrder</t>
  </si>
  <si>
    <t>NetOrder</t>
  </si>
  <si>
    <t>SampleType</t>
  </si>
  <si>
    <t>SampledkWh</t>
  </si>
  <si>
    <t>SampledTherm</t>
  </si>
  <si>
    <t>cumsumthm</t>
  </si>
  <si>
    <t>randomthm</t>
  </si>
  <si>
    <t>Sampled_any_old</t>
  </si>
  <si>
    <t>Eval_ExPostAnnualizedNetkW</t>
  </si>
  <si>
    <t>Eval_ExPostAnnualizedGrosskW</t>
  </si>
  <si>
    <t>Eval_ExPostAnnualizedGrosskWh</t>
  </si>
  <si>
    <t>Eval_ExPostAnnualizedGrossTherm</t>
  </si>
  <si>
    <t>Eval_ExPostAnnualizedNetkWh</t>
  </si>
  <si>
    <t>Eval_ExPostAnnualizedNetTherm</t>
  </si>
  <si>
    <t>Z:\Favorites\CPUC10 (Group D - Custom EM&amp;V)\8 PII\01 - 2018-19 Ex Post Workplans\CIAC\2018 claims and sample frame data\cedars_Claim.csv</t>
  </si>
  <si>
    <t>Z:\Favorites\CPUC10 (Group D - Custom EM&amp;V)\8 PII\01 - 2018-19 Ex Post Workplans\CIAC\2018 claims and sample frame data\cedars_CustomMeasure.csv</t>
  </si>
  <si>
    <t>MeasAppType_cmsr</t>
  </si>
  <si>
    <t>Comments_cmsr</t>
  </si>
  <si>
    <t>Sheet1</t>
  </si>
  <si>
    <t>tablename</t>
  </si>
  <si>
    <t>CIAC2018Gross_Tracker_ProjectLevelTracking</t>
  </si>
  <si>
    <t>CIAC2018Gross_Tracker_ManageAssignments</t>
  </si>
  <si>
    <t>Z:\Favorites\CPUC10 (Group D - Custom EM&amp;V)\7 DCF\CIAC2018\data\CIAC2018Gross_NetWorkbookData_postprocess.csv</t>
  </si>
  <si>
    <t>ANSWERING MACHINE</t>
  </si>
  <si>
    <t>CALL BACK TO REACH TIME SPECIFIED</t>
  </si>
  <si>
    <t>CALL BACK TO REACH UNSPECIFIED</t>
  </si>
  <si>
    <t>CLAIMS TO HAVE BEEN PREVIOUSLY INTERVIEWED</t>
  </si>
  <si>
    <t>COMPLETE</t>
  </si>
  <si>
    <t>DISCONNECTED</t>
  </si>
  <si>
    <t>DROPPED OUT OF PROGRAM</t>
  </si>
  <si>
    <t>FAX/MODEM MACHINE</t>
  </si>
  <si>
    <t>HARD REFUSAL</t>
  </si>
  <si>
    <t>NEW SAMPLE POINT</t>
  </si>
  <si>
    <t>NO ANSWER</t>
  </si>
  <si>
    <t>NO CONTACT INFORMATION</t>
  </si>
  <si>
    <t>PG&amp;E GOT INVOLVED AFTER PROJECT COMPLETION</t>
  </si>
  <si>
    <t>QUALIFIED REFUSAL</t>
  </si>
  <si>
    <t>REACHED A CONTRACTOR</t>
  </si>
  <si>
    <t>SCREENER TERM</t>
  </si>
  <si>
    <t>SOFT REFUSAL</t>
  </si>
  <si>
    <t>status</t>
  </si>
  <si>
    <t>Complete</t>
  </si>
  <si>
    <t>Refused</t>
  </si>
  <si>
    <t>EvalNTGR_kW</t>
  </si>
  <si>
    <t>EvalNTGR_kWh</t>
  </si>
  <si>
    <t>EvalNTGR_Therm</t>
  </si>
  <si>
    <t>ExAnte_LifeCycleGross_NoRR_kW</t>
  </si>
  <si>
    <t>ExAnte_LifeCycleGross_NoRR_kWh</t>
  </si>
  <si>
    <t>ExAnte_LifeCycleGross_NoRR_thm</t>
  </si>
  <si>
    <t>ExAnte_Annualized_NoRR_kW</t>
  </si>
  <si>
    <t>ExAnte_Annualized_NoRR_kWh</t>
  </si>
  <si>
    <t>ExAnte_Annualized_NoRR_Therm</t>
  </si>
  <si>
    <t>Z:\Favorites\CPUC10 (Group D - Custom EM&amp;V)\8 PII\11 - Draft and Final Evaluation Reports\CIAC2018\Data\domain_summary.csv</t>
  </si>
  <si>
    <t>generated by R code</t>
  </si>
  <si>
    <t>domain_stratum_pop_kwh</t>
  </si>
  <si>
    <t>domain_stratum_pop_thm</t>
  </si>
  <si>
    <t>domain_stratum_pop_kw</t>
  </si>
  <si>
    <t>domain_stratum_smp_kw</t>
  </si>
  <si>
    <t>domain_stratum_smp_kw_prelim</t>
  </si>
  <si>
    <t>domain_stratum_smp_kwh</t>
  </si>
  <si>
    <t>domain_stratum_smp_kwh_prelim</t>
  </si>
  <si>
    <t>domain_stratum_smp_thm_prelim</t>
  </si>
  <si>
    <t>domain_stratum_smp_thm</t>
  </si>
  <si>
    <t>domain_weight_kw</t>
  </si>
  <si>
    <t>domain_weight_kwh</t>
  </si>
  <si>
    <t>domain_weight_thm</t>
  </si>
  <si>
    <t>combined fuel field, so mismatch true ok</t>
  </si>
  <si>
    <t>ExAnte_Annualized_Net_NoRR_kW</t>
  </si>
  <si>
    <t>ExAnte_Annualized_Net_NoRR_thm</t>
  </si>
  <si>
    <t>ExAnte_Annualized_Net_NoRR_kWh</t>
  </si>
  <si>
    <t>ExAnte_LifeCycleNet_NoRR_kW</t>
  </si>
  <si>
    <t>ExAnte_LifeCycleNet_NoRR_kWh</t>
  </si>
  <si>
    <t>ExAnte_LifeCycleNet_NoRR_thm</t>
  </si>
  <si>
    <t>domain_lifecycle_gross_rr_kw</t>
  </si>
  <si>
    <t>domain_lifecycle_gross_rr_kwh</t>
  </si>
  <si>
    <t>domain_lifecycle_gross_rr_thm</t>
  </si>
  <si>
    <t>domain_annualized_gross_rr_kw</t>
  </si>
  <si>
    <t>domain_annualized_gross_rr_kwh</t>
  </si>
  <si>
    <t>domain_annualized_gross_rr_thm</t>
  </si>
  <si>
    <t>ExPost_Annualized_Gross_MMBtu</t>
  </si>
  <si>
    <t>ExPost_Lifecycle_Gross_MMBtu</t>
  </si>
  <si>
    <t>ExPost_Annualized_Gross_thm_mmbtu</t>
  </si>
  <si>
    <t>ExPost_Annualized_Gross_kwh_mmbtu</t>
  </si>
  <si>
    <t>ExPost_Lifecycle_Gross_kwh_mmbtu</t>
  </si>
  <si>
    <t>ExPost_Lifecycle_Gross_thm_mmbtu</t>
  </si>
  <si>
    <t>Program Adminstrator</t>
  </si>
  <si>
    <t>Sample domain</t>
  </si>
  <si>
    <t>rp_svgs_dom_kWh_AG</t>
  </si>
  <si>
    <t>rp_svgs_dom_kW_AG</t>
  </si>
  <si>
    <t>rp_svgs_dom_thm_AG</t>
  </si>
  <si>
    <t>lb_svgs_dom_kWh_AG</t>
  </si>
  <si>
    <t>lb_svgs_dom_kW_AG</t>
  </si>
  <si>
    <t>lb_svgs_dom_thm_AG</t>
  </si>
  <si>
    <t>ub_svgs_dom_kWh_AG</t>
  </si>
  <si>
    <t>ub_svgs_dom_kW_AG</t>
  </si>
  <si>
    <t>ub_svgs_dom_thm_AG</t>
  </si>
  <si>
    <t>rp_svgs_dom_kWh_LG</t>
  </si>
  <si>
    <t>rp_svgs_dom_kW_LG</t>
  </si>
  <si>
    <t>rp_svgs_dom_thm_LG</t>
  </si>
  <si>
    <t>lb_svgs_dom_kWh_LG</t>
  </si>
  <si>
    <t>lb_svgs_dom_kW_LG</t>
  </si>
  <si>
    <t>lb_svgs_dom_thm_LG</t>
  </si>
  <si>
    <t>ub_svgs_dom_kWh_LG</t>
  </si>
  <si>
    <t>ub_svgs_dom_kW_LG</t>
  </si>
  <si>
    <t>ub_svgs_dom_thm_LG</t>
  </si>
  <si>
    <t>Ex Post Realization Rate Annualized Gross kWh</t>
  </si>
  <si>
    <t>Ex Post Realization Rate Annualized Gross kW</t>
  </si>
  <si>
    <t>Ex Post Realization Rate Annualized Gross Thm</t>
  </si>
  <si>
    <t>RR Relative Precision Annualized Gross kWh</t>
  </si>
  <si>
    <t>RR Relative Precision Annualized Gross kW</t>
  </si>
  <si>
    <t>RR Relative Precision Annualized Gross Thm</t>
  </si>
  <si>
    <t>Total Ex Post Savings Annualized Gross kWh</t>
  </si>
  <si>
    <t>Total Ex Post Savings Annualized Gross kW</t>
  </si>
  <si>
    <t>Total Ex Post Savings Annualized Gross Thm</t>
  </si>
  <si>
    <t>Ex Post Savings Relative Precision Annualized Gross kWh</t>
  </si>
  <si>
    <t>Ex Post Savings Relative Precision Annualized Gross kW</t>
  </si>
  <si>
    <t>Ex Post Savings Relative Precision Annualized Gross Thm</t>
  </si>
  <si>
    <t>RR Lower Bound Annualized Gross kWh</t>
  </si>
  <si>
    <t>RR Lower Bound Annualized Gross kW</t>
  </si>
  <si>
    <t>RR Lower Bound Annualized Gross Thm</t>
  </si>
  <si>
    <t>RR Upper Bound Annualized Gross kWh</t>
  </si>
  <si>
    <t>RR Upper Bound Annualized Gross kW</t>
  </si>
  <si>
    <t>RR Upper Bound Annualized Gross Thm</t>
  </si>
  <si>
    <t>Ex Post Savings Lower Bound Annualized Gross kWh</t>
  </si>
  <si>
    <t>Ex Post Savings Lower Bound Annualized Gross kW</t>
  </si>
  <si>
    <t>Ex Post Savings Lower Bound Annualized Gross Thm</t>
  </si>
  <si>
    <t>Ex Post Savings Upper Bound Annualized Gross kWh</t>
  </si>
  <si>
    <t>Ex Post Savings Upper Bound Annualized Gross kW</t>
  </si>
  <si>
    <t>Ex Post Savings Upper Bound Annualized Gross Thm</t>
  </si>
  <si>
    <t>Field name in domain_summary.csv</t>
  </si>
  <si>
    <t>Field Description</t>
  </si>
  <si>
    <t>Decsription</t>
  </si>
  <si>
    <t>See Cedars documentation</t>
  </si>
  <si>
    <t>st_EvalNTGRkW</t>
  </si>
  <si>
    <t>st_EvalNTGRkWh</t>
  </si>
  <si>
    <t>st_EvalNTGRTherm</t>
  </si>
  <si>
    <t>ss_pop_kwh</t>
  </si>
  <si>
    <t>ss_pop_thm</t>
  </si>
  <si>
    <t>ss_weight_kwh</t>
  </si>
  <si>
    <t>ss_weight_thm</t>
  </si>
  <si>
    <t>ss_wtd_mean_ntgr_kw</t>
  </si>
  <si>
    <t>ss_wtd_mean_ntgr_kwh</t>
  </si>
  <si>
    <t>ss_wtd_mean_ntgr_thm</t>
  </si>
  <si>
    <t>sampled_net_full</t>
  </si>
  <si>
    <t>domain_prob_sel_kw</t>
  </si>
  <si>
    <t>domain_prob_sel_kwh</t>
  </si>
  <si>
    <t>domain_prob_sel_thm</t>
  </si>
  <si>
    <t>ss_prob_sel_kw</t>
  </si>
  <si>
    <t>ss_prob_sel_thm</t>
  </si>
  <si>
    <t>ss_prob_sel_kwh</t>
  </si>
  <si>
    <t>blended_ntgr_kw</t>
  </si>
  <si>
    <t>blended_ntgr_kwh</t>
  </si>
  <si>
    <t>blended_ntgr_thm</t>
  </si>
  <si>
    <t>RP_dom_kWh_AN</t>
  </si>
  <si>
    <t>CI_up_kWh_AN</t>
  </si>
  <si>
    <t>CI_low_kWh_AN</t>
  </si>
  <si>
    <t>RP_dom_kW_AN</t>
  </si>
  <si>
    <t>CI_up_kW_AN</t>
  </si>
  <si>
    <t>CI_low_kW_AN</t>
  </si>
  <si>
    <t>RP_dom_thm_AN</t>
  </si>
  <si>
    <t>CI_up_thm_AN</t>
  </si>
  <si>
    <t>CI_low_thm_AN</t>
  </si>
  <si>
    <t>dom_eval_NTGR_thm_AN</t>
  </si>
  <si>
    <t>RP_dom_kWh_LN</t>
  </si>
  <si>
    <t>CI_up_kWh_LN</t>
  </si>
  <si>
    <t>CI_low_kWh_LN</t>
  </si>
  <si>
    <t>RP_dom_kW_LN</t>
  </si>
  <si>
    <t>CI_up_kW_LN</t>
  </si>
  <si>
    <t>CI_low_kW_LN</t>
  </si>
  <si>
    <t>RP_dom_thm_LN</t>
  </si>
  <si>
    <t>CI_up_thm_LN</t>
  </si>
  <si>
    <t>CI_low_thm_LN</t>
  </si>
  <si>
    <t>dom_eval_NTGR_thm_LN</t>
  </si>
  <si>
    <t>ss_ExAnteLifeCycleNet_kw</t>
  </si>
  <si>
    <t>ss_ExAnteLifeCycleNet_thm</t>
  </si>
  <si>
    <t>ss_ExAnteLifeCycleNet_kwh</t>
  </si>
  <si>
    <t>For net blended NTGR calculation</t>
  </si>
  <si>
    <t>within project count by stratum</t>
  </si>
  <si>
    <t>AR_Claim_LifeCycleNet_kwh</t>
  </si>
  <si>
    <t>AR_Eval_LifeCycleNet_kwh</t>
  </si>
  <si>
    <t>Z:\Favorites\CPUC10 (Group D - Custom EM&amp;V)\7 DCF\CIAC2018\dcf\CIAC 2018 sample control file - add frames.csv</t>
  </si>
  <si>
    <t>V1</t>
  </si>
  <si>
    <t>cumsumkwh</t>
  </si>
  <si>
    <t>randomkwh</t>
  </si>
  <si>
    <t>Frame_Electric</t>
  </si>
  <si>
    <t>Frame_Gas</t>
  </si>
  <si>
    <t>out_SamplePop</t>
  </si>
  <si>
    <t>This is the Project level NTGR. It's called this to match equation 11 in the roll up doc</t>
  </si>
  <si>
    <t>generated by python code</t>
  </si>
  <si>
    <t>generated by python code: create_framedesign</t>
  </si>
  <si>
    <t>Electric frame domain population</t>
  </si>
  <si>
    <t>Gas frame domain population</t>
  </si>
  <si>
    <t>Electric frame domain gross sample size</t>
  </si>
  <si>
    <t>Electric frame domain gross completion count</t>
  </si>
  <si>
    <t>Gas frame domain gross sample size</t>
  </si>
  <si>
    <t>Gas frame domain gross completion count</t>
  </si>
  <si>
    <t>Electric frame domain net sample size</t>
  </si>
  <si>
    <t>Electric frame domain net completion count</t>
  </si>
  <si>
    <t>Gas frame domain net sample size</t>
  </si>
  <si>
    <t>Gas frame domain net completion count</t>
  </si>
  <si>
    <t>Ex Post Savings Lower Bound Annualized Net kWh</t>
  </si>
  <si>
    <t>Ex Post Savings Upper Bound Annualized Net kWh</t>
  </si>
  <si>
    <t>Ex Post Savings Lower Bound Annualized Net kW</t>
  </si>
  <si>
    <t>Ex Post Savings Upper Bound Annualized Net kW</t>
  </si>
  <si>
    <t>Ex Post Savings Relative Precision Annualized Net kWh</t>
  </si>
  <si>
    <t>Ex Post Savings Relative Precision Annualized Net kW</t>
  </si>
  <si>
    <t>Ex Post Savings Relative Precision Annualized Net thm</t>
  </si>
  <si>
    <t>Ex Post Savings Lower Bound Annualized Net thm</t>
  </si>
  <si>
    <t>Ex Post Savings Upper Bound Annualized Net thm</t>
  </si>
  <si>
    <t>Ex Post NTGR Annualized thm</t>
  </si>
  <si>
    <t>Ex Post Savings Annualized Net thm</t>
  </si>
  <si>
    <t>Ex Post Savings Relative Precision Lifecycle Net kWh</t>
  </si>
  <si>
    <t>Ex Post Savings Lower Bound Lifecycle Net kWh</t>
  </si>
  <si>
    <t>Ex Post Savings Upper Bound Lifecycle Net kWh</t>
  </si>
  <si>
    <t>Ex Post Savings Relative Precision Lifecycle Net kW</t>
  </si>
  <si>
    <t>Ex Post Savings Lower Bound Lifecycle Net kW</t>
  </si>
  <si>
    <t>Ex Post Savings Upper Bound Lifecycle Net kW</t>
  </si>
  <si>
    <t>Ex Post Savings Relative Precision Lifecycle Net thm</t>
  </si>
  <si>
    <t>Ex Post Savings Lower Bound Lifecycle Net thm</t>
  </si>
  <si>
    <t>Ex Post Savings Upper Bound Lifecycle Net thm</t>
  </si>
  <si>
    <t>Ex Post Savings Lifecycle Net thm</t>
  </si>
  <si>
    <t>Ex Post NTGR Lifecycle thm</t>
  </si>
  <si>
    <t>Electric frame domain population (net should be same as gross)</t>
  </si>
  <si>
    <t>Gas frame domain population (net should be same as gross)</t>
  </si>
  <si>
    <t>dom_pop_kWh</t>
  </si>
  <si>
    <t>dom_n_kWh</t>
  </si>
  <si>
    <t>dom_cmplt_kWh</t>
  </si>
  <si>
    <t>dom_pop_thm</t>
  </si>
  <si>
    <t>dom_n_thm</t>
  </si>
  <si>
    <t>dom_cmplt_thm</t>
  </si>
  <si>
    <t>dom_eval_RR_kWh_AG</t>
  </si>
  <si>
    <t>dom_eval_RR_kW_AG</t>
  </si>
  <si>
    <t>rp_dom_eval_RR_kWh_AG</t>
  </si>
  <si>
    <t>rp_dom_eval_RR_kW_AG</t>
  </si>
  <si>
    <t>dom_eval_svgs_kWh_AG</t>
  </si>
  <si>
    <t>dom_eval_svgs_kW_AG</t>
  </si>
  <si>
    <t>lb_dom_eval_RR_kWh_AG</t>
  </si>
  <si>
    <t>lb_dom_eval_RR_kW_AG</t>
  </si>
  <si>
    <t>ub_dom_eval_RR_kWh_AG</t>
  </si>
  <si>
    <t>ub_dom_eval_RR_kW_AG</t>
  </si>
  <si>
    <t>dom_eval_RR_thm_AG</t>
  </si>
  <si>
    <t>rp_dom_eval_RR_thm_AG</t>
  </si>
  <si>
    <t>dom_eval_svgs_thm_AG</t>
  </si>
  <si>
    <t>lb_dom_eval_RR_thm_AG</t>
  </si>
  <si>
    <t>ub_dom_eval_RR_thm_AG</t>
  </si>
  <si>
    <t>dom_eval_RR_kWh_LG</t>
  </si>
  <si>
    <t>dom_eval_RR_kW_LG</t>
  </si>
  <si>
    <t>rp_dom_eval_RR_kWh_LG</t>
  </si>
  <si>
    <t>rp_dom_eval_RR_kW_LG</t>
  </si>
  <si>
    <t>dom_eval_svgs_kWh_LG</t>
  </si>
  <si>
    <t>dom_eval_svgs_kW_LG</t>
  </si>
  <si>
    <t>lb_dom_eval_RR_kWh_LG</t>
  </si>
  <si>
    <t>lb_dom_eval_RR_kW_LG</t>
  </si>
  <si>
    <t>ub_dom_eval_RR_kWh_LG</t>
  </si>
  <si>
    <t>ub_dom_eval_RR_kW_LG</t>
  </si>
  <si>
    <t>dom_eval_RR_thm_LG</t>
  </si>
  <si>
    <t>rp_dom_eval_RR_thm_LG</t>
  </si>
  <si>
    <t>dom_eval_svgs_thm_LG</t>
  </si>
  <si>
    <t>lb_dom_eval_RR_thm_LG</t>
  </si>
  <si>
    <t>ub_dom_eval_RR_thm_LG</t>
  </si>
  <si>
    <t>dom_pop_net_kWh</t>
  </si>
  <si>
    <t>dom_n_net_kWh</t>
  </si>
  <si>
    <t>dom_cmplt_net_kWh</t>
  </si>
  <si>
    <t>dom_pop_net_thm</t>
  </si>
  <si>
    <t>dom_n_net_thm</t>
  </si>
  <si>
    <t>dom_cmplt_net_thm</t>
  </si>
  <si>
    <t>dom_eval_svgs_thm_AN</t>
  </si>
  <si>
    <t>dom_eval_svgs_thm_LN</t>
  </si>
  <si>
    <t>Ex Post Realization Rate Lifecycle Gross kWh</t>
  </si>
  <si>
    <t>Ex Post Realization Rate Lifecycle Gross kW</t>
  </si>
  <si>
    <t>RR Relative Precision Lifecycle Gross kWh</t>
  </si>
  <si>
    <t>RR Relative Precision Lifecycle Gross kW</t>
  </si>
  <si>
    <t>Total Ex Post Savings Lifecycle Gross kWh</t>
  </si>
  <si>
    <t>Total Ex Post Savings Lifecycle Gross kW</t>
  </si>
  <si>
    <t>Ex Post Savings Relative Precision Lifecycle Gross kWh</t>
  </si>
  <si>
    <t>Ex Post Savings Relative Precision Lifecycle Gross kW</t>
  </si>
  <si>
    <t>RR Lower Bound Lifecycle Gross kWh</t>
  </si>
  <si>
    <t>RR Lower Bound Lifecycle Gross kW</t>
  </si>
  <si>
    <t>RR Upper Bound Lifecycle Gross kWh</t>
  </si>
  <si>
    <t>RR Upper Bound Lifecycle Gross kW</t>
  </si>
  <si>
    <t>Ex Post Savings Lower Bound Lifecycle Gross kWh</t>
  </si>
  <si>
    <t>Ex Post Savings Lower Bound Lifecycle Gross kW</t>
  </si>
  <si>
    <t>Ex Post Savings Upper Bound Lifecycle Gross kWh</t>
  </si>
  <si>
    <t>Ex Post Savings Upper Bound Lifecycle Gross kW</t>
  </si>
  <si>
    <t>Ex Post Realization Rate Lifecycle Gross Thm</t>
  </si>
  <si>
    <t>RR Relative Precision Lifecycle Gross Thm</t>
  </si>
  <si>
    <t>Total Ex Post Savings Lifecycle Gross Thm</t>
  </si>
  <si>
    <t>Ex Post Savings Relative Precision Lifecycle Gross Thm</t>
  </si>
  <si>
    <t>RR Lower Bound Lifecycle Gross Thm</t>
  </si>
  <si>
    <t>RR Upper Bound Lifecycle Gross Thm</t>
  </si>
  <si>
    <t>Ex Post Savings Lower Bound Lifecycle Gross Thm</t>
  </si>
  <si>
    <t>Ex Post Savings Upper Bound Lifecycle Gross Thm</t>
  </si>
  <si>
    <t>prj_annualized_rr_kw</t>
  </si>
  <si>
    <t>prj_annualized_rr_thm</t>
  </si>
  <si>
    <t>prj_annualized_rr_kwh</t>
  </si>
  <si>
    <t>prj_lifecyclegross_rr_kw</t>
  </si>
  <si>
    <t>prj_lifecyclegross_rr_kwh</t>
  </si>
  <si>
    <t>prj_lifecyclegross_rr_thm</t>
  </si>
  <si>
    <t>Total Ex Ante Savings Annualized Gross kWh</t>
  </si>
  <si>
    <t>Total Ex Ante Savings Annualized Gross kW</t>
  </si>
  <si>
    <t>Total Ex Ante Savings Annualized Gross Thm</t>
  </si>
  <si>
    <t>Total Ex Ante Savings Lifecycle Gross kWh</t>
  </si>
  <si>
    <t>Total Ex Ante Savings Lifecycle Gross kW</t>
  </si>
  <si>
    <t>Total Ex Ante Savings Lifecycle Gross Thm</t>
  </si>
  <si>
    <t>Claim_AR_ExAnte_LifeCycleGross_NoRR_kwh</t>
  </si>
  <si>
    <t>Eval_AR_ExAnte_LifeCycleGross_NoRR_kwh</t>
  </si>
  <si>
    <t>tblID</t>
  </si>
  <si>
    <t>category</t>
  </si>
  <si>
    <t>Ineligible - no contact info</t>
  </si>
  <si>
    <t>Ineligible - nonworking number</t>
  </si>
  <si>
    <t>Ineligible - not recruited</t>
  </si>
  <si>
    <t>Ineligible - previous interview</t>
  </si>
  <si>
    <t>Ineligible - program dropout</t>
  </si>
  <si>
    <t>Ineligible - wrong number</t>
  </si>
  <si>
    <t>Non-contact</t>
  </si>
  <si>
    <t>Partial</t>
  </si>
  <si>
    <t>Terminated</t>
  </si>
  <si>
    <t>BUSY</t>
  </si>
  <si>
    <t>INCOMPLETE</t>
  </si>
  <si>
    <t>NOT YET RECRUITED</t>
  </si>
  <si>
    <t>catkey</t>
  </si>
  <si>
    <t>I</t>
  </si>
  <si>
    <t>X1</t>
  </si>
  <si>
    <t>X2</t>
  </si>
  <si>
    <t>P</t>
  </si>
  <si>
    <t>UH</t>
  </si>
  <si>
    <t>UHNC</t>
  </si>
  <si>
    <t>UHR</t>
  </si>
  <si>
    <t>responserate</t>
  </si>
  <si>
    <t>cnr</t>
  </si>
  <si>
    <t>numofattempts</t>
  </si>
  <si>
    <t>dispositioncategory</t>
  </si>
  <si>
    <t>pending_QC</t>
  </si>
  <si>
    <t>last_updated_date</t>
  </si>
  <si>
    <t>Z:\Favorites\CPUC10 (Group D - Custom EM&amp;V)\8 PII\11 - Draft and Final Evaluation Reports\CIAC2018\Data\responserate.csv</t>
  </si>
  <si>
    <t>need to add in not yet recruited criteria, but system can't handle it :(</t>
  </si>
  <si>
    <t>dom_exante_kWh_AN</t>
  </si>
  <si>
    <t>dom_exante_kWh_LN</t>
  </si>
  <si>
    <t>Total Ex Ante Savings Annualized Net kWh</t>
  </si>
  <si>
    <t>Total Ex Ante Savings Annualized Net kW</t>
  </si>
  <si>
    <t>Total Ex Ante Savings Annualized Net Thm</t>
  </si>
  <si>
    <t>Total Ex Ante Savings Lifecycle Net kWh</t>
  </si>
  <si>
    <t>Total Ex Ante Savings Lifecycle Net kW</t>
  </si>
  <si>
    <t>Total Ex Ante Savings Lifecycle Net Thm</t>
  </si>
  <si>
    <t>Refused/No Contact</t>
  </si>
  <si>
    <t>x1</t>
  </si>
  <si>
    <t>Screen Out</t>
  </si>
  <si>
    <t>x2</t>
  </si>
  <si>
    <t>Ineligible</t>
  </si>
  <si>
    <t>No Contact Info</t>
  </si>
  <si>
    <t>prj_annualized_rr_kw_extra</t>
  </si>
  <si>
    <t>prj_annualized_rr_kwh_extra</t>
  </si>
  <si>
    <t>prj_annualized_rr_thm_extra</t>
  </si>
  <si>
    <t>weighted_expost_lifecycle_gross_kwh</t>
  </si>
  <si>
    <t>weighted_expost_lifecycle_gross_thm</t>
  </si>
  <si>
    <t>weighted_expost_lifecycle_net_kwh</t>
  </si>
  <si>
    <t>weighted_expost_lifecycle_net_thm</t>
  </si>
  <si>
    <t>grosscategory</t>
  </si>
  <si>
    <t>Dropped</t>
  </si>
  <si>
    <t>status_ols</t>
  </si>
  <si>
    <t>Screen</t>
  </si>
  <si>
    <t>NoInfo</t>
  </si>
  <si>
    <t>Completed</t>
  </si>
  <si>
    <t>dom_exante_kWh_AG</t>
  </si>
  <si>
    <t>dom_exante_kW_AG</t>
  </si>
  <si>
    <t>dom_exante_thm_AG</t>
  </si>
  <si>
    <t>dom_exante_kWh_LG</t>
  </si>
  <si>
    <t>dom_exante_kW_LG</t>
  </si>
  <si>
    <t>dom_exante_thm_LG</t>
  </si>
  <si>
    <t>dom_exante_kW_AN</t>
  </si>
  <si>
    <t>dom_eval_svgs_kWh_AN</t>
  </si>
  <si>
    <t>dom_eval_NTGR_kWh_AN</t>
  </si>
  <si>
    <t>dom_eval_svgs_kW_AN</t>
  </si>
  <si>
    <t>dom_eval_NTGR_kW_AN</t>
  </si>
  <si>
    <t>dom_exante_thm_AN</t>
  </si>
  <si>
    <t>dom_exante_kW_LN</t>
  </si>
  <si>
    <t>dom_eval_svgs_kWh_LN</t>
  </si>
  <si>
    <t>dom_eval_NTGR_kWh_LN</t>
  </si>
  <si>
    <t>dom_eval_svgs_kW_LN</t>
  </si>
  <si>
    <t>dom_eval_NTGR_kW_LN</t>
  </si>
  <si>
    <t>dom_exante_thm_LN</t>
  </si>
  <si>
    <t>Ex Post Savings Annualized Net kWh</t>
  </si>
  <si>
    <t>Ex Post NTGR Annualized kWh</t>
  </si>
  <si>
    <t>Ex Post Savings Annualized Net kW</t>
  </si>
  <si>
    <t>Ex Post NTGR Annualized kW</t>
  </si>
  <si>
    <t>Ex Post Savings Lifecycle Net kWh</t>
  </si>
  <si>
    <t>Ex Post NTGR Lifecycle kWh</t>
  </si>
  <si>
    <t>Ex Post Savings Lifecycle Net kW</t>
  </si>
  <si>
    <t>Ex Post NTGR Lifecycle kW</t>
  </si>
  <si>
    <t>Field name in PA_summary.csv</t>
  </si>
  <si>
    <t>PA_pop_kWh</t>
  </si>
  <si>
    <t>PA_n_gr_kWh</t>
  </si>
  <si>
    <t>PA_cmplt_gr_kWh</t>
  </si>
  <si>
    <t>PA_n_net_kWh</t>
  </si>
  <si>
    <t>PA_cmplt_net_kWh</t>
  </si>
  <si>
    <t>PA_exante_svgs_kWh_AG</t>
  </si>
  <si>
    <t>PA_exante_svgs_kW_AG</t>
  </si>
  <si>
    <t>PA_exante_svgs_kWh_LG</t>
  </si>
  <si>
    <t>PA_exante_svgs_kW_LG</t>
  </si>
  <si>
    <t>PA_exante_svgs_kWh_AN</t>
  </si>
  <si>
    <t>PA_exante_svgs_kW_AN</t>
  </si>
  <si>
    <t>PA_exante_svgs_kWh_LN</t>
  </si>
  <si>
    <t>PA_exante_svgs_kW_LN</t>
  </si>
  <si>
    <t>PA_eval_svgs_kWh_AG</t>
  </si>
  <si>
    <t>PA_eval_svgs_kW_AG</t>
  </si>
  <si>
    <t>PA_eval_svgs_kWh_LG</t>
  </si>
  <si>
    <t>PA_eval_svgs_kW_LG</t>
  </si>
  <si>
    <t>PA_eval_svgs_kWh_AN</t>
  </si>
  <si>
    <t>PA_eval_svgs_kW_AN</t>
  </si>
  <si>
    <t>PA_eval_svgs_kWh_LN</t>
  </si>
  <si>
    <t>PA_eval_svgs_kW_LN</t>
  </si>
  <si>
    <t>PA_rp_kWh_AG</t>
  </si>
  <si>
    <t>PA_rp_kW_AG</t>
  </si>
  <si>
    <t>PA_rp_kWh_LG</t>
  </si>
  <si>
    <t>PA_rp_kW_LG</t>
  </si>
  <si>
    <t>PA_rp_kWh_AN</t>
  </si>
  <si>
    <t>PA_rp_kW_AN</t>
  </si>
  <si>
    <t>PA_rp_kWh_LN</t>
  </si>
  <si>
    <t>PA_rp_kW_LN</t>
  </si>
  <si>
    <t>PA_RR_kWh_AG</t>
  </si>
  <si>
    <t>PA_RR_kW_AG</t>
  </si>
  <si>
    <t>PA_RR_kWh_LG</t>
  </si>
  <si>
    <t>PA_RR_kW_LG</t>
  </si>
  <si>
    <t>PA_NTGR_kWh_Ann</t>
  </si>
  <si>
    <t>PA_NTGR_kWh_LC</t>
  </si>
  <si>
    <t>PA_pop_thm</t>
  </si>
  <si>
    <t>PA_n_gr_thm</t>
  </si>
  <si>
    <t>PA_cmplt_gr_thm</t>
  </si>
  <si>
    <t>PA_n_net_thm</t>
  </si>
  <si>
    <t>PA_cmplt_net_thm</t>
  </si>
  <si>
    <t>PA_exante_svgs_thm_AG</t>
  </si>
  <si>
    <t>PA_exante_svgs_thm_LG</t>
  </si>
  <si>
    <t>PA_exante_svgs_thm_AN</t>
  </si>
  <si>
    <t>PA_exante_svgs_thm_LN</t>
  </si>
  <si>
    <t>PA_eval_svgs_thm_AG</t>
  </si>
  <si>
    <t>PA_eval_svgs_thm_LG</t>
  </si>
  <si>
    <t>PA_eval_svgs_thm_AN</t>
  </si>
  <si>
    <t>PA_eval_svgs_thm_LN</t>
  </si>
  <si>
    <t>PA_rp_thm_AG</t>
  </si>
  <si>
    <t>PA_rp_thm_LG</t>
  </si>
  <si>
    <t>PA_rp_thm_AN</t>
  </si>
  <si>
    <t>PA_rp_thm_LN</t>
  </si>
  <si>
    <t>PA_RR_thm_AG</t>
  </si>
  <si>
    <t>PA_RR_thm_LG</t>
  </si>
  <si>
    <t>PA_NTGR_thm_Ann</t>
  </si>
  <si>
    <t>PA_NTGR_thm_LC</t>
  </si>
  <si>
    <t>Electric frame PA population</t>
  </si>
  <si>
    <t>Electric frame PA gross sample size</t>
  </si>
  <si>
    <t>Electric frame PA gross completion count</t>
  </si>
  <si>
    <t>Electric frame PA gross net size</t>
  </si>
  <si>
    <t>Electric frame PA gross net count</t>
  </si>
  <si>
    <t>Total Ex Post Savings Annualized Net kWh</t>
  </si>
  <si>
    <t>Total Ex Post Savings Annualized Net kW</t>
  </si>
  <si>
    <t>Total Ex Post Savings Lifecycle Net kWh</t>
  </si>
  <si>
    <t>Total Ex Post Savings Lifecycle Net kW</t>
  </si>
  <si>
    <t>Relative Precision Annualized Gross kWh</t>
  </si>
  <si>
    <t>Relative Precision Annualized Gross kW</t>
  </si>
  <si>
    <t>Relative Precision Lifecycle Gross kWh</t>
  </si>
  <si>
    <t>Relative Precision Lifecycle Gross kW</t>
  </si>
  <si>
    <t>Relative Precision Annualized Net kWh</t>
  </si>
  <si>
    <t>Relative Precision Annualized Net kW</t>
  </si>
  <si>
    <t>Relative Precision Lifecycle Net kWh</t>
  </si>
  <si>
    <t>Relative Precision Lifecycle Net kW</t>
  </si>
  <si>
    <t>Realization Rate Annualized Gross kWh</t>
  </si>
  <si>
    <t>Realization Rate Annualized Gross kW</t>
  </si>
  <si>
    <t>Realization Rate Lifecycle Gross kWh</t>
  </si>
  <si>
    <t>Realization Rate Lifecycle Gross kW</t>
  </si>
  <si>
    <t>Annualized NTGR kWh</t>
  </si>
  <si>
    <t>Lifecycle NTGR kWh</t>
  </si>
  <si>
    <t>Gas frame PA population</t>
  </si>
  <si>
    <t>Gas frame PA gross sample size</t>
  </si>
  <si>
    <t>Gas frame PA gross completion count</t>
  </si>
  <si>
    <t>Gas frame PA gross net size</t>
  </si>
  <si>
    <t>Gas frame PA gross net count</t>
  </si>
  <si>
    <t>Total Ex Ante Savings Annualized Gross thm</t>
  </si>
  <si>
    <t>Total Ex Ante Savings Lifecycle Gross thm</t>
  </si>
  <si>
    <t>Total Ex Ante Savings Annualized Net thm</t>
  </si>
  <si>
    <t>Total Ex Ante Savings Lifecycle Net thm</t>
  </si>
  <si>
    <t>Total Ex Post Savings Annualized Gross thm</t>
  </si>
  <si>
    <t>Total Ex Post Savings Lifecycle Gross thm</t>
  </si>
  <si>
    <t>Total Ex Post Savings Annualized Net thm</t>
  </si>
  <si>
    <t>Total Ex Post Savings Lifecycle Net thm</t>
  </si>
  <si>
    <t>Relative Precision Annualized Gross thm</t>
  </si>
  <si>
    <t>Relative Precision Lifecycle Gross thm</t>
  </si>
  <si>
    <t>Relative Precision Annualized Net thm</t>
  </si>
  <si>
    <t>Relative Precision Lifecycle Net thm</t>
  </si>
  <si>
    <t>Realization Rate Annualized Gross thm</t>
  </si>
  <si>
    <t>Realization Rate Lifecycle Gross thm</t>
  </si>
  <si>
    <t>Annualized NTGR thm</t>
  </si>
  <si>
    <t>Lifecycle NTGR thm</t>
  </si>
  <si>
    <t>blended_ntgr_kw_tf</t>
  </si>
  <si>
    <t>blended_ntgr_kwh_tf</t>
  </si>
  <si>
    <t>blended_ntgr_thm_tf</t>
  </si>
  <si>
    <t>not sure why the apparent true false order is incorrect, but calculated values were confirmed</t>
  </si>
  <si>
    <t>distsav</t>
  </si>
  <si>
    <t>code</t>
  </si>
  <si>
    <t>captions</t>
  </si>
  <si>
    <t>reasonsdiff</t>
  </si>
  <si>
    <t>ntgr</t>
  </si>
  <si>
    <t>pai_2</t>
  </si>
  <si>
    <t>pai_3</t>
  </si>
  <si>
    <t>pai_1</t>
  </si>
  <si>
    <t>pai_5</t>
  </si>
  <si>
    <t>pai_4</t>
  </si>
  <si>
    <t>state_summary</t>
  </si>
  <si>
    <t>Z:\Favorites\CPUC10 (Group D - Custom EM&amp;V)\8 PII\11 - Draft and Final Evaluation Reports\CIAC2018\Data\combined_summary.csv</t>
  </si>
  <si>
    <t>combined_summary</t>
  </si>
  <si>
    <t>mean_svgs_weighted_expost_lifecycle_gross_kwh</t>
  </si>
  <si>
    <t>TblId</t>
  </si>
  <si>
    <t>RP_dom_NTGR_kWh_AN</t>
  </si>
  <si>
    <t>RP_dom_svgs_kWh_AN</t>
  </si>
  <si>
    <t>RP_dom_NTGR_kW_AN</t>
  </si>
  <si>
    <t>RP_dom_svgs_kW_AN</t>
  </si>
  <si>
    <t>RP_dom_NTGR_thm_AN</t>
  </si>
  <si>
    <t>RP_dom_svgs_thm_AN</t>
  </si>
  <si>
    <t>RP_dom_NTGR_kWh_LN</t>
  </si>
  <si>
    <t>RP_dom_svgs_kWh_LN</t>
  </si>
  <si>
    <t>RP_dom_NTGR_kW_LN</t>
  </si>
  <si>
    <t>RP_dom_svgs_kW_LN</t>
  </si>
  <si>
    <t>RP_dom_NTGR_thm_LN</t>
  </si>
  <si>
    <t>RP_dom_svgs_thm_LN</t>
  </si>
  <si>
    <t>PA_NTGR_kW_Ann</t>
  </si>
  <si>
    <t>PA_NTGR_kW_LC</t>
  </si>
  <si>
    <t>SW_pop_kWh</t>
  </si>
  <si>
    <t>SW_n_gr_kWh</t>
  </si>
  <si>
    <t>SW_cmplt_gr_kWh</t>
  </si>
  <si>
    <t>SW_n_net_kWh</t>
  </si>
  <si>
    <t>SW_cmplt_net_kWh</t>
  </si>
  <si>
    <t>SW_exante_svgs_kWh_AG</t>
  </si>
  <si>
    <t>SW_exante_svgs_kW_AG</t>
  </si>
  <si>
    <t>SW_exante_svgs_kWh_LG</t>
  </si>
  <si>
    <t>SW_exante_svgs_kW_LG</t>
  </si>
  <si>
    <t>SW_exante_svgs_kWh_AN</t>
  </si>
  <si>
    <t>SW_exante_svgs_kW_AN</t>
  </si>
  <si>
    <t>SW_exante_svgs_kWh_LN</t>
  </si>
  <si>
    <t>SW_exante_svgs_kW_LN</t>
  </si>
  <si>
    <t>SW_eval_svgs_kWh_AG</t>
  </si>
  <si>
    <t>SW_eval_svgs_kW_AG</t>
  </si>
  <si>
    <t>SW_eval_svgs_kWh_LG</t>
  </si>
  <si>
    <t>SW_eval_svgs_kW_LG</t>
  </si>
  <si>
    <t>SW_eval_svgs_kWh_AN</t>
  </si>
  <si>
    <t>SW_eval_svgs_kW_AN</t>
  </si>
  <si>
    <t>SW_eval_svgs_kWh_LN</t>
  </si>
  <si>
    <t>SW_eval_svgs_kW_LN</t>
  </si>
  <si>
    <t>SW_rp_kWh_AG</t>
  </si>
  <si>
    <t>SW_rp_kW_AG</t>
  </si>
  <si>
    <t>SW_rp_kWh_LG</t>
  </si>
  <si>
    <t>SW_rp_kW_LG</t>
  </si>
  <si>
    <t>SW_rp_kWh_AN</t>
  </si>
  <si>
    <t>SW_rp_kW_AN</t>
  </si>
  <si>
    <t>SW_rp_kWh_LN</t>
  </si>
  <si>
    <t>SW_rp_kW_LN</t>
  </si>
  <si>
    <t>SW_RR_kWh_AG</t>
  </si>
  <si>
    <t>SW_RR_kW_AG</t>
  </si>
  <si>
    <t>SW_RR_kWh_LG</t>
  </si>
  <si>
    <t>SW_RR_kW_LG</t>
  </si>
  <si>
    <t>SW_NTGR_kWh_Ann</t>
  </si>
  <si>
    <t>SW_NTGR_kWh_LC</t>
  </si>
  <si>
    <t>SW_NTGR_kW_Ann</t>
  </si>
  <si>
    <t>SW_NTGR_kW_LC</t>
  </si>
  <si>
    <t>SW_pop_thm</t>
  </si>
  <si>
    <t>SW_n_gr_thm</t>
  </si>
  <si>
    <t>SW_cmplt_gr_thm</t>
  </si>
  <si>
    <t>SW_n_net_thm</t>
  </si>
  <si>
    <t>SW_cmplt_net_thm</t>
  </si>
  <si>
    <t>SW_exante_svgs_thm_AG</t>
  </si>
  <si>
    <t>SW_exante_svgs_thm_LG</t>
  </si>
  <si>
    <t>SW_exante_svgs_thm_AN</t>
  </si>
  <si>
    <t>SW_exante_svgs_thm_LN</t>
  </si>
  <si>
    <t>SW_eval_svgs_thm_AG</t>
  </si>
  <si>
    <t>SW_eval_svgs_thm_LG</t>
  </si>
  <si>
    <t>SW_eval_svgs_thm_AN</t>
  </si>
  <si>
    <t>SW_eval_svgs_thm_LN</t>
  </si>
  <si>
    <t>SW_rp_thm_AG</t>
  </si>
  <si>
    <t>SW_rp_thm_LG</t>
  </si>
  <si>
    <t>SW_rp_thm_AN</t>
  </si>
  <si>
    <t>SW_rp_thm_LN</t>
  </si>
  <si>
    <t>SW_RR_thm_AG</t>
  </si>
  <si>
    <t>SW_RR_thm_LG</t>
  </si>
  <si>
    <t>SW_NTGR_thm_Ann</t>
  </si>
  <si>
    <t>SW_NTGR_thm_LC</t>
  </si>
  <si>
    <t>Fieldname in combined_summary</t>
  </si>
  <si>
    <t>tblid</t>
  </si>
  <si>
    <t>ss_Claim_EUL_kwh_rr</t>
  </si>
  <si>
    <t>ss_Claim_EUL_thm_rr</t>
  </si>
  <si>
    <t>ExAnte_Lifecycle_Gross_kwh_mmbtu</t>
  </si>
  <si>
    <t>ExAnte_Lifecycle_Gross_thm_mmbtu</t>
  </si>
  <si>
    <t>ExAnte_Lifecycle_Gross_MMBtu</t>
  </si>
  <si>
    <t>ExAnte_Lifecycle_Net_kwh_mmbtu</t>
  </si>
  <si>
    <t>ExAnte_Lifecycle_Net_thm_mmbtu</t>
  </si>
  <si>
    <t>ExAnte_Lifecycle_Net_MMBtu</t>
  </si>
  <si>
    <t>ExPost_Lifecycle_Net_kwh_mmbtu</t>
  </si>
  <si>
    <t>ExPost_Lifecycle_Net_thm_mmbtu</t>
  </si>
  <si>
    <t>ExPost_Lifecycle_Net_MMBtu</t>
  </si>
  <si>
    <t>np.nan</t>
  </si>
  <si>
    <t>combined_base1_kw</t>
  </si>
  <si>
    <t>combined_base1_kwh</t>
  </si>
  <si>
    <t>combined_base1_thm</t>
  </si>
  <si>
    <t>combined_base2_kw</t>
  </si>
  <si>
    <t>combined_base2_kwh</t>
  </si>
  <si>
    <t>combined_base2_thm</t>
  </si>
  <si>
    <t>combined_EUL</t>
  </si>
  <si>
    <t>combined_RUL</t>
  </si>
  <si>
    <t>Eval value if greater than 0 otherwise ex ante value</t>
  </si>
  <si>
    <t>combined_LifecycleNet_kw</t>
  </si>
  <si>
    <t>combined_LifecycleNet_kwh</t>
  </si>
  <si>
    <t>combined_LifecycleNet_thm</t>
  </si>
  <si>
    <t>combined_MeasAppType</t>
  </si>
  <si>
    <t>combined_isAR</t>
  </si>
  <si>
    <t>combined_blended_kw</t>
  </si>
  <si>
    <t>combined_blended_kwh</t>
  </si>
  <si>
    <t>combined_blended_thm</t>
  </si>
  <si>
    <t>combined_LifecycleGross_kw</t>
  </si>
  <si>
    <t>combined_LifecycleGross_kwh</t>
  </si>
  <si>
    <t>combined_LifecycleGross_thm</t>
  </si>
  <si>
    <t>gross_claim</t>
  </si>
  <si>
    <t>net_claim</t>
  </si>
  <si>
    <t>Z:\Favorites\CPUC10 (Group D - Custom EM&amp;V)\8 PII\11 - Draft and Final Evaluation Reports\CIAC2018\Data\gross_claim.csv</t>
  </si>
  <si>
    <t>Z:\Favorites\CPUC10 (Group D - Custom EM&amp;V)\8 PII\11 - Draft and Final Evaluation Reports\CIAC2018\Data\net_claim.csv</t>
  </si>
  <si>
    <t>adj_EvalEUL_Yrs_kwh</t>
  </si>
  <si>
    <t>adj_EvalEUL_Yrs_thm</t>
  </si>
  <si>
    <t>svg_wtd_adj_Eval_EUL_kwh</t>
  </si>
  <si>
    <t>svg_wtd_adj_Eval_EUL_thm</t>
  </si>
  <si>
    <t>svg_wtd_adj_ExAnte_EUL_kwh</t>
  </si>
  <si>
    <t>svg_wtd_adj_ExAnte_EUL_thm</t>
  </si>
  <si>
    <t>prj_ExAnte_EUL_kwh</t>
  </si>
  <si>
    <t>prj_ExAnte_EUL_thm</t>
  </si>
  <si>
    <t>mmbtu, ok</t>
  </si>
  <si>
    <t>Is this needed? See note in notes</t>
  </si>
  <si>
    <t>proj_pop_gross.csv</t>
  </si>
  <si>
    <t>Z:\Favorites\CPUC10 (Group D - Custom EM&amp;V)\8 PII\11 - Draft and Final Evaluation Reports\CIAC2018\Data\proj_pop_gross.csv</t>
  </si>
  <si>
    <t>gross_domain_summary</t>
  </si>
  <si>
    <t>generated by r code</t>
  </si>
  <si>
    <t>code to make a series of plots</t>
  </si>
  <si>
    <t>generated by python code: create_responserate</t>
  </si>
  <si>
    <t>meas_ct</t>
  </si>
  <si>
    <t>ea_AnnGross_kWh</t>
  </si>
  <si>
    <t>ea_AnnGross_kW</t>
  </si>
  <si>
    <t>ea_LCGross_kWh</t>
  </si>
  <si>
    <t>ea_LCGross_kW</t>
  </si>
  <si>
    <t>ea_AnnGross_thm</t>
  </si>
  <si>
    <t>ea_LCGross_thm</t>
  </si>
  <si>
    <t>ea_AnnNet_kWh</t>
  </si>
  <si>
    <t>ea_AnnNet_kW</t>
  </si>
  <si>
    <t>ea_LCNet_kWh</t>
  </si>
  <si>
    <t>ea_LCNet_kW</t>
  </si>
  <si>
    <t>ea_AnnNet_thm</t>
  </si>
  <si>
    <t>ea_LCNet_thm</t>
  </si>
  <si>
    <t>ep_AnnGross_kWh</t>
  </si>
  <si>
    <t>ep_AnnGross_kW</t>
  </si>
  <si>
    <t>ep_LCGross_kWh</t>
  </si>
  <si>
    <t>ep_LCGross_kW</t>
  </si>
  <si>
    <t>ep_AnnGross_thm</t>
  </si>
  <si>
    <t>ep_LCGross_thm</t>
  </si>
  <si>
    <t>ep_NTGR_kWh</t>
  </si>
  <si>
    <t>ep_NTGR_kW</t>
  </si>
  <si>
    <t>ep_NTGR_thm</t>
  </si>
  <si>
    <t>GrossCompl</t>
  </si>
  <si>
    <t>ep_EUL_kWh</t>
  </si>
  <si>
    <t>ep_EUL_thm</t>
  </si>
  <si>
    <t>ep_RUL_kWh</t>
  </si>
  <si>
    <t>ep_RUL_thm</t>
  </si>
  <si>
    <t>ExAnte_Annualized_NoRR_thm</t>
  </si>
  <si>
    <t>net</t>
  </si>
  <si>
    <t>Eval_adj_ExAnteBase1kWSvgs</t>
  </si>
  <si>
    <t>Eval_adj_ExAnteBase1kWhSvgs</t>
  </si>
  <si>
    <t>Eval_adj_ExAnteBase1ThermSvgs</t>
  </si>
  <si>
    <t>Eval_adj_ExAnteBase2kWSvgs</t>
  </si>
  <si>
    <t>Eval_adj_ExAnteBase2kWhSvgs</t>
  </si>
  <si>
    <t>Eval_adj_ExAnteBase2ThermSvgs</t>
  </si>
  <si>
    <t>Eval_adj_ExAnte_LifeCycleGross_NoRR_kW</t>
  </si>
  <si>
    <t>Eval_adj_ExAnte_LifeCycleGross_NoRR_kWh</t>
  </si>
  <si>
    <t>Eval_adj_ExAnte_LifeCycleGross_NoRR_thm</t>
  </si>
  <si>
    <t>Eval_adj_ExAnte_LifeCycleNet_NoRR_kW</t>
  </si>
  <si>
    <t>Eval_adj_ExAnte_LifeCycleNet_NoRR_kWh</t>
  </si>
  <si>
    <t>Eval_adj_ExAnte_LifeCycleNet_NoRR_thm</t>
  </si>
  <si>
    <t>Eval_adj_ExAnte_Annualized_NoRR_kW</t>
  </si>
  <si>
    <t>Eval_adj_ExAnte_Annualized_NoRR_kWh</t>
  </si>
  <si>
    <t>Eval_adj_ExAnte_Annualized_NoRR_thm</t>
  </si>
  <si>
    <t>Eval_adj_ExAnte_Annualized_Net_NoRR_kW</t>
  </si>
  <si>
    <t>Eval_adj_ExAnte_Annualized_Net_NoRR_kWh</t>
  </si>
  <si>
    <t>Eval_adj_ExAnte_Annualized_Net_NoRR_thm</t>
  </si>
  <si>
    <t>Eval_adj_EUL</t>
  </si>
  <si>
    <t>Eval_adj_RUL</t>
  </si>
  <si>
    <t>unneeded?</t>
  </si>
  <si>
    <t>ss_wtd_EUL_kwh</t>
  </si>
  <si>
    <t>ss_wtd_EUL_thm</t>
  </si>
  <si>
    <t>Z:\Favorites\CPUC10 (Group D - Custom EM&amp;V)\7 DCF\CIAC2018\data\netsurveyprocess.csv</t>
  </si>
  <si>
    <t>net_process</t>
  </si>
  <si>
    <t>net_complete_kwh</t>
  </si>
  <si>
    <t>net_complete_thm</t>
  </si>
  <si>
    <t>Z:\Favorites\CPUC10 (Group D - Custom EM&amp;V)\7 DCF\CIAC2018\dev\CIAC 2018 sample control file - add net smpl_subsample_matchtracker_smplOnly.csv</t>
  </si>
  <si>
    <t>ss_net_complete_kwh</t>
  </si>
  <si>
    <t>ss_net_complete_thm</t>
  </si>
  <si>
    <t>prj_EvalExPostLifeCycleNetkW</t>
  </si>
  <si>
    <t>prj_EvalExPostLifeCycleNetkWh</t>
  </si>
  <si>
    <t>prj_EvalExPostLifeCycleNetthm</t>
  </si>
  <si>
    <t>EvalBase1kWSvgs_orig</t>
  </si>
  <si>
    <t>EvalBase1kWhSvgs_orig</t>
  </si>
  <si>
    <t>EvalBase1ThermSvgs_orig</t>
  </si>
  <si>
    <t>EvalBase2kWSvgs_orig</t>
  </si>
  <si>
    <t>EvalBase2kWhSvgs_orig</t>
  </si>
  <si>
    <t>EvalBase2ThermSvgs_orig</t>
  </si>
  <si>
    <t>ss_ExPostLifecycleGrosskW_raw</t>
  </si>
  <si>
    <t>ss_ExPostLifecycleGrosskWh_raw</t>
  </si>
  <si>
    <t>ss_ExPostLifecycleGrossthm_raw</t>
  </si>
  <si>
    <t>ClaimUnweighted_NTGR_kw</t>
  </si>
  <si>
    <t>ClaimUnweighted_NTGR_kwh</t>
  </si>
  <si>
    <t>ClaimUnweighted_NTGR_thm</t>
  </si>
  <si>
    <t>ss_ExPostLifecycleNetkW_raw</t>
  </si>
  <si>
    <t>ss_ExPostLifecycleNetkWh_raw</t>
  </si>
  <si>
    <t>ss_ExPostLifecycleNetthm_raw</t>
  </si>
  <si>
    <t>Z:\Favorites\CPUC10 (Group D - Custom EM&amp;V)\8 PII\11 - Draft and Final Evaluation Reports\CIAC2018\Data\gross_claim_raw.csv</t>
  </si>
  <si>
    <t>gross_claim_raw</t>
  </si>
  <si>
    <t>Z:\Favorites\CPUC10 (Group D - Custom EM&amp;V)\8 PII\11 - Draft and Final Evaluation Reports\CIAC2018\Data\SW_summary.csv</t>
  </si>
  <si>
    <t>Z:\Favorites\CPUC10 (Group D - Custom EM&amp;V)\8 PII\11 - Draft and Final Evaluation Reports\CIAC2018\Data\PA_summary.csv</t>
  </si>
  <si>
    <t>ss_prob_sel_kwh_raw</t>
  </si>
  <si>
    <t>ss_prob_sel_thm_raw</t>
  </si>
  <si>
    <t>data_entry</t>
  </si>
  <si>
    <t>Z:\Favorites\CPUC10 (Group D - Custom EM&amp;V)\4 Deliverables\11 - Draft and Final Evaluation Reports\CIAC 2018\Design\dummy_source.csv</t>
  </si>
  <si>
    <t>domain_ExAnte_Lifecycle_thm</t>
  </si>
  <si>
    <t>domain_ExAnte_Lifecycle_kwh</t>
  </si>
  <si>
    <t>domain_ExPost_Lifecycle_kwh</t>
  </si>
  <si>
    <t>domain_ExPost_Lifecycle_thm</t>
  </si>
  <si>
    <t>domain_ExAnte_Annualized_kwh</t>
  </si>
  <si>
    <t>domain_ExAnte_Annualized_thm</t>
  </si>
  <si>
    <t>domain_ExPost_Annualized_kwh</t>
  </si>
  <si>
    <t>domain_ExPost_Annualized_thm</t>
  </si>
  <si>
    <t>domain_ExAnte_EUL_kwh</t>
  </si>
  <si>
    <t>domain_ExAnte_EUL_thm</t>
  </si>
  <si>
    <t>domain_ExPost_EUL_kwh</t>
  </si>
  <si>
    <t>domain_ExPost_EUL_thm</t>
  </si>
  <si>
    <t>PA_ExAnte_Lifecycle_kwh</t>
  </si>
  <si>
    <t>PA_ExAnte_Lifecycle_thm</t>
  </si>
  <si>
    <t>PA_ExPost_Lifecycle_kwh</t>
  </si>
  <si>
    <t>PA_ExPost_Lifecycle_thm</t>
  </si>
  <si>
    <t>PA_ExAnte_Annualized_kwh</t>
  </si>
  <si>
    <t>PA_ExAnte_Annualized_thm</t>
  </si>
  <si>
    <t>PA_ExPost_Annualized_kwh</t>
  </si>
  <si>
    <t>PA_ExPost_Annualized_thm</t>
  </si>
  <si>
    <t>PA_ExAnte_EUL_kwh</t>
  </si>
  <si>
    <t>PA_ExAnte_EUL_thm</t>
  </si>
  <si>
    <t>PA_ExPost_EUL_kwh</t>
  </si>
  <si>
    <t>PA_ExPost_EUL_thm</t>
  </si>
  <si>
    <t>State_ExAnte_Lifecycle_kwh</t>
  </si>
  <si>
    <t>State_ExAnte_Lifecycle_thm</t>
  </si>
  <si>
    <t>State_ExPost_Lifecycle_kwh</t>
  </si>
  <si>
    <t>State_ExPost_Lifecycle_thm</t>
  </si>
  <si>
    <t>State_ExAnte_Annualized_kwh</t>
  </si>
  <si>
    <t>State_ExAnte_Annualized_thm</t>
  </si>
  <si>
    <t>State_ExPost_Annualized_kwh</t>
  </si>
  <si>
    <t>State_ExPost_Annualized_thm</t>
  </si>
  <si>
    <t>State_ExAnte_EUL_kwh</t>
  </si>
  <si>
    <t>State_ExAnte_EUL_thm</t>
  </si>
  <si>
    <t>State_ExPost_EUL_kwh</t>
  </si>
  <si>
    <t>State_ExPost_EUL_thm</t>
  </si>
  <si>
    <t>pa_project_count_kwh</t>
  </si>
  <si>
    <t>pa_project_count_thm</t>
  </si>
  <si>
    <t>state_project_count_kwh</t>
  </si>
  <si>
    <t>state_project_count_thm</t>
  </si>
  <si>
    <t>all</t>
  </si>
  <si>
    <t>domain_project_count_all</t>
  </si>
  <si>
    <t>pa_project_count_all</t>
  </si>
  <si>
    <t>state_project_count_all</t>
  </si>
  <si>
    <t>"all"</t>
  </si>
  <si>
    <t>domain_project_count_kwh_f</t>
  </si>
  <si>
    <t>domain_project_count_thm_f</t>
  </si>
  <si>
    <t>netsurvey</t>
  </si>
  <si>
    <t>Z:\Favorites\CPUC10 (Group D - Custom EM&amp;V)\8 PII\11 - Draft and Final Evaluation Reports\CIAC2018\Data\netsurveyprocess_charts.csv</t>
  </si>
  <si>
    <t>create_ciac2018_netanal</t>
  </si>
  <si>
    <t>netprocesscharts</t>
  </si>
  <si>
    <t>gross_disposition</t>
  </si>
  <si>
    <t>ExSumGRRNTGR</t>
  </si>
  <si>
    <t>project_pop_kwh</t>
  </si>
  <si>
    <t>count of all claims in the subsample statum</t>
  </si>
  <si>
    <t>count of sampled claims in the subsample stratum</t>
  </si>
  <si>
    <t>project_pop_thm</t>
  </si>
  <si>
    <t>ss_project_pop_kwh</t>
  </si>
  <si>
    <t>ss_project_pop_thm</t>
  </si>
  <si>
    <t>count of all claims in the subsample statum, except excluded stratum</t>
  </si>
  <si>
    <t>count of sampled claims within a stratum</t>
  </si>
  <si>
    <t>ss_AR_ExPost_LifeCycleGross_NoRR_kw</t>
  </si>
  <si>
    <t>ss_AR_ExPost_LifeCycleGross_NoRR_kwh</t>
  </si>
  <si>
    <t>ss_AR_ExPost_LifeCycleGross_NoRR_thm</t>
  </si>
  <si>
    <t>str_wtd_AR_ExPost_LifeCycleGross_NoRR_kw</t>
  </si>
  <si>
    <t>str_wtd_AR_ExPost_LifeCycleGross_NoRR_kwh</t>
  </si>
  <si>
    <t>str_wtd_AR_ExPost_LifeCycleGross_NoRR_thm</t>
  </si>
  <si>
    <t>Proj_AR_ExPost_LifeCycleGross_NoRR_kw</t>
  </si>
  <si>
    <t>Proj_AR_ExPost_LifeCycleGross_NoRR_kwh</t>
  </si>
  <si>
    <t>Proj_AR_ExPost_LifeCycleGross_NoRR_thm</t>
  </si>
  <si>
    <t>ss_ExAnte_LifeCycle_NoRR_kw</t>
  </si>
  <si>
    <t>ss_ExAnte_Annualized_NoRR_kw</t>
  </si>
  <si>
    <t>ss_ExAnte_Annualized_NoRRkwh</t>
  </si>
  <si>
    <t>ss_ExAnte_Annualized_NoRRthm</t>
  </si>
  <si>
    <t>ss_ExAnte_LifeCycle_NoRR_kwh</t>
  </si>
  <si>
    <t>ss_ExAnte_LifeCycle_NoRR_thm</t>
  </si>
  <si>
    <t>Claim_AR_ExAnte_LifeCycleNet_NoRR_kw</t>
  </si>
  <si>
    <t>Claim_AR_ExAnte_LifeCyclenet_NoRR_kwh</t>
  </si>
  <si>
    <t>Claim_AR_ExAnte_LifeCyclenet_NoRR_thm</t>
  </si>
  <si>
    <t>Proj_AR_ExAnte_LifeCycleNet_NoRR_kw</t>
  </si>
  <si>
    <t>Proj_AR_ExAnte_LifeCycleNet_NoRR_kwh</t>
  </si>
  <si>
    <t>Proj_AR_ExAnte_LifeCycleNet_NoRR_thm</t>
  </si>
  <si>
    <t>dom_eval_EUL_RR_kWh</t>
  </si>
  <si>
    <t>dom_eval_EUL_RR_thm</t>
  </si>
  <si>
    <t>ea_EUL_kWh</t>
  </si>
  <si>
    <t>ea_EUL_thm</t>
  </si>
  <si>
    <t>ar_domain</t>
  </si>
  <si>
    <t>ar_state</t>
  </si>
  <si>
    <t>ar_pa</t>
  </si>
  <si>
    <t>Z:\Favorites\CPUC10 (Group D - Custom EM&amp;V)\8 PII\11 - Draft and Final Evaluation Reports\CIAC2018\Data\AR_summary.csv</t>
  </si>
  <si>
    <t>ar_combined</t>
  </si>
  <si>
    <t>Z:\Favorites\CPUC10 (Group D - Custom EM&amp;V)\8 PII\11 - Draft and Final Evaluation Reports\CIAC2018\Data\ar_combined.csv</t>
  </si>
  <si>
    <t>dom_exante_gross_kWh_AG</t>
  </si>
  <si>
    <t>dom_exante_gross_kW_AG</t>
  </si>
  <si>
    <t>dom_exante_EUL_kWh</t>
  </si>
  <si>
    <t>dom_eval_EUL_kWh</t>
  </si>
  <si>
    <t>dom_eval_gross_svgs_kWh_AG</t>
  </si>
  <si>
    <t>dom_eval_gross_svgs_kW_AG</t>
  </si>
  <si>
    <t>dom_exante_gross_thm_AG</t>
  </si>
  <si>
    <t>dom_exante_EUL_thm</t>
  </si>
  <si>
    <t>dom_eval_EUL_thm</t>
  </si>
  <si>
    <t>dom_eval_gross_svgs_thm_AG</t>
  </si>
  <si>
    <t>dom_exante_gross_kWh_LG</t>
  </si>
  <si>
    <t>dom_exante_gross_kW_LG</t>
  </si>
  <si>
    <t>dom_eval_gross_svgs_kWh_LG</t>
  </si>
  <si>
    <t>dom_eval_gross_svgs_kW_LG</t>
  </si>
  <si>
    <t>dom_exante_gross_thm_LG</t>
  </si>
  <si>
    <t>dom_eval_gross_svgs_thm_LG</t>
  </si>
  <si>
    <t>Z:\Favorites\CPUC10 (Group D - Custom EM&amp;V)\8 PII\11 - Draft and Final Evaluation Reports\CIAC2018\Data\Reliability.csv</t>
  </si>
  <si>
    <t>net_reliability</t>
  </si>
  <si>
    <t>net_regression</t>
  </si>
  <si>
    <t>Z:\Favorites\CPUC10 (Group D - Custom EM&amp;V)\8 PII\11 - Draft and Final Evaluation Reports\CIAC2018\Data\Regression Results.csv</t>
  </si>
  <si>
    <t>ss_sampled_kwh</t>
  </si>
  <si>
    <t>ss_sampled_thm</t>
  </si>
  <si>
    <t>Proj_AR_ExPost_LifeCycleGross_NoRR_kw_raw</t>
  </si>
  <si>
    <t>Proj_AR_ExPost_LifeCycleGross_NoRR_kwh_raw</t>
  </si>
  <si>
    <t>Proj_AR_ExPost_LifeCycleGross_NoRR_thm_raw</t>
  </si>
  <si>
    <t>Proj_AR_ExAnte_LifeCycleNet_NoRR_kw_raw</t>
  </si>
  <si>
    <t>Proj_AR_ExAnte_LifeCycleNet_NoRR_kwh_raw</t>
  </si>
  <si>
    <t>Proj_AR_ExAnte_LifeCycleNet_NoRR_thm_raw</t>
  </si>
  <si>
    <t>ar_plots</t>
  </si>
  <si>
    <t>Claim_AR_ExAnte_AnnualizedNet_NoRR_kw</t>
  </si>
  <si>
    <t>Claim_AR_ExAnte_Annualizednet_NoRR_kwh</t>
  </si>
  <si>
    <t>Claim_AR_ExAnte_Annualizednet_NoRR_thm</t>
  </si>
  <si>
    <t>Proj_AR_ExAnte_AnnualizedNet_NoRR_kw_raw</t>
  </si>
  <si>
    <t>Proj_AR_ExAnte_AnnualizedNet_NoRR_kwh_raw</t>
  </si>
  <si>
    <t>Proj_AR_ExAnte_AnnualizedNet_NoRR_thm_raw</t>
  </si>
  <si>
    <t>Proj_AR_ExAnte_AnnualizedNet_NoRR_kw</t>
  </si>
  <si>
    <t>Proj_AR_ExAnte_AnnualizedNet_NoRR_kwh</t>
  </si>
  <si>
    <t>Proj_AR_ExAnte_AnnualizedNet_NoRR_thm</t>
  </si>
  <si>
    <t>ss_AR_ExPost_AnnualizedGross_NoRR_kw</t>
  </si>
  <si>
    <t>ss_AR_ExPost_AnnualizedGross_NoRR_kwh</t>
  </si>
  <si>
    <t>ss_AR_ExPost_AnnualizedGross_NoRR_thm</t>
  </si>
  <si>
    <t>str_wtd_AR_ExPost_AnnualizedGross_NoRR_kw</t>
  </si>
  <si>
    <t>str_wtd_AR_ExPost_AnnualizedGross_NoRR_kwh</t>
  </si>
  <si>
    <t>str_wtd_AR_ExPost_AnnualizedGross_NoRR_thm</t>
  </si>
  <si>
    <t>Proj_AR_ExPost_AnnualizedGross_NoRR_kw_raw</t>
  </si>
  <si>
    <t>Proj_AR_ExPost_AnnualizedGross_NoRR_kwh_raw</t>
  </si>
  <si>
    <t>Proj_AR_ExPost_AnnualizedGross_NoRR_thm_raw</t>
  </si>
  <si>
    <t>Proj_AR_ExPost_AnnualizedGross_NoRR_kw</t>
  </si>
  <si>
    <t>Proj_AR_ExPost_AnnualizedGross_NoRR_kwh</t>
  </si>
  <si>
    <t>Proj_AR_ExPost_AnnualizedGross_NoRR_thm</t>
  </si>
  <si>
    <t>Z:\Favorites\CPUC10 (Group D - Custom EM&amp;V)\7 DCF\CIAC2018\data\DeerSupportTable_EUL.csv</t>
  </si>
  <si>
    <t>Z:\Favorites\CPUC10 (Group D - Custom EM&amp;V)\7 DCF\CIAC2018\data\ciac_all_completes.csv</t>
  </si>
  <si>
    <t>sampled_net_all</t>
  </si>
  <si>
    <t>GrossComplete</t>
  </si>
  <si>
    <t>GrossSampled</t>
  </si>
  <si>
    <t>NetSampled</t>
  </si>
  <si>
    <t>NetComplete</t>
  </si>
  <si>
    <t>prj_exante_GRR_kw</t>
  </si>
  <si>
    <t>prj_exante_GRR_kwh</t>
  </si>
  <si>
    <t>prj_exante_GRR_thm</t>
  </si>
  <si>
    <t>prj_exante_ntgr_kw</t>
  </si>
  <si>
    <t>prj_exante_ntgr_kwh</t>
  </si>
  <si>
    <t>prj_exante_ntgr_thm</t>
  </si>
  <si>
    <t>Proj_AR_ExPost_LifeCycleNet_kw</t>
  </si>
  <si>
    <t>Proj_AR_ExPost_LifeCycleNet_thm</t>
  </si>
  <si>
    <t>Proj_AR_ExPost_LifeCycleNet_kwh</t>
  </si>
  <si>
    <t>ss_AR_ExPost_LifeCycleNet_NoRR_kw</t>
  </si>
  <si>
    <t>ss_AR_ExPost_LifeCycleNet_NoRR_kwh</t>
  </si>
  <si>
    <t>ss_AR_ExPost_LifeCycleNet_NoRR_thm</t>
  </si>
  <si>
    <t>str_wtd_AR_ExPost_LifeCycleNet_NoRR_kw</t>
  </si>
  <si>
    <t>str_wtd_AR_ExPost_LifeCycleNet_NoRR_kwh</t>
  </si>
  <si>
    <t>str_wtd_AR_ExPost_LifeCycleNet_NoRR_thm</t>
  </si>
  <si>
    <t>Proj_AR_ExPost_LifeCycleNet_NoRR_kw_raw</t>
  </si>
  <si>
    <t>Proj_AR_ExPost_LifeCycleNet_NoRR_kwh_raw</t>
  </si>
  <si>
    <t>Proj_AR_ExPost_LifeCycleNet_NoRR_thm_raw</t>
  </si>
  <si>
    <t>create_ciac2018_reasons_diff_plotly</t>
  </si>
  <si>
    <t>atr_source</t>
  </si>
  <si>
    <t>Claim_AR_ExAnte_LifeCycleGross_NoRR_kw</t>
  </si>
  <si>
    <t>Claim_AR_ExAnte_LifeCycleGross_NoRR_thm</t>
  </si>
  <si>
    <t>Proj_AR_ExAnte_LifeCycleGross_NoRR_kw_raw</t>
  </si>
  <si>
    <t>Proj_AR_ExAnte_LifeCycleGross_NoRR_kwh_raw</t>
  </si>
  <si>
    <t>Proj_AR_ExAnte_LifeCycleGross_NoRR_thm_raw</t>
  </si>
  <si>
    <t>Proj_AR_ExAnte_LifeCycleGross_NoRR_kw</t>
  </si>
  <si>
    <t>Proj_AR_ExAnte_LifeCycleGross_NoRR_kwh</t>
  </si>
  <si>
    <t>Proj_AR_ExAnte_LifeCycleGross_NoRR_thm</t>
  </si>
  <si>
    <t>Z:\Favorites\CPUC10 (Group D - Custom EM&amp;V)\4 Deliverables\22 - ESPI ExAnte Scoring and Memos\2018 Ex Post\ATR\ATR_2018.csv</t>
  </si>
  <si>
    <t>Z:\Favorites\CPUC10 (Group D - Custom EM&amp;V)\8 PII\11 - Draft and Final Evaluation Reports\CIAC2018\Data\atr_2018_eval.csv</t>
  </si>
  <si>
    <t>RoadmapID</t>
  </si>
  <si>
    <t>MeasureGroup</t>
  </si>
  <si>
    <t>DeemedFlag</t>
  </si>
  <si>
    <t>ESPI_Group</t>
  </si>
  <si>
    <t>ESPI_Category</t>
  </si>
  <si>
    <t>UncertainMeasure</t>
  </si>
  <si>
    <t>ER_IOUReported</t>
  </si>
  <si>
    <t>EvalReportName</t>
  </si>
  <si>
    <t>EvalStdReportGroup</t>
  </si>
  <si>
    <t>EvalNetPassThru</t>
  </si>
  <si>
    <t>EvalGrossPassThru</t>
  </si>
  <si>
    <t>ER_EvalExPost</t>
  </si>
  <si>
    <t>EvalNumUnits</t>
  </si>
  <si>
    <t>EvalUnitkW1stBaseline</t>
  </si>
  <si>
    <t>EvalUnitkWh1stBaseline</t>
  </si>
  <si>
    <t>EvalUnitTherm1stBaseline</t>
  </si>
  <si>
    <t>EvalUnitkW2ndBaseline</t>
  </si>
  <si>
    <t>EvalUnitkWh2ndBaseline</t>
  </si>
  <si>
    <t>EvalUnitTherm2ndBaseline</t>
  </si>
  <si>
    <t>EvalInstallationRatekW</t>
  </si>
  <si>
    <t>EvalInstallationRatekWh</t>
  </si>
  <si>
    <t>EvalInstallationRateTherm</t>
  </si>
  <si>
    <t>EvalRRFirstYearkW</t>
  </si>
  <si>
    <t>EvalRRFirstYearkWh</t>
  </si>
  <si>
    <t>EvalRRFirstYearTherm</t>
  </si>
  <si>
    <t>EvalRRLifecyclekW</t>
  </si>
  <si>
    <t>EvalRRLifecyclekWh</t>
  </si>
  <si>
    <t>EvalRRLifecycleTherm</t>
  </si>
  <si>
    <t>EvalNTGRkW</t>
  </si>
  <si>
    <t>EvalNTGRkWh</t>
  </si>
  <si>
    <t>EvalNTGRTherm</t>
  </si>
  <si>
    <t>EvalNTGRCost</t>
  </si>
  <si>
    <t>EvalExPostFirstYearGrosskW</t>
  </si>
  <si>
    <t>EvalExPostFirstYearGrosskWh</t>
  </si>
  <si>
    <t>EvalExPostFirstYearGrossTherm</t>
  </si>
  <si>
    <t>EvalExPostFirstYearNetkW</t>
  </si>
  <si>
    <t>EvalExPostFirstYearNetkWh</t>
  </si>
  <si>
    <t>EvalExPostFirstYearNetTherm</t>
  </si>
  <si>
    <t>EvalExPostLifecycleGrosskW</t>
  </si>
  <si>
    <t>EvalExPostLifecycleGrosskWh</t>
  </si>
  <si>
    <t>EvalExPostLifecycleGrossTherm</t>
  </si>
  <si>
    <t>EvalExPostLifecycleNetkW</t>
  </si>
  <si>
    <t>EvalExPostLifecycleNetkWh</t>
  </si>
  <si>
    <t>EvalExPostLifecycleNetTherm</t>
  </si>
  <si>
    <t>AppendixOrder</t>
  </si>
  <si>
    <r>
      <t xml:space="preserve">Set equal to ExAnte value unless evaluated as part of sample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unless claim falls outside 2018 program year in which case set to 0</t>
    </r>
  </si>
  <si>
    <t xml:space="preserve">Set equal to ExAnte value unless evaluated as part of sample </t>
  </si>
  <si>
    <t>Calculated as EvalNumUnits x EvalUnitkW1stBaseline x EvalRRFirstYearkW</t>
  </si>
  <si>
    <t>Calculated as EvalNumUnits x EvalUnitkWh1stBaseline x EvalRRFirstYearkWh</t>
  </si>
  <si>
    <t>Calculated as EvalNumUnits x EvalUnittherm1stBaseline x EvalRRFirstYeartherm</t>
  </si>
  <si>
    <t>Calculated as EvalExPostFirstYearGrosskW x (EvalNTGRkW + MarketEffectsBenefits)</t>
  </si>
  <si>
    <t>Calculated as EvalExPostFirstYearGrosskWh x (EvalNTGRkWh + MarketEffectsBenefits)</t>
  </si>
  <si>
    <t>Calculated as EvalExPostFirstYearGrosstherms x (EvalNTGRtherms + MarketEffectsBenefits)</t>
  </si>
  <si>
    <t>If MeasAppType (Column J) = ER, then calculated as EvalRRLifecyclekW x EvalNumUnits x [(EvalUnitkW1stBaseline x EvalRUL_Yrs)+(EvalUnitkW2ndBaseline x (EvalEUL_Yrs-EvalRUL_Yrs)]. Else just EvalRRLifecyclekW x EvalNumUnits x [(EvalUnitkW1stBaseline x EvalEUL_Yrs)</t>
  </si>
  <si>
    <t>If MeasAppType (Column J) = ER, then calculated as EvalRRLifecyclekWh x EvalNumUnits x [(EvalUnitkWh1stBaseline x EvalRUL_Yrs)+(EvalUnitkWh2ndBaseline x (EvalEUL_Yrs-EvalRUL_Yrs)]. Else just EvalRRLifecyclekWh x EvalNumUnits x [(EvalUnitkWh1stBaseline x EvalEUL_Yrs)</t>
  </si>
  <si>
    <t>If MeasAppType (Column J) = ER, then calculated as EvalRRLifecycletherm x EvalNumUnits x [(EvalUnittherm1stBaseline x EvalRUL_Yrs)+(EvalUnittherm2ndBaseline x (EvalEUL_Yrs-EvalRUL_Yrs)]. Else just EvalRRLifecycletherm x EvalNumUnits x [(EvalUnittherm1stBaseline x EvalEUL_Yrs)</t>
  </si>
  <si>
    <t>Calculated as EvalExPostLifecycleGrosskW x (EvalNTGRkW + MarketEffectsBenefits)</t>
  </si>
  <si>
    <t>Calculated as EvalExPostLifecycleGrosskWh x (EvalNTGRkWh + MarketEffectsBenefits)</t>
  </si>
  <si>
    <t>Calculated as EvalExPostLifecycleGrosstherms x (EvalNTGRtherms + MarketEffectsBenefits)</t>
  </si>
  <si>
    <t>atr_output_raw</t>
  </si>
  <si>
    <t>atr_output_final</t>
  </si>
  <si>
    <t>Z:\Favorites\CPUC10 (Group D - Custom EM&amp;V)\8 PII\11 - Draft and Final Evaluation Reports\CIAC2018\Data\atr_2018_eval_allfields.csv</t>
  </si>
  <si>
    <t>MV_ok</t>
  </si>
  <si>
    <t>STR_LIT:out_df.groupby('SBW_ProjID')['InstallDeadline_MV'].transform(lambda x: (x=='Yes').any(0))</t>
  </si>
  <si>
    <t>Set to "2018_CIAC_Evaluation" for all claim_IDs tjat were cp,[leted by either the Net ro Gross evaluation. Else set to "None".</t>
  </si>
  <si>
    <t>If EvalStdReportGroup is "None" set to ER_IOUReported value (Column Z). Else if EvalMeasAppType  = AR then set to 1, else set to 0</t>
  </si>
  <si>
    <t>EvalRRFirstYearkW_raw</t>
  </si>
  <si>
    <t>EvalRRFirstYearkWh_raw</t>
  </si>
  <si>
    <t>EvalRRFirstYearTherm_raw</t>
  </si>
  <si>
    <t>Includes blanks from divide by 0 and inf that need to be fixed</t>
  </si>
  <si>
    <t>EvalRRLifecyclekW_raw</t>
  </si>
  <si>
    <t>EvalRRLifecyclekWh_raw</t>
  </si>
  <si>
    <t>EvalRRLifecycleTherm_raw</t>
  </si>
  <si>
    <t>exante_pct_AR_kWh</t>
  </si>
  <si>
    <t>exante_pct_AR_kW</t>
  </si>
  <si>
    <t>exante_pct_AR_thm</t>
  </si>
  <si>
    <t>expost_pct_AR_kWh</t>
  </si>
  <si>
    <t>expost_pct_AR_kW</t>
  </si>
  <si>
    <t>expost_pct_AR_thm</t>
  </si>
  <si>
    <t>expost_avg_EUL_kWh</t>
  </si>
  <si>
    <t>expost_avg_EUL_kW</t>
  </si>
  <si>
    <t>expost_avg_EUL_thm</t>
  </si>
  <si>
    <t>dom_exante_svgs_kWh_LN</t>
  </si>
  <si>
    <t>dom_exante_svgs_kW_LN</t>
  </si>
  <si>
    <t>dom_exante_svgs_thm_AN</t>
  </si>
  <si>
    <t>dom_exante_svgs_thm_LN</t>
  </si>
  <si>
    <t>dom_mean_eval_NTGR_kWh_AN</t>
  </si>
  <si>
    <t>dom_mean_eval_NTGR_kW_AN</t>
  </si>
  <si>
    <t>dom_mean_eval_NTGR_thm_AN</t>
  </si>
  <si>
    <t>dom_mean_eval_NTGR_kWh_LN</t>
  </si>
  <si>
    <t>dom_mean_eval_NTGR_kW_LN</t>
  </si>
  <si>
    <t>dom_mean_eval_NTGR_thm_LN</t>
  </si>
  <si>
    <t>dom_AG_RR_kw</t>
  </si>
  <si>
    <t>dom_AG_RR_kwh</t>
  </si>
  <si>
    <t>dom_AG_RR_thm</t>
  </si>
  <si>
    <t>dom_LG_RR_kw</t>
  </si>
  <si>
    <t>dom_LG_RR_kwh</t>
  </si>
  <si>
    <t>dom_LG_RR_thm</t>
  </si>
  <si>
    <t>study_ExPost_Annualized_Gross_kw</t>
  </si>
  <si>
    <t>study_ExPost_Annualized_Gross_kwh</t>
  </si>
  <si>
    <t>study_ExPost_Annualized_Gross_thm</t>
  </si>
  <si>
    <t>dom_Ann_NTGR_kw</t>
  </si>
  <si>
    <t>dom_Ann_NTGR_kwh</t>
  </si>
  <si>
    <t>dom_Ann_NTGR_thm</t>
  </si>
  <si>
    <t>dom_LC_NTGR_kw</t>
  </si>
  <si>
    <t>dom_LC_NTGR_kwh</t>
  </si>
  <si>
    <t>dom_LC_NTGR_thm</t>
  </si>
  <si>
    <t>study_ExPost_Lifecycle_Gross_kw</t>
  </si>
  <si>
    <t>study_ExPost_Lifecycle_Gross_kwh</t>
  </si>
  <si>
    <t>study_ExPost_Lifecycle_Gross_thm</t>
  </si>
  <si>
    <t>study_ExPost_Annualized_Net_kw</t>
  </si>
  <si>
    <t>study_ExPost_Annualized_Net_kwh</t>
  </si>
  <si>
    <t>study_ExPost_Annualized_Net_thm</t>
  </si>
  <si>
    <t>study_ExPost_Lifecycle_Net_kw</t>
  </si>
  <si>
    <t>study_ExPost_Lifecycle_Net_kwh</t>
  </si>
  <si>
    <t>study_ExPost_Lifecycle_Net_thm</t>
  </si>
  <si>
    <t>study_ExPost_Base1_svgs_kw</t>
  </si>
  <si>
    <t>study_ExPost_Base1_svgs_kwh</t>
  </si>
  <si>
    <t>study_ExPost_Base1_svgs_thm</t>
  </si>
  <si>
    <t>study_ExPost_Base2_svgs_kw</t>
  </si>
  <si>
    <t>study_ExPost_Base2_svgs_kwh</t>
  </si>
  <si>
    <t>study_ExPost_Base2_svgs_thm</t>
  </si>
  <si>
    <t>If EvalStdReportGroup is "None" set to 1, else set to 0</t>
  </si>
  <si>
    <t>EvalUnitkW1stBaseline_raw</t>
  </si>
  <si>
    <t>EvalUnitkWh1stBaseline_raw</t>
  </si>
  <si>
    <t>EvalUnitTherm1stBaseline_raw</t>
  </si>
  <si>
    <t>EvalUnitkW2ndBaseline_raw</t>
  </si>
  <si>
    <t>EvalUnitkWh2ndBaseline_raw</t>
  </si>
  <si>
    <t>EvalUnitTherm2ndBaseline_raw</t>
  </si>
  <si>
    <t>Infinity caused by divide by zero are set to zero here</t>
  </si>
  <si>
    <t>Set equal to ExAnte value because using RR to adjust savings</t>
  </si>
  <si>
    <t>Calculated to produce correct answer</t>
  </si>
  <si>
    <t>Based on either kwh or therm EUL RR</t>
  </si>
  <si>
    <t>calculate to produce desired final net value</t>
  </si>
  <si>
    <t>testjuunk</t>
  </si>
  <si>
    <t>claim_LC_Net_total_kwh</t>
  </si>
  <si>
    <t>claim_LC_Net_total_thm</t>
  </si>
  <si>
    <t>project_fraction_LCNet_kwh</t>
  </si>
  <si>
    <t>project_fraction_LCNet_thm</t>
  </si>
  <si>
    <t>State_ExAnte_LifeCycle_Net_NoRR_kwh</t>
  </si>
  <si>
    <t>State_ExAnte_LifeCycle_Net_NoRR_thm</t>
  </si>
  <si>
    <t>Adjust claim value with domain rr</t>
  </si>
  <si>
    <t>description</t>
  </si>
  <si>
    <t>Create the fields necessary for calculating the gross evaluation</t>
  </si>
  <si>
    <t>Create the fields necessary for calculating the net evaluation</t>
  </si>
  <si>
    <t>Combine the gross and net fields</t>
  </si>
  <si>
    <t>Create the sample level data file</t>
  </si>
  <si>
    <t>Create the fields for putting together the ATR</t>
  </si>
  <si>
    <t>Create the final list of ATR fields</t>
  </si>
  <si>
    <t>Lookup tables for mapping the gross and net dispositions</t>
  </si>
  <si>
    <t>Set_to_zero</t>
  </si>
  <si>
    <t>rulspecial</t>
  </si>
  <si>
    <t>EvalUnitkWh2ndBaseline_special</t>
  </si>
  <si>
    <t>Fill in missing from claim</t>
  </si>
  <si>
    <t>savingsscatter</t>
  </si>
  <si>
    <t>savingsscatterCombined</t>
  </si>
  <si>
    <t>create_ciac2018_ExSumm_savings_scatter_combined</t>
  </si>
  <si>
    <t>create_ciac2018_ExSumm_savings_scatter</t>
  </si>
  <si>
    <t>mkplot_ciac2018_ExSum_grrntgr_bar</t>
  </si>
  <si>
    <t>Fill blank MEB with 0.05. For internal use only.</t>
  </si>
  <si>
    <t>The sample domain</t>
  </si>
  <si>
    <t>domain level evaluated annualized gross realization rate</t>
  </si>
  <si>
    <t>domain level evaluated lifecycle gross realization rate</t>
  </si>
  <si>
    <t>domain level evaluated lifecycle net realization rate</t>
  </si>
  <si>
    <t>domain level evaluated effective useful life realization rate</t>
  </si>
  <si>
    <t>Evaluation adjusted first baseline savings</t>
  </si>
  <si>
    <t>Evaluation adjusted second baseline savings</t>
  </si>
  <si>
    <t>Evaluated EUL calculated with either kwh or therm domain level EUL RR</t>
  </si>
  <si>
    <t>ss_ExAnte_NTGR_kw</t>
  </si>
  <si>
    <t>ss_ExAnte_NTGR_kwh</t>
  </si>
  <si>
    <t>ss_ExAnte_NTGR_thm</t>
  </si>
  <si>
    <t>ss_mean_ExAnte_NTGR_kw</t>
  </si>
  <si>
    <t>ss_mean_ExAnte_NTGR_kwh</t>
  </si>
  <si>
    <t>ss_mean_ExAnte_NTGR_thm</t>
  </si>
  <si>
    <t>mean</t>
  </si>
  <si>
    <t>ss_wtd_mean_ExAnte_NTGR_kw</t>
  </si>
  <si>
    <t>ss_wtd_mean_ExAnte_NTGR_kwh</t>
  </si>
  <si>
    <t>ss_wtd_mean_ExAnte_NTGR_thm</t>
  </si>
  <si>
    <t>st_ExAnte_NTGRkW</t>
  </si>
  <si>
    <t>st_ExAnte_NTGRkWh</t>
  </si>
  <si>
    <t>st_ExAnte_NTGRTherm</t>
  </si>
  <si>
    <t>ciac2018_dist_savings_plotly</t>
  </si>
  <si>
    <t>create_ExSumAR_plotly</t>
  </si>
  <si>
    <t>NetSample_kwh</t>
  </si>
  <si>
    <t>NetSample_thm</t>
  </si>
  <si>
    <t>file</t>
  </si>
  <si>
    <t>C:\Users\gina\OneDrive - sbw consulting\cpuc10</t>
  </si>
  <si>
    <t>create_ciac_2018_report_data_files.py</t>
  </si>
  <si>
    <t>create data files and data for figures</t>
  </si>
  <si>
    <t>generate_tables.py</t>
  </si>
  <si>
    <t>create the tables and figures</t>
  </si>
  <si>
    <t>driver file for the table creation</t>
  </si>
  <si>
    <t>srcfolder</t>
  </si>
  <si>
    <t>Z:\Favorites\CPUC10 (Group D - Custom EM&amp;V)\4 Deliverables\11 - Draft and Final Evaluation Reports\CIAC 2018\Design</t>
  </si>
  <si>
    <t>design file for the tables</t>
  </si>
  <si>
    <t>GroupD-D11.01-CIAC 2018 Ex Post Evaluation -Design.xlsx</t>
  </si>
  <si>
    <t>generate_tables_driver.xlsx</t>
  </si>
  <si>
    <t>Code for doing Gross rollups</t>
  </si>
  <si>
    <t>Code for doing Net rollups</t>
  </si>
  <si>
    <t>extrapolator_gross.R</t>
  </si>
  <si>
    <t>extrapolator_net.R</t>
  </si>
  <si>
    <t>driver file for the data</t>
  </si>
  <si>
    <t>DataSourceDef.xlsx</t>
  </si>
  <si>
    <t>Strat_mean_estimator.R</t>
  </si>
  <si>
    <t>support code</t>
  </si>
  <si>
    <t>Strat_ratio_estimator.R</t>
  </si>
  <si>
    <t>Net Processing</t>
  </si>
  <si>
    <t>CIAC Basic and Standard Survey Data Cleaning_v4.do</t>
  </si>
  <si>
    <t>CIAC Basic and Standard Survey Labels.do</t>
  </si>
  <si>
    <t>CIAC Basic, Standard, and Enhanced Survey Data cleaning.do</t>
  </si>
  <si>
    <t>CIAC Enhanced Survey Data Cleaning_v3_ak_nonsbd.do</t>
  </si>
  <si>
    <t>CIAC Enhanced Survey Data Cleaning_v3_ak_sbd.do</t>
  </si>
  <si>
    <t>CIAC Enhanced Survey Labels.do</t>
  </si>
  <si>
    <t>CIAC Savings Breakdown by Complete &amp; Incomplete Projects UPDATED.do</t>
  </si>
  <si>
    <t>CIAC Savings Breakdown by Complete &amp; Incomplete Projects.do</t>
  </si>
  <si>
    <t>CIAC Unresponsive Bias.do</t>
  </si>
  <si>
    <t>CPUC CIAC ClaimId Level_wb and sys edits.do</t>
  </si>
  <si>
    <t>CPUC CIAC Process questions.do</t>
  </si>
  <si>
    <t>DriverAnalysis.do</t>
  </si>
  <si>
    <t>DriverAnalysis2.do</t>
  </si>
  <si>
    <t>ntgr_driver_2.do</t>
  </si>
  <si>
    <t>Z:\Favorites\CPUC10 (Group D - Custom EM&amp;V)\4 Deliverables\10 - Ex Post Evaluated Net Savings Estimates\Data Collection and Processing\Data Processing</t>
  </si>
  <si>
    <t>read_table_spec.py</t>
  </si>
  <si>
    <t>active</t>
  </si>
  <si>
    <t>y</t>
  </si>
  <si>
    <t>srcpath</t>
  </si>
  <si>
    <t>destfolder</t>
  </si>
  <si>
    <t>C:\Users\gina\OneDrive - sbw consulting\deliverables\GroupD_CIAC2018</t>
  </si>
  <si>
    <t>destsubfloder</t>
  </si>
  <si>
    <t>destroot</t>
  </si>
  <si>
    <t>\rfiles</t>
  </si>
  <si>
    <t>\net</t>
  </si>
  <si>
    <t>\cpuc</t>
  </si>
  <si>
    <t>plots.py</t>
  </si>
  <si>
    <t>tables.py</t>
  </si>
  <si>
    <t>params.py</t>
  </si>
  <si>
    <t>utility.py</t>
  </si>
  <si>
    <t>srcsubfolder</t>
  </si>
  <si>
    <t>Z:\Favorites\CPUC10 (Group D - Custom EM&amp;V)\4 Deliverables\09 - Ex-Post Evaluated Gross Savings Estimates\CIAC\2018 Evaluation\Extrapolation</t>
  </si>
  <si>
    <t>ss_ExPostFirstYearGross_kw</t>
  </si>
  <si>
    <t>ss_ExPostFirstYearGross_kwh</t>
  </si>
  <si>
    <t>ss_ExPostFirstYearGross_thm</t>
  </si>
  <si>
    <t>str_wt_ExPost_firstyear_gross_kw</t>
  </si>
  <si>
    <t>str_wt_ExPost_firstyear_gross_kwh</t>
  </si>
  <si>
    <t>str_wt_ExPost_firstyear_gross_thm</t>
  </si>
  <si>
    <t>prj_firstyeargross_rr_kw</t>
  </si>
  <si>
    <t>prj_firstyeargross_rr_kwh</t>
  </si>
  <si>
    <t>prj_firstyeargross_rr_thm</t>
  </si>
  <si>
    <t>str_wt_ExAnte_firstyear_gross_kw</t>
  </si>
  <si>
    <t>str_wt_ExAnte_firstyear_gross_kwh</t>
  </si>
  <si>
    <t>str_wt_ExAnte_firstyear_gross_thm</t>
  </si>
  <si>
    <t>ss_ExAnteFirstYearGross_kw</t>
  </si>
  <si>
    <t>ss_ExAnteFirstYearGross_kwh</t>
  </si>
  <si>
    <t>ss_ExAnteFirstYearGross_thm</t>
  </si>
  <si>
    <t>study_ExPost_FirstYear_Gross_kw</t>
  </si>
  <si>
    <t>study_ExPost_FirstYear_Gross_kwh</t>
  </si>
  <si>
    <t>study_ExPost_FirstYear_Gross_thm</t>
  </si>
  <si>
    <t>ExAnte_FirstYear_NoRR_kW</t>
  </si>
  <si>
    <t>ExAnte_FirstYear_NoRR_kWh</t>
  </si>
  <si>
    <t>ExAnte_FirstYear_NoRR_thm</t>
  </si>
  <si>
    <t>dom_eval_RR_kWh_1G</t>
  </si>
  <si>
    <t>dom_eval_RR_kW_1G</t>
  </si>
  <si>
    <t>dom_eval_RR_thm_1G</t>
  </si>
  <si>
    <t>firstyear_ntgr_kw</t>
  </si>
  <si>
    <t>firstyear_ntgr_kwh</t>
  </si>
  <si>
    <t>firstyear_ntgr_thm</t>
  </si>
  <si>
    <t>dom_eval_gross_svgs_kWh_1G</t>
  </si>
  <si>
    <t>dom_eval_gross_svgs_kW_1G</t>
  </si>
  <si>
    <t>dom_eval_gross_svgs_thm_1G</t>
  </si>
  <si>
    <t>agg_subtotal_variance</t>
  </si>
  <si>
    <t>Z:\Favorites\CPUC10 (Group D - Custom EM&amp;V)\4 Deliverables\11 - Draft and Final Evaluation Reports\CIAC 2018\Design\aggregate_map.xlsx</t>
  </si>
  <si>
    <t>map</t>
  </si>
  <si>
    <t>agg_map</t>
  </si>
  <si>
    <t>xls</t>
  </si>
  <si>
    <t>Z:\Favorites\CPUC10 (Group D - Custom EM&amp;V)\8 PII\11 - Draft and Final Evaluation Reports\CIAC2018\Data</t>
  </si>
  <si>
    <t>Z:\Favorites\CPUC10 (Group D - Custom EM&amp;V)\4 Deliverables\11 - Draft and Final Evaluation Reports\CIAC 2018\Design\output\addendum\Column Headers.xlsx</t>
  </si>
  <si>
    <t>agg_map_old</t>
  </si>
  <si>
    <t>Final</t>
  </si>
  <si>
    <t>Z:\Favorites\CPUC10 (Group D - Custom EM&amp;V)\4 Deliverables\11 - Draft and Final Evaluation Reports\CIAC 2018\Design\Test\df_domain_pa_remapped.csv</t>
  </si>
  <si>
    <t>patest</t>
  </si>
  <si>
    <t>swtest</t>
  </si>
  <si>
    <t>Z:\Favorites\CPUC10 (Group D - Custom EM&amp;V)\4 Deliverables\11 - Draft and Final Evaluation Reports\CIAC 2018\Design\Test\df_domain_sw_remap.csv</t>
  </si>
  <si>
    <t>Z:\Favorites\CPUC10 (Group D - Custom EM&amp;V)\4 Deliverables\11 - Draft and Final Evaluation Reports\CIAC 2018\Design\Test\domain_papct_friendly.csv</t>
  </si>
  <si>
    <t>Z:\Favorites\CPUC10 (Group D - Custom EM&amp;V)\4 Deliverables\11 - Draft and Final Evaluation Reports\CIAC 2018\Design\Test\sw_pct_friendly.csv</t>
  </si>
  <si>
    <t>pa_pct</t>
  </si>
  <si>
    <t>sw_pct</t>
  </si>
  <si>
    <t>Z:\Favorites\CPUC10 (Group D - Custom EM&amp;V)\4 Deliverables\11 - Draft and Final Evaluation Reports\CIAC 2018\Design\Test\sw_pct.csv</t>
  </si>
  <si>
    <t>sw_pct_friendly</t>
  </si>
  <si>
    <t>pa_pct_friendly</t>
  </si>
  <si>
    <t>Z:\Favorites\CPUC10 (Group D - Custom EM&amp;V)\4 Deliverables\11 - Draft and Final Evaluation Reports\CIAC 2018\Design\Test\domain_papct.csv</t>
  </si>
  <si>
    <t>combined_summary_qccompare</t>
  </si>
  <si>
    <t>Z:\Favorites\CPUC10 (Group D - Custom EM&amp;V)\8 PII\11 - Draft and Final Evaluation Reports\CIAC2018\Data\combined_summary_qccompare.csv</t>
  </si>
  <si>
    <t>combined_summary_qcdifs</t>
  </si>
  <si>
    <t>Z:\Favorites\CPUC10 (Group D - Custom EM&amp;V)\8 PII\11 - Draft and Final Evaluation Reports\CIAC2018\Data\combined_summary_qcdifs.csv</t>
  </si>
  <si>
    <t>exante_project_pop_kwh</t>
  </si>
  <si>
    <t>exante_project_pop_thm</t>
  </si>
  <si>
    <t>exante_ss_project_pop_kwh</t>
  </si>
  <si>
    <t>exante_ss_project_pop_thm</t>
  </si>
  <si>
    <t>exante_ss_weight_kwh</t>
  </si>
  <si>
    <t>exante_ss_weight_thm</t>
  </si>
  <si>
    <t>exante_ss_project_pop_kwh_prelim</t>
  </si>
  <si>
    <t>exante_ss_project_pop_thm_prelim</t>
  </si>
  <si>
    <t>exante_project_pop_kwh_prelim</t>
  </si>
  <si>
    <t>exante_project_pop_thm_prelim</t>
  </si>
  <si>
    <t>domain_pop_kwh</t>
  </si>
  <si>
    <t>domain_pop_thm</t>
  </si>
  <si>
    <t>domain_completes_kwh</t>
  </si>
  <si>
    <t>domain_completes_thm</t>
  </si>
  <si>
    <t>ss_mean_ExAnte_NTGR_kw_nonets</t>
  </si>
  <si>
    <t>ss_mean_ExAnte_NTGR_kwh_nonets</t>
  </si>
  <si>
    <t>ss_mean_ExAnte_NTGR_thm_nonets</t>
  </si>
  <si>
    <t>st_ExAnte_NTGRkW_nonets</t>
  </si>
  <si>
    <t>st_ExAnte_NTGRkWh_nonets</t>
  </si>
  <si>
    <t>st_ExAnte_NTGRTherm_nonets</t>
  </si>
  <si>
    <t>st_ExAnte_NTGRkW_nets</t>
  </si>
  <si>
    <t>st_ExAnte_NTGRkWh_nets</t>
  </si>
  <si>
    <t>st_ExAnte_NTGRTherm_nets</t>
  </si>
  <si>
    <t>ss_wtd_mean_ExAnte_NTGR_kw_nonets</t>
  </si>
  <si>
    <t>ss_wtd_mean_ExAnte_NTGR_kwh_nonets</t>
  </si>
  <si>
    <t>ss_wtd_mean_ExAnte_NTGR_thm_nonets</t>
  </si>
  <si>
    <t>combined_summary_eul</t>
  </si>
  <si>
    <t>combined_summary_4-1</t>
  </si>
  <si>
    <t>Z:\Favorites\CPUC10 (Group D - Custom EM&amp;V)\8 PII\11 - Draft and Final Evaluation Reports\CIAC2018\Data\combined_summary_4-1.csv</t>
  </si>
  <si>
    <t>combined_summary_5-1</t>
  </si>
  <si>
    <t>Z:\Favorites\CPUC10 (Group D - Custom EM&amp;V)\8 PII\11 - Draft and Final Evaluation Reports\CIAC2018\Data\combined_summary_5-1.csv</t>
  </si>
  <si>
    <t>combined_summary_8-3</t>
  </si>
  <si>
    <t>Z:\Favorites\CPUC10 (Group D - Custom EM&amp;V)\8 PII\11 - Draft and Final Evaluation Reports\CIAC2018\Data\combined_summary_8-3.csv</t>
  </si>
  <si>
    <t>claimpop_4-1</t>
  </si>
  <si>
    <t>Z:\Favorites\CPUC10 (Group D - Custom EM&amp;V)\8 PII\11 - Draft and Final Evaluation Reports\CIAC2018\Data\claimpop_3-29-20.csv</t>
  </si>
  <si>
    <t>claimpop_5-1</t>
  </si>
  <si>
    <t>Z:\Favorites\CPUC10 (Group D - Custom EM&amp;V)\8 PII\11 - Draft and Final Evaluation Reports\CIAC2018\Data\claimpop_5-1.csv</t>
  </si>
  <si>
    <t>claimpop_8-3</t>
  </si>
  <si>
    <t>Z:\Favorites\CPUC10 (Group D - Custom EM&amp;V)\8 PII\11 - Draft and Final Evaluation Reports\CIAC2018\Data\claimpop_8-3.csv</t>
  </si>
  <si>
    <t>domain_4-1</t>
  </si>
  <si>
    <t>domain_5-1</t>
  </si>
  <si>
    <t>domain_8-3</t>
  </si>
  <si>
    <t>papop_4-1</t>
  </si>
  <si>
    <t>papop_5-1</t>
  </si>
  <si>
    <t>papop_8-3</t>
  </si>
  <si>
    <t>swpop_4-1</t>
  </si>
  <si>
    <t>swpop_5-1</t>
  </si>
  <si>
    <t>swpop_8-3</t>
  </si>
  <si>
    <t>Z:\Favorites\CPUC10 (Group D - Custom EM&amp;V)\8 PII\11 - Draft and Final Evaluation Reports\CIAC2018\Data\PA_summary_4-1.csv</t>
  </si>
  <si>
    <t>Z:\Favorites\CPUC10 (Group D - Custom EM&amp;V)\8 PII\11 - Draft and Final Evaluation Reports\CIAC2018\Data\PA_summary_5-1.csv</t>
  </si>
  <si>
    <t>Z:\Favorites\CPUC10 (Group D - Custom EM&amp;V)\8 PII\11 - Draft and Final Evaluation Reports\CIAC2018\Data\PA_summary_8-3.csv</t>
  </si>
  <si>
    <t>Z:\Favorites\CPUC10 (Group D - Custom EM&amp;V)\8 PII\11 - Draft and Final Evaluation Reports\CIAC2018\Data\SW_summary_4-1.csv</t>
  </si>
  <si>
    <t>Z:\Favorites\CPUC10 (Group D - Custom EM&amp;V)\8 PII\11 - Draft and Final Evaluation Reports\CIAC2018\Data\SW_summary_5-1.csv</t>
  </si>
  <si>
    <t>Z:\Favorites\CPUC10 (Group D - Custom EM&amp;V)\8 PII\11 - Draft and Final Evaluation Reports\CIAC2018\Data\SW_summary_8-3.csv</t>
  </si>
  <si>
    <t>combined_summary_qccompare_all</t>
  </si>
  <si>
    <t>combined_summary_qcdifs_all</t>
  </si>
  <si>
    <t>Z:\Favorites\CPUC10 (Group D - Custom EM&amp;V)\8 PII\11 - Draft and Final Evaluation Reports\CIAC2018\Data\combined_summary_qccompare_all.csv</t>
  </si>
  <si>
    <t>Z:\Favorites\CPUC10 (Group D - Custom EM&amp;V)\8 PII\11 - Draft and Final Evaluation Reports\CIAC2018\Data\combined_summary_qcdifs_all.csv</t>
  </si>
  <si>
    <t>Z:\Favorites\CPUC10 (Group D - Custom EM&amp;V)\8 PII\11 - Draft and Final Evaluation Reports\CIAC2018\Data\combined_summary_eul.csv</t>
  </si>
  <si>
    <t>agg_map_4-1</t>
  </si>
  <si>
    <t>Z:\Favorites\CPUC10 (Group D - Custom EM&amp;V)\4 Deliverables\11 - Draft and Final Evaluation Reports\CIAC 2018\Design\output\addendum\columnmap_4-1.csv</t>
  </si>
  <si>
    <t>Z:\Favorites\CPUC10 (Group D - Custom EM&amp;V)\4 Deliverables\11 - Draft and Final Evaluation Reports\CIAC 2018\Design\output\addendum\columnmap_5-1.csv</t>
  </si>
  <si>
    <t>agg_map_5-1</t>
  </si>
  <si>
    <t>Z:\Favorites\CPUC10 (Group D - Custom EM&amp;V)\8 PII\11 - Draft and Final Evaluation Reports\CIAC2018\Data\sw_pct_revisions.csv</t>
  </si>
  <si>
    <t>Z:\Favorites\CPUC10 (Group D - Custom EM&amp;V)\8 PII\11 - Draft and Final Evaluation Reports\CIAC2018\Data\domain_papct_revisions.csv</t>
  </si>
  <si>
    <t>sw_pct_rev</t>
  </si>
  <si>
    <t>pa_pct_rev</t>
  </si>
  <si>
    <t>5-1 version</t>
  </si>
  <si>
    <t>9-15 version</t>
  </si>
  <si>
    <t>Z:\Favorites\CPUC10 (Group D - Custom EM&amp;V)\7 DCF\CIAC2018\dev\codeversions\9-15code</t>
  </si>
  <si>
    <t>GroupD-D11.01-CIAC 2018 Ex Post Evaluation -Design_Changes.xlsx</t>
  </si>
  <si>
    <t>util_min.py</t>
  </si>
  <si>
    <t>Z:\Favorites\CPUC10 (Group D - Custom EM&amp;V)\8 PII\11 - Draft and Final Evaluation Reports\CIAC2018\Data\domain_summary_4-1.xlsx</t>
  </si>
  <si>
    <t>Z:\Favorites\CPUC10 (Group D - Custom EM&amp;V)\8 PII\11 - Draft and Final Evaluation Reports\CIAC2018\Data\domain_summary_5-1.xlsx</t>
  </si>
  <si>
    <t>Z:\Favorites\CPUC10 (Group D - Custom EM&amp;V)\8 PII\11 - Draft and Final Evaluation Reports\CIAC2018\Data\domain_summary_8-3.xlsx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</si>
</sst>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.5"/>
      <color theme="1"/>
      <name val="Verdana Pro Cond"/>
      <family val="2"/>
    </font>
    <font>
      <sz val="11"/>
      <color theme="1"/>
      <name val="Inherit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1" xfId="1" applyFont="1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Font="1"/>
    <xf numFmtId="0" fontId="0" fillId="0" borderId="0" xfId="0" quotePrefix="1"/>
    <xf numFmtId="0" fontId="0" fillId="3" borderId="0" xfId="0" applyFill="1"/>
    <xf numFmtId="0" fontId="3" fillId="2" borderId="0" xfId="0" applyFont="1" applyFill="1" applyAlignment="1">
      <alignment vertical="center"/>
    </xf>
    <xf numFmtId="0" fontId="5" fillId="0" borderId="0" xfId="0" applyFont="1" applyFill="1"/>
    <xf numFmtId="0" fontId="0" fillId="0" borderId="0" xfId="0" applyFont="1" applyFill="1"/>
    <xf numFmtId="0" fontId="6" fillId="0" borderId="2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0" fillId="4" borderId="0" xfId="0" applyFill="1"/>
    <xf numFmtId="0" fontId="5" fillId="5" borderId="0" xfId="0" applyFont="1" applyFill="1" applyAlignment="1">
      <alignment horizontal="left"/>
    </xf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6" borderId="0" xfId="0" applyFill="1"/>
    <xf numFmtId="0" fontId="3" fillId="0" borderId="0" xfId="0" applyFont="1" applyFill="1" applyAlignment="1">
      <alignment vertical="center"/>
    </xf>
    <xf numFmtId="0" fontId="0" fillId="7" borderId="0" xfId="0" applyFill="1"/>
    <xf numFmtId="0" fontId="0" fillId="7" borderId="0" xfId="0" quotePrefix="1" applyFill="1"/>
    <xf numFmtId="0" fontId="0" fillId="8" borderId="0" xfId="0" applyFill="1"/>
    <xf numFmtId="0" fontId="0" fillId="2" borderId="0" xfId="0" applyFill="1" applyAlignment="1">
      <alignment horizontal="right"/>
    </xf>
    <xf numFmtId="0" fontId="0" fillId="9" borderId="0" xfId="0" applyFill="1"/>
  </cellXfs>
  <cellStyles count="2">
    <cellStyle name="Normal" xfId="0" builtinId="0"/>
    <cellStyle name="Normal_Sheet1" xfId="1" xr:uid="{64F5596C-5F1D-4789-953F-2C42628BE720}"/>
  </cellStyles>
  <dxfs count="19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na Hicks" id="{CB1F813A-91D4-4460-BF98-E8C9CFC293A6}" userId="S::Gina@sbwconsulting.com::c808be18-6aae-4dfc-8a07-c0630afe42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0-01-22T17:09:27.06" personId="{CB1F813A-91D4-4460-BF98-E8C9CFC293A6}" id="{E9345C00-6D13-4B70-8CEF-1565E38C9D21}">
    <text>these are the join fields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06" dT="2020-01-15T00:39:53.77" personId="{CB1F813A-91D4-4460-BF98-E8C9CFC293A6}" id="{6485D058-05B2-4CE5-99CF-95E5AF9E5F64}">
    <text>not really a dup. Excel doesn't differentiate case</text>
  </threadedComment>
  <threadedComment ref="A255" dT="2020-01-14T02:36:43.26" personId="{CB1F813A-91D4-4460-BF98-E8C9CFC293A6}" id="{2FBA85B5-83B7-472E-9F09-C49A6B500BB6}">
    <text>temporary eul assignment. Should be just EvalEUL when done debugging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H134" dT="2020-04-25T14:51:17.70" personId="{CB1F813A-91D4-4460-BF98-E8C9CFC293A6}" id="{7F5B9861-ECFE-42CD-9AFA-E9CC4FC0C5AD}">
    <text>ok for both fuels</text>
  </threadedComment>
  <threadedComment ref="A225" dT="2020-01-15T00:39:53.77" personId="{CB1F813A-91D4-4460-BF98-E8C9CFC293A6}" id="{DE633EE3-00EE-4195-88D7-6E7A596B191A}">
    <text>not really a dup. Excel doesn't differentiate case</text>
  </threadedComment>
  <threadedComment ref="A273" dT="2020-01-14T02:36:43.26" personId="{CB1F813A-91D4-4460-BF98-E8C9CFC293A6}" id="{DE12AD05-E13B-4228-B28A-57E42E5B72D7}">
    <text>temporary eul assignment. Should be just EvalEUL when done debugging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42" dT="2020-01-14T02:36:43.26" personId="{CB1F813A-91D4-4460-BF98-E8C9CFC293A6}" id="{8E35A1F5-7EDB-4124-AEB1-548E7E0C759F}">
    <text>temporary eul assignment. Should be just EvalEUL when done debugging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7E62-9B0D-4E47-A9D4-519D58C5C5D2}">
  <sheetPr codeName="Sheet7"/>
  <dimension ref="A1:B8"/>
  <sheetViews>
    <sheetView workbookViewId="0">
      <selection sqref="A1:B1"/>
    </sheetView>
  </sheetViews>
  <sheetFormatPr defaultRowHeight="15"/>
  <cols>
    <col min="1" max="1" width="17.5703125" customWidth="1"/>
  </cols>
  <sheetData>
    <row r="1" spans="1:2">
      <c r="A1" t="str">
        <f ca="1">MID(CELL("filename",exportsheets!$A$1),FIND("]",CELL("filename",exportsheets!$A$1))+1,255)</f>
        <v>exportsheets</v>
      </c>
      <c r="B1" t="s">
        <v>2628</v>
      </c>
    </row>
    <row r="2" spans="1:2">
      <c r="A2" t="str">
        <f ca="1">MID(CELL("filename",map_gross!$A$1),FIND("]",CELL("filename",exportsheets!$A$1))+1,255)</f>
        <v>map_gross</v>
      </c>
      <c r="B2" t="s">
        <v>2629</v>
      </c>
    </row>
    <row r="3" spans="1:2">
      <c r="A3" t="str">
        <f ca="1">MID(CELL("filename",map_net!$A$1),FIND("]",CELL("filename",exportsheets!$A$1))+1,255)</f>
        <v>map_net</v>
      </c>
      <c r="B3" t="s">
        <v>2630</v>
      </c>
    </row>
    <row r="4" spans="1:2">
      <c r="A4" t="str">
        <f ca="1">MID(CELL("filename",map_clm!$A$1),FIND("]",CELL("filename",map_clm!$A$1))+1,255)</f>
        <v>map_clm</v>
      </c>
      <c r="B4" t="s">
        <v>2631</v>
      </c>
    </row>
    <row r="5" spans="1:2">
      <c r="A5" t="str">
        <f ca="1">MID(CELL("filename",map_smpl!$A$1),FIND("]",CELL("filename",map_smpl!$A$1))+1,255)</f>
        <v>map_smpl</v>
      </c>
      <c r="B5" t="s">
        <v>2632</v>
      </c>
    </row>
    <row r="6" spans="1:2">
      <c r="A6" t="str">
        <f ca="1">MID(CELL("filename",map_atrbuild!$A$1),FIND("]",CELL("filename",map_atrbuild!$A$1))+1,255)</f>
        <v>map_atrbuild</v>
      </c>
      <c r="B6" t="s">
        <v>2633</v>
      </c>
    </row>
    <row r="7" spans="1:2">
      <c r="A7" t="str">
        <f ca="1">MID(CELL("filename",map_atr!$A$1),FIND("]",CELL("filename",map_atr!$A$1))+1,255)</f>
        <v>map_atr</v>
      </c>
      <c r="B7" t="s">
        <v>2634</v>
      </c>
    </row>
    <row r="8" spans="1:2">
      <c r="A8" t="str">
        <f ca="1">MID(CELL("filename",dispomap!$A$1),FIND("]",CELL("filename",exportsheets!$A$1))+1,255)</f>
        <v>dispomap</v>
      </c>
      <c r="B8" t="s">
        <v>2635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A93E-98E7-4C15-B0F6-62D337F8F970}">
  <sheetPr codeName="Sheet4"/>
  <dimension ref="A1:M886"/>
  <sheetViews>
    <sheetView topLeftCell="A152" workbookViewId="0">
      <selection activeCell="E182" sqref="E182"/>
    </sheetView>
  </sheetViews>
  <sheetFormatPr defaultColWidth="8.85546875" defaultRowHeight="15"/>
  <cols>
    <col min="1" max="1" width="31.85546875" customWidth="1"/>
    <col min="2" max="2" width="34.7109375" customWidth="1"/>
    <col min="3" max="3" width="25" customWidth="1"/>
    <col min="4" max="4" width="34.28515625" customWidth="1"/>
    <col min="5" max="5" width="22.28515625" customWidth="1"/>
    <col min="6" max="6" width="29.7109375" customWidth="1"/>
    <col min="10" max="10" width="22.42578125" customWidth="1"/>
    <col min="11" max="11" width="28" customWidth="1"/>
    <col min="12" max="12" width="32.7109375" customWidth="1"/>
    <col min="13" max="13" width="29.28515625" bestFit="1" customWidth="1"/>
  </cols>
  <sheetData>
    <row r="1" spans="1:13">
      <c r="A1" s="6" t="s">
        <v>228</v>
      </c>
      <c r="B1" s="6" t="s">
        <v>382</v>
      </c>
      <c r="C1" s="6" t="s">
        <v>86</v>
      </c>
      <c r="D1" s="6" t="str">
        <f>SourceDef!A10</f>
        <v>net_site_wkb</v>
      </c>
      <c r="E1" s="6" t="str">
        <f>SourceDef!A8</f>
        <v>projecttracker</v>
      </c>
      <c r="F1" s="6" t="str">
        <f>SourceDef!A7</f>
        <v>claimtracker</v>
      </c>
      <c r="G1" s="6" t="str">
        <f>SourceDef!A12</f>
        <v>subsample</v>
      </c>
      <c r="H1" s="6" t="str">
        <f>SourceDef!A16</f>
        <v>framedesign</v>
      </c>
      <c r="I1" s="6" t="str">
        <f>SourceDef!A19</f>
        <v>netcompletes</v>
      </c>
      <c r="J1" s="6" t="str">
        <f>SourceDef!A23</f>
        <v>netdispo</v>
      </c>
      <c r="K1" s="6" t="str">
        <f>SourceDef!A25</f>
        <v>trackerclaim</v>
      </c>
      <c r="L1" s="6" t="str">
        <f>SourceDef!A35</f>
        <v>gross_domain_summary</v>
      </c>
      <c r="M1" s="6" t="str">
        <f>SourceDef!A48</f>
        <v>atr_source</v>
      </c>
    </row>
    <row r="2" spans="1:13">
      <c r="A2" t="s">
        <v>229</v>
      </c>
      <c r="B2" t="s">
        <v>9</v>
      </c>
      <c r="C2" t="s">
        <v>180</v>
      </c>
      <c r="D2" t="s">
        <v>63</v>
      </c>
      <c r="E2" t="s">
        <v>223</v>
      </c>
      <c r="F2" t="s">
        <v>223</v>
      </c>
      <c r="G2" t="s">
        <v>9</v>
      </c>
      <c r="H2" t="s">
        <v>756</v>
      </c>
      <c r="I2" t="s">
        <v>772</v>
      </c>
      <c r="J2" t="s">
        <v>771</v>
      </c>
      <c r="K2" s="16" t="s">
        <v>1581</v>
      </c>
      <c r="L2" t="s">
        <v>11</v>
      </c>
      <c r="M2" t="s">
        <v>9</v>
      </c>
    </row>
    <row r="3" spans="1:13">
      <c r="A3" t="s">
        <v>83</v>
      </c>
      <c r="B3" t="s">
        <v>89</v>
      </c>
      <c r="C3" t="s">
        <v>1768</v>
      </c>
      <c r="D3" t="s">
        <v>83</v>
      </c>
      <c r="E3" t="s">
        <v>226</v>
      </c>
      <c r="F3" t="s">
        <v>226</v>
      </c>
      <c r="G3" t="s">
        <v>63</v>
      </c>
      <c r="H3" t="s">
        <v>11</v>
      </c>
      <c r="I3" t="s">
        <v>771</v>
      </c>
      <c r="J3" t="s">
        <v>505</v>
      </c>
      <c r="K3" s="17" t="s">
        <v>9</v>
      </c>
      <c r="L3" t="s">
        <v>181</v>
      </c>
      <c r="M3" t="s">
        <v>10</v>
      </c>
    </row>
    <row r="4" spans="1:13">
      <c r="A4" t="s">
        <v>230</v>
      </c>
      <c r="B4" t="s">
        <v>12</v>
      </c>
      <c r="C4" t="s">
        <v>9</v>
      </c>
      <c r="D4" t="s">
        <v>185</v>
      </c>
      <c r="E4" t="s">
        <v>63</v>
      </c>
      <c r="F4" t="s">
        <v>63</v>
      </c>
      <c r="G4" t="s">
        <v>162</v>
      </c>
      <c r="H4" t="s">
        <v>181</v>
      </c>
      <c r="I4" t="s">
        <v>505</v>
      </c>
      <c r="J4" t="s">
        <v>1547</v>
      </c>
      <c r="K4" s="17" t="s">
        <v>162</v>
      </c>
      <c r="L4" t="s">
        <v>2559</v>
      </c>
      <c r="M4" t="s">
        <v>11</v>
      </c>
    </row>
    <row r="5" spans="1:13">
      <c r="A5" t="s">
        <v>140</v>
      </c>
      <c r="B5" t="s">
        <v>90</v>
      </c>
      <c r="C5" t="s">
        <v>162</v>
      </c>
      <c r="D5" t="s">
        <v>1538</v>
      </c>
      <c r="E5" t="s">
        <v>89</v>
      </c>
      <c r="F5" t="s">
        <v>89</v>
      </c>
      <c r="G5" t="s">
        <v>163</v>
      </c>
      <c r="H5" t="s">
        <v>757</v>
      </c>
      <c r="I5" t="s">
        <v>773</v>
      </c>
      <c r="J5" t="s">
        <v>1548</v>
      </c>
      <c r="K5" s="17" t="s">
        <v>163</v>
      </c>
      <c r="L5" t="s">
        <v>2560</v>
      </c>
      <c r="M5" t="s">
        <v>12</v>
      </c>
    </row>
    <row r="6" spans="1:13">
      <c r="A6" t="s">
        <v>231</v>
      </c>
      <c r="B6" t="s">
        <v>91</v>
      </c>
      <c r="C6" t="s">
        <v>163</v>
      </c>
      <c r="D6" t="s">
        <v>184</v>
      </c>
      <c r="E6" t="s">
        <v>370</v>
      </c>
      <c r="F6" t="s">
        <v>9</v>
      </c>
      <c r="G6" t="s">
        <v>164</v>
      </c>
      <c r="H6" t="s">
        <v>758</v>
      </c>
      <c r="I6" t="s">
        <v>774</v>
      </c>
      <c r="J6" t="s">
        <v>1549</v>
      </c>
      <c r="K6" s="17" t="s">
        <v>164</v>
      </c>
      <c r="L6" t="s">
        <v>2561</v>
      </c>
      <c r="M6" t="s">
        <v>13</v>
      </c>
    </row>
    <row r="7" spans="1:13">
      <c r="A7" t="s">
        <v>141</v>
      </c>
      <c r="B7" t="s">
        <v>92</v>
      </c>
      <c r="C7" t="s">
        <v>164</v>
      </c>
      <c r="D7" t="s">
        <v>1539</v>
      </c>
      <c r="E7" t="s">
        <v>373</v>
      </c>
      <c r="F7" t="s">
        <v>561</v>
      </c>
      <c r="G7" t="s">
        <v>165</v>
      </c>
      <c r="H7" t="s">
        <v>759</v>
      </c>
      <c r="I7" t="s">
        <v>499</v>
      </c>
      <c r="J7" t="s">
        <v>66</v>
      </c>
      <c r="K7" s="17" t="s">
        <v>165</v>
      </c>
      <c r="L7" t="s">
        <v>2562</v>
      </c>
      <c r="M7" t="s">
        <v>2486</v>
      </c>
    </row>
    <row r="8" spans="1:13">
      <c r="A8" t="s">
        <v>24</v>
      </c>
      <c r="B8" t="s">
        <v>93</v>
      </c>
      <c r="C8" t="s">
        <v>165</v>
      </c>
      <c r="D8" t="s">
        <v>1540</v>
      </c>
      <c r="E8" t="s">
        <v>371</v>
      </c>
      <c r="F8" t="s">
        <v>96</v>
      </c>
      <c r="G8" t="s">
        <v>166</v>
      </c>
      <c r="H8" t="s">
        <v>760</v>
      </c>
      <c r="I8" t="s">
        <v>775</v>
      </c>
      <c r="J8" t="s">
        <v>1917</v>
      </c>
      <c r="K8" s="17" t="s">
        <v>166</v>
      </c>
      <c r="L8" t="s">
        <v>2563</v>
      </c>
      <c r="M8" t="s">
        <v>2487</v>
      </c>
    </row>
    <row r="9" spans="1:13">
      <c r="A9" t="s">
        <v>232</v>
      </c>
      <c r="B9" t="s">
        <v>94</v>
      </c>
      <c r="C9" t="s">
        <v>166</v>
      </c>
      <c r="D9" t="s">
        <v>1541</v>
      </c>
      <c r="E9" t="s">
        <v>372</v>
      </c>
      <c r="F9" t="s">
        <v>16</v>
      </c>
      <c r="G9" t="s">
        <v>167</v>
      </c>
      <c r="H9" t="s">
        <v>761</v>
      </c>
      <c r="I9" t="s">
        <v>504</v>
      </c>
      <c r="J9" t="s">
        <v>1551</v>
      </c>
      <c r="K9" s="17" t="s">
        <v>167</v>
      </c>
      <c r="L9" t="s">
        <v>2564</v>
      </c>
      <c r="M9" t="s">
        <v>14</v>
      </c>
    </row>
    <row r="10" spans="1:13">
      <c r="A10" t="s">
        <v>233</v>
      </c>
      <c r="B10" t="s">
        <v>95</v>
      </c>
      <c r="C10" t="s">
        <v>167</v>
      </c>
      <c r="D10" t="s">
        <v>230</v>
      </c>
      <c r="E10" t="s">
        <v>508</v>
      </c>
      <c r="F10" t="s">
        <v>230</v>
      </c>
      <c r="G10" t="s">
        <v>168</v>
      </c>
      <c r="H10" t="s">
        <v>762</v>
      </c>
      <c r="I10" t="s">
        <v>498</v>
      </c>
      <c r="J10" t="s">
        <v>1918</v>
      </c>
      <c r="K10" s="17" t="s">
        <v>168</v>
      </c>
      <c r="L10" t="s">
        <v>2565</v>
      </c>
      <c r="M10" t="s">
        <v>15</v>
      </c>
    </row>
    <row r="11" spans="1:13">
      <c r="A11" t="s">
        <v>234</v>
      </c>
      <c r="B11" t="s">
        <v>27</v>
      </c>
      <c r="C11" t="s">
        <v>168</v>
      </c>
      <c r="D11" t="s">
        <v>1542</v>
      </c>
      <c r="E11" t="s">
        <v>509</v>
      </c>
      <c r="F11" t="s">
        <v>508</v>
      </c>
      <c r="G11" t="s">
        <v>169</v>
      </c>
      <c r="I11" t="s">
        <v>502</v>
      </c>
      <c r="J11" t="s">
        <v>1550</v>
      </c>
      <c r="K11" s="17" t="s">
        <v>169</v>
      </c>
      <c r="L11" t="s">
        <v>2566</v>
      </c>
      <c r="M11" t="s">
        <v>16</v>
      </c>
    </row>
    <row r="12" spans="1:13">
      <c r="A12" t="s">
        <v>235</v>
      </c>
      <c r="B12" t="s">
        <v>96</v>
      </c>
      <c r="C12" t="s">
        <v>169</v>
      </c>
      <c r="D12" t="s">
        <v>1543</v>
      </c>
      <c r="E12" t="s">
        <v>1560</v>
      </c>
      <c r="F12" t="s">
        <v>509</v>
      </c>
      <c r="G12" t="s">
        <v>170</v>
      </c>
      <c r="I12" t="s">
        <v>503</v>
      </c>
      <c r="J12" t="s">
        <v>1919</v>
      </c>
      <c r="K12" s="17" t="s">
        <v>170</v>
      </c>
      <c r="L12" t="s">
        <v>2567</v>
      </c>
      <c r="M12" t="s">
        <v>17</v>
      </c>
    </row>
    <row r="13" spans="1:13">
      <c r="A13" t="s">
        <v>236</v>
      </c>
      <c r="B13" t="s">
        <v>16</v>
      </c>
      <c r="C13" t="s">
        <v>170</v>
      </c>
      <c r="E13" t="s">
        <v>1561</v>
      </c>
      <c r="F13" t="s">
        <v>11</v>
      </c>
      <c r="G13" t="s">
        <v>171</v>
      </c>
      <c r="I13" t="s">
        <v>776</v>
      </c>
      <c r="J13" t="s">
        <v>1920</v>
      </c>
      <c r="K13" s="17" t="s">
        <v>171</v>
      </c>
      <c r="L13" t="s">
        <v>1923</v>
      </c>
      <c r="M13" t="s">
        <v>134</v>
      </c>
    </row>
    <row r="14" spans="1:13">
      <c r="A14" t="s">
        <v>25</v>
      </c>
      <c r="B14" t="s">
        <v>17</v>
      </c>
      <c r="C14" t="s">
        <v>171</v>
      </c>
      <c r="E14" t="s">
        <v>1562</v>
      </c>
      <c r="F14" t="s">
        <v>562</v>
      </c>
      <c r="G14" t="s">
        <v>89</v>
      </c>
      <c r="I14" t="s">
        <v>777</v>
      </c>
      <c r="K14" s="17" t="s">
        <v>1582</v>
      </c>
      <c r="L14" t="s">
        <v>1956</v>
      </c>
      <c r="M14" t="s">
        <v>2488</v>
      </c>
    </row>
    <row r="15" spans="1:13">
      <c r="A15" t="s">
        <v>237</v>
      </c>
      <c r="B15" t="s">
        <v>97</v>
      </c>
      <c r="C15" t="s">
        <v>89</v>
      </c>
      <c r="E15" t="s">
        <v>1563</v>
      </c>
      <c r="F15" t="s">
        <v>563</v>
      </c>
      <c r="G15" t="s">
        <v>172</v>
      </c>
      <c r="I15" t="s">
        <v>778</v>
      </c>
      <c r="K15" s="17" t="s">
        <v>266</v>
      </c>
      <c r="L15" t="s">
        <v>2568</v>
      </c>
      <c r="M15" t="s">
        <v>18</v>
      </c>
    </row>
    <row r="16" spans="1:13">
      <c r="A16" t="s">
        <v>238</v>
      </c>
      <c r="B16" t="s">
        <v>98</v>
      </c>
      <c r="C16" t="s">
        <v>172</v>
      </c>
      <c r="E16" t="s">
        <v>510</v>
      </c>
      <c r="F16" t="s">
        <v>15</v>
      </c>
      <c r="G16" t="s">
        <v>173</v>
      </c>
      <c r="I16" t="s">
        <v>779</v>
      </c>
      <c r="K16" s="17" t="s">
        <v>267</v>
      </c>
      <c r="L16" t="s">
        <v>2569</v>
      </c>
      <c r="M16" t="s">
        <v>19</v>
      </c>
    </row>
    <row r="17" spans="1:13">
      <c r="A17" t="s">
        <v>239</v>
      </c>
      <c r="B17" t="s">
        <v>99</v>
      </c>
      <c r="C17" t="s">
        <v>173</v>
      </c>
      <c r="E17" t="s">
        <v>1564</v>
      </c>
      <c r="F17" t="s">
        <v>564</v>
      </c>
      <c r="G17" t="s">
        <v>174</v>
      </c>
      <c r="I17" t="s">
        <v>385</v>
      </c>
      <c r="K17" s="17" t="s">
        <v>268</v>
      </c>
      <c r="L17" t="s">
        <v>2570</v>
      </c>
      <c r="M17" t="s">
        <v>20</v>
      </c>
    </row>
    <row r="18" spans="1:13">
      <c r="A18" t="s">
        <v>240</v>
      </c>
      <c r="B18" t="s">
        <v>100</v>
      </c>
      <c r="C18" t="s">
        <v>174</v>
      </c>
      <c r="E18" t="s">
        <v>1565</v>
      </c>
      <c r="F18" t="s">
        <v>565</v>
      </c>
      <c r="G18" t="s">
        <v>134</v>
      </c>
      <c r="I18" t="s">
        <v>780</v>
      </c>
      <c r="K18" s="17" t="s">
        <v>1583</v>
      </c>
      <c r="L18" t="s">
        <v>2571</v>
      </c>
      <c r="M18" t="s">
        <v>21</v>
      </c>
    </row>
    <row r="19" spans="1:13">
      <c r="A19" t="s">
        <v>241</v>
      </c>
      <c r="B19" t="s">
        <v>101</v>
      </c>
      <c r="C19" t="s">
        <v>134</v>
      </c>
      <c r="E19" t="s">
        <v>1566</v>
      </c>
      <c r="F19" t="s">
        <v>566</v>
      </c>
      <c r="G19" t="s">
        <v>175</v>
      </c>
      <c r="I19" t="s">
        <v>384</v>
      </c>
      <c r="K19" s="17" t="s">
        <v>269</v>
      </c>
      <c r="L19" t="s">
        <v>1811</v>
      </c>
      <c r="M19" t="s">
        <v>22</v>
      </c>
    </row>
    <row r="20" spans="1:13">
      <c r="A20" t="s">
        <v>242</v>
      </c>
      <c r="B20" t="s">
        <v>102</v>
      </c>
      <c r="C20" t="s">
        <v>175</v>
      </c>
      <c r="E20" t="s">
        <v>1559</v>
      </c>
      <c r="F20" t="s">
        <v>567</v>
      </c>
      <c r="G20" t="s">
        <v>176</v>
      </c>
      <c r="I20" t="s">
        <v>386</v>
      </c>
      <c r="K20" s="17" t="s">
        <v>270</v>
      </c>
      <c r="L20" t="s">
        <v>1812</v>
      </c>
      <c r="M20" t="s">
        <v>2489</v>
      </c>
    </row>
    <row r="21" spans="1:13">
      <c r="A21" t="s">
        <v>243</v>
      </c>
      <c r="B21" t="s">
        <v>103</v>
      </c>
      <c r="C21" t="s">
        <v>176</v>
      </c>
      <c r="E21" t="s">
        <v>511</v>
      </c>
      <c r="F21" t="s">
        <v>568</v>
      </c>
      <c r="G21" t="s">
        <v>177</v>
      </c>
      <c r="I21" t="s">
        <v>781</v>
      </c>
      <c r="K21" s="17" t="s">
        <v>1584</v>
      </c>
      <c r="L21" t="s">
        <v>1813</v>
      </c>
      <c r="M21" t="s">
        <v>2490</v>
      </c>
    </row>
    <row r="22" spans="1:13">
      <c r="A22" t="s">
        <v>64</v>
      </c>
      <c r="B22" t="s">
        <v>104</v>
      </c>
      <c r="C22" t="s">
        <v>177</v>
      </c>
      <c r="E22" t="s">
        <v>378</v>
      </c>
      <c r="F22" t="s">
        <v>569</v>
      </c>
      <c r="G22" t="s">
        <v>178</v>
      </c>
      <c r="I22" t="s">
        <v>387</v>
      </c>
      <c r="K22" s="17" t="s">
        <v>1585</v>
      </c>
      <c r="L22" t="s">
        <v>1814</v>
      </c>
      <c r="M22" t="s">
        <v>2491</v>
      </c>
    </row>
    <row r="23" spans="1:13">
      <c r="A23" t="s">
        <v>244</v>
      </c>
      <c r="B23" t="s">
        <v>105</v>
      </c>
      <c r="C23" t="s">
        <v>178</v>
      </c>
      <c r="E23" t="s">
        <v>512</v>
      </c>
      <c r="F23" t="s">
        <v>570</v>
      </c>
      <c r="G23" t="s">
        <v>179</v>
      </c>
      <c r="I23" t="s">
        <v>388</v>
      </c>
      <c r="K23" s="17" t="s">
        <v>271</v>
      </c>
      <c r="L23" t="s">
        <v>1815</v>
      </c>
      <c r="M23" t="s">
        <v>23</v>
      </c>
    </row>
    <row r="24" spans="1:13">
      <c r="A24" t="s">
        <v>245</v>
      </c>
      <c r="B24" t="s">
        <v>29</v>
      </c>
      <c r="C24" t="s">
        <v>179</v>
      </c>
      <c r="E24" t="s">
        <v>513</v>
      </c>
      <c r="F24" t="s">
        <v>184</v>
      </c>
      <c r="G24" t="s">
        <v>180</v>
      </c>
      <c r="I24" t="s">
        <v>389</v>
      </c>
      <c r="K24" s="17" t="s">
        <v>89</v>
      </c>
      <c r="L24" t="s">
        <v>1816</v>
      </c>
      <c r="M24" t="s">
        <v>24</v>
      </c>
    </row>
    <row r="25" spans="1:13">
      <c r="A25" t="s">
        <v>246</v>
      </c>
      <c r="B25" t="s">
        <v>106</v>
      </c>
      <c r="C25" t="s">
        <v>181</v>
      </c>
      <c r="E25" t="s">
        <v>514</v>
      </c>
      <c r="F25" t="s">
        <v>185</v>
      </c>
      <c r="G25" t="s">
        <v>181</v>
      </c>
      <c r="I25" t="s">
        <v>390</v>
      </c>
      <c r="K25" s="17" t="s">
        <v>172</v>
      </c>
      <c r="L25" t="s">
        <v>2399</v>
      </c>
      <c r="M25" t="s">
        <v>25</v>
      </c>
    </row>
    <row r="26" spans="1:13">
      <c r="A26" t="s">
        <v>247</v>
      </c>
      <c r="B26" t="s">
        <v>107</v>
      </c>
      <c r="C26" t="s">
        <v>182</v>
      </c>
      <c r="E26" t="s">
        <v>515</v>
      </c>
      <c r="F26" t="s">
        <v>101</v>
      </c>
      <c r="G26" t="s">
        <v>182</v>
      </c>
      <c r="I26" t="s">
        <v>391</v>
      </c>
      <c r="K26" s="17" t="s">
        <v>173</v>
      </c>
      <c r="L26" t="s">
        <v>2400</v>
      </c>
      <c r="M26" t="s">
        <v>26</v>
      </c>
    </row>
    <row r="27" spans="1:13">
      <c r="A27" t="s">
        <v>248</v>
      </c>
      <c r="B27" t="s">
        <v>108</v>
      </c>
      <c r="C27" t="s">
        <v>183</v>
      </c>
      <c r="E27" t="s">
        <v>516</v>
      </c>
      <c r="F27" t="s">
        <v>571</v>
      </c>
      <c r="G27" t="s">
        <v>183</v>
      </c>
      <c r="I27" t="s">
        <v>392</v>
      </c>
      <c r="K27" s="17" t="s">
        <v>174</v>
      </c>
      <c r="L27" t="s">
        <v>2401</v>
      </c>
      <c r="M27" t="s">
        <v>2492</v>
      </c>
    </row>
    <row r="28" spans="1:13">
      <c r="A28" t="s">
        <v>249</v>
      </c>
      <c r="B28" t="s">
        <v>42</v>
      </c>
      <c r="C28" t="s">
        <v>184</v>
      </c>
      <c r="E28" t="s">
        <v>517</v>
      </c>
      <c r="F28" t="s">
        <v>102</v>
      </c>
      <c r="G28" t="s">
        <v>184</v>
      </c>
      <c r="I28" t="s">
        <v>782</v>
      </c>
      <c r="K28" s="17" t="s">
        <v>134</v>
      </c>
      <c r="L28" t="s">
        <v>2402</v>
      </c>
      <c r="M28" t="s">
        <v>27</v>
      </c>
    </row>
    <row r="29" spans="1:13">
      <c r="A29" t="s">
        <v>250</v>
      </c>
      <c r="B29" t="s">
        <v>43</v>
      </c>
      <c r="C29" t="s">
        <v>185</v>
      </c>
      <c r="E29" t="s">
        <v>518</v>
      </c>
      <c r="F29" t="s">
        <v>572</v>
      </c>
      <c r="G29" t="s">
        <v>185</v>
      </c>
      <c r="I29" t="s">
        <v>783</v>
      </c>
      <c r="K29" s="17" t="s">
        <v>175</v>
      </c>
      <c r="L29" t="s">
        <v>1817</v>
      </c>
      <c r="M29" t="s">
        <v>28</v>
      </c>
    </row>
    <row r="30" spans="1:13">
      <c r="A30" t="s">
        <v>251</v>
      </c>
      <c r="B30" t="s">
        <v>44</v>
      </c>
      <c r="C30" t="s">
        <v>186</v>
      </c>
      <c r="E30" t="s">
        <v>519</v>
      </c>
      <c r="F30" t="s">
        <v>103</v>
      </c>
      <c r="G30" t="s">
        <v>186</v>
      </c>
      <c r="I30" t="s">
        <v>784</v>
      </c>
      <c r="K30" s="17" t="s">
        <v>176</v>
      </c>
      <c r="L30" t="s">
        <v>1818</v>
      </c>
      <c r="M30" t="s">
        <v>29</v>
      </c>
    </row>
    <row r="31" spans="1:13">
      <c r="A31" t="s">
        <v>252</v>
      </c>
      <c r="B31" t="s">
        <v>45</v>
      </c>
      <c r="C31" t="s">
        <v>187</v>
      </c>
      <c r="E31" t="s">
        <v>520</v>
      </c>
      <c r="F31" t="s">
        <v>573</v>
      </c>
      <c r="G31" t="s">
        <v>187</v>
      </c>
      <c r="I31" t="s">
        <v>785</v>
      </c>
      <c r="K31" s="17" t="s">
        <v>177</v>
      </c>
      <c r="L31" t="s">
        <v>2389</v>
      </c>
      <c r="M31" t="s">
        <v>30</v>
      </c>
    </row>
    <row r="32" spans="1:13">
      <c r="A32" t="s">
        <v>253</v>
      </c>
      <c r="B32" t="s">
        <v>23</v>
      </c>
      <c r="C32" t="s">
        <v>188</v>
      </c>
      <c r="E32" t="s">
        <v>521</v>
      </c>
      <c r="F32" t="s">
        <v>104</v>
      </c>
      <c r="G32" t="s">
        <v>188</v>
      </c>
      <c r="I32" t="s">
        <v>786</v>
      </c>
      <c r="K32" s="17" t="s">
        <v>178</v>
      </c>
      <c r="L32" t="s">
        <v>1819</v>
      </c>
      <c r="M32" t="s">
        <v>31</v>
      </c>
    </row>
    <row r="33" spans="1:13">
      <c r="A33" t="s">
        <v>254</v>
      </c>
      <c r="B33" t="s">
        <v>109</v>
      </c>
      <c r="C33" t="s">
        <v>189</v>
      </c>
      <c r="E33" t="s">
        <v>522</v>
      </c>
      <c r="F33" t="s">
        <v>574</v>
      </c>
      <c r="G33" t="s">
        <v>189</v>
      </c>
      <c r="I33" t="s">
        <v>787</v>
      </c>
      <c r="K33" s="17" t="s">
        <v>179</v>
      </c>
      <c r="L33" t="s">
        <v>1820</v>
      </c>
      <c r="M33" t="s">
        <v>32</v>
      </c>
    </row>
    <row r="34" spans="1:13">
      <c r="A34" t="s">
        <v>255</v>
      </c>
      <c r="B34" t="s">
        <v>110</v>
      </c>
      <c r="C34" t="s">
        <v>63</v>
      </c>
      <c r="E34" t="s">
        <v>523</v>
      </c>
      <c r="F34" t="s">
        <v>575</v>
      </c>
      <c r="G34" t="s">
        <v>12</v>
      </c>
      <c r="I34" t="s">
        <v>788</v>
      </c>
      <c r="K34" s="17" t="s">
        <v>180</v>
      </c>
      <c r="L34" t="s">
        <v>2403</v>
      </c>
      <c r="M34" t="s">
        <v>33</v>
      </c>
    </row>
    <row r="35" spans="1:13">
      <c r="A35" t="s">
        <v>256</v>
      </c>
      <c r="B35" t="s">
        <v>111</v>
      </c>
      <c r="C35" t="s">
        <v>12</v>
      </c>
      <c r="E35" t="s">
        <v>524</v>
      </c>
      <c r="F35" t="s">
        <v>576</v>
      </c>
      <c r="G35" t="s">
        <v>90</v>
      </c>
      <c r="I35" t="s">
        <v>789</v>
      </c>
      <c r="K35" s="17" t="s">
        <v>181</v>
      </c>
      <c r="L35" t="s">
        <v>2404</v>
      </c>
      <c r="M35" t="s">
        <v>34</v>
      </c>
    </row>
    <row r="36" spans="1:13">
      <c r="A36" t="s">
        <v>257</v>
      </c>
      <c r="B36" t="s">
        <v>112</v>
      </c>
      <c r="C36" t="s">
        <v>90</v>
      </c>
      <c r="E36" t="s">
        <v>343</v>
      </c>
      <c r="F36" t="s">
        <v>577</v>
      </c>
      <c r="G36" t="s">
        <v>91</v>
      </c>
      <c r="I36" t="s">
        <v>790</v>
      </c>
      <c r="K36" s="17" t="s">
        <v>182</v>
      </c>
      <c r="L36" t="s">
        <v>1674</v>
      </c>
      <c r="M36" t="s">
        <v>35</v>
      </c>
    </row>
    <row r="37" spans="1:13">
      <c r="A37" t="s">
        <v>258</v>
      </c>
      <c r="B37" t="s">
        <v>113</v>
      </c>
      <c r="C37" t="s">
        <v>91</v>
      </c>
      <c r="E37" t="s">
        <v>525</v>
      </c>
      <c r="F37" t="s">
        <v>578</v>
      </c>
      <c r="G37" t="s">
        <v>92</v>
      </c>
      <c r="I37" t="s">
        <v>791</v>
      </c>
      <c r="K37" s="17" t="s">
        <v>183</v>
      </c>
      <c r="L37" t="s">
        <v>1675</v>
      </c>
      <c r="M37" t="s">
        <v>36</v>
      </c>
    </row>
    <row r="38" spans="1:13">
      <c r="A38" t="s">
        <v>259</v>
      </c>
      <c r="B38" t="s">
        <v>114</v>
      </c>
      <c r="C38" t="s">
        <v>92</v>
      </c>
      <c r="E38" t="s">
        <v>526</v>
      </c>
      <c r="F38" t="s">
        <v>579</v>
      </c>
      <c r="G38" t="s">
        <v>93</v>
      </c>
      <c r="I38" t="s">
        <v>792</v>
      </c>
      <c r="K38" s="17" t="s">
        <v>184</v>
      </c>
      <c r="L38" t="s">
        <v>2405</v>
      </c>
      <c r="M38" t="s">
        <v>37</v>
      </c>
    </row>
    <row r="39" spans="1:13">
      <c r="A39" t="s">
        <v>260</v>
      </c>
      <c r="B39" t="s">
        <v>115</v>
      </c>
      <c r="C39" t="s">
        <v>93</v>
      </c>
      <c r="E39" t="s">
        <v>527</v>
      </c>
      <c r="F39" t="s">
        <v>580</v>
      </c>
      <c r="G39" t="s">
        <v>94</v>
      </c>
      <c r="I39" t="s">
        <v>793</v>
      </c>
      <c r="K39" s="17" t="s">
        <v>185</v>
      </c>
      <c r="L39" t="s">
        <v>2406</v>
      </c>
      <c r="M39" t="s">
        <v>38</v>
      </c>
    </row>
    <row r="40" spans="1:13">
      <c r="A40" t="s">
        <v>261</v>
      </c>
      <c r="B40" t="s">
        <v>116</v>
      </c>
      <c r="C40" t="s">
        <v>94</v>
      </c>
      <c r="E40" t="s">
        <v>528</v>
      </c>
      <c r="F40" t="s">
        <v>304</v>
      </c>
      <c r="G40" t="s">
        <v>95</v>
      </c>
      <c r="I40" t="s">
        <v>794</v>
      </c>
      <c r="K40" s="17" t="s">
        <v>1586</v>
      </c>
      <c r="L40" t="s">
        <v>2407</v>
      </c>
      <c r="M40" t="s">
        <v>39</v>
      </c>
    </row>
    <row r="41" spans="1:13">
      <c r="A41" t="s">
        <v>179</v>
      </c>
      <c r="B41" t="s">
        <v>117</v>
      </c>
      <c r="C41" t="s">
        <v>95</v>
      </c>
      <c r="E41" t="s">
        <v>529</v>
      </c>
      <c r="F41" t="s">
        <v>305</v>
      </c>
      <c r="G41" t="s">
        <v>27</v>
      </c>
      <c r="I41" t="s">
        <v>795</v>
      </c>
      <c r="K41" s="17" t="s">
        <v>187</v>
      </c>
      <c r="L41" t="s">
        <v>1827</v>
      </c>
      <c r="M41" t="s">
        <v>40</v>
      </c>
    </row>
    <row r="42" spans="1:13">
      <c r="A42" t="s">
        <v>178</v>
      </c>
      <c r="B42" t="s">
        <v>118</v>
      </c>
      <c r="C42" t="s">
        <v>27</v>
      </c>
      <c r="E42" t="s">
        <v>530</v>
      </c>
      <c r="F42" t="s">
        <v>511</v>
      </c>
      <c r="G42" t="s">
        <v>96</v>
      </c>
      <c r="I42" t="s">
        <v>796</v>
      </c>
      <c r="K42" s="17" t="s">
        <v>188</v>
      </c>
      <c r="L42" t="s">
        <v>2390</v>
      </c>
      <c r="M42" t="s">
        <v>41</v>
      </c>
    </row>
    <row r="43" spans="1:13">
      <c r="A43" t="s">
        <v>89</v>
      </c>
      <c r="B43" t="s">
        <v>119</v>
      </c>
      <c r="C43" t="s">
        <v>96</v>
      </c>
      <c r="E43" t="s">
        <v>531</v>
      </c>
      <c r="F43" t="s">
        <v>308</v>
      </c>
      <c r="G43" t="s">
        <v>16</v>
      </c>
      <c r="I43" t="s">
        <v>797</v>
      </c>
      <c r="K43" s="17" t="s">
        <v>189</v>
      </c>
      <c r="L43" t="s">
        <v>1828</v>
      </c>
      <c r="M43" t="s">
        <v>42</v>
      </c>
    </row>
    <row r="44" spans="1:13">
      <c r="A44" t="s">
        <v>176</v>
      </c>
      <c r="B44" t="s">
        <v>120</v>
      </c>
      <c r="C44" t="s">
        <v>16</v>
      </c>
      <c r="E44" t="s">
        <v>532</v>
      </c>
      <c r="F44" t="s">
        <v>377</v>
      </c>
      <c r="G44" t="s">
        <v>17</v>
      </c>
      <c r="I44" t="s">
        <v>798</v>
      </c>
      <c r="K44" s="17" t="s">
        <v>63</v>
      </c>
      <c r="L44" t="s">
        <v>2408</v>
      </c>
      <c r="M44" t="s">
        <v>43</v>
      </c>
    </row>
    <row r="45" spans="1:13">
      <c r="A45" t="s">
        <v>177</v>
      </c>
      <c r="B45" t="s">
        <v>121</v>
      </c>
      <c r="C45" t="s">
        <v>17</v>
      </c>
      <c r="E45" t="s">
        <v>533</v>
      </c>
      <c r="F45" t="s">
        <v>306</v>
      </c>
      <c r="G45" t="s">
        <v>97</v>
      </c>
      <c r="I45" t="s">
        <v>799</v>
      </c>
      <c r="K45" s="17" t="s">
        <v>12</v>
      </c>
      <c r="L45" t="s">
        <v>1676</v>
      </c>
      <c r="M45" t="s">
        <v>44</v>
      </c>
    </row>
    <row r="46" spans="1:13">
      <c r="A46" t="s">
        <v>172</v>
      </c>
      <c r="B46" t="s">
        <v>122</v>
      </c>
      <c r="C46" t="s">
        <v>97</v>
      </c>
      <c r="E46" t="s">
        <v>534</v>
      </c>
      <c r="F46" t="s">
        <v>309</v>
      </c>
      <c r="G46" t="s">
        <v>98</v>
      </c>
      <c r="I46" t="s">
        <v>800</v>
      </c>
      <c r="K46" s="17" t="s">
        <v>90</v>
      </c>
      <c r="L46" t="s">
        <v>2409</v>
      </c>
      <c r="M46" t="s">
        <v>45</v>
      </c>
    </row>
    <row r="47" spans="1:13">
      <c r="A47" t="s">
        <v>174</v>
      </c>
      <c r="B47" t="s">
        <v>123</v>
      </c>
      <c r="C47" t="s">
        <v>98</v>
      </c>
      <c r="E47" t="s">
        <v>535</v>
      </c>
      <c r="F47" t="s">
        <v>581</v>
      </c>
      <c r="G47" t="s">
        <v>99</v>
      </c>
      <c r="I47" t="s">
        <v>801</v>
      </c>
      <c r="K47" s="17" t="s">
        <v>91</v>
      </c>
      <c r="L47" t="s">
        <v>2410</v>
      </c>
      <c r="M47" t="s">
        <v>46</v>
      </c>
    </row>
    <row r="48" spans="1:13">
      <c r="A48" t="s">
        <v>262</v>
      </c>
      <c r="B48" t="s">
        <v>124</v>
      </c>
      <c r="C48" t="s">
        <v>99</v>
      </c>
      <c r="E48" t="s">
        <v>536</v>
      </c>
      <c r="F48" t="s">
        <v>582</v>
      </c>
      <c r="G48" t="s">
        <v>100</v>
      </c>
      <c r="I48" t="s">
        <v>802</v>
      </c>
      <c r="K48" s="17" t="s">
        <v>92</v>
      </c>
      <c r="L48" t="s">
        <v>1832</v>
      </c>
      <c r="M48" t="s">
        <v>47</v>
      </c>
    </row>
    <row r="49" spans="1:13">
      <c r="A49" t="s">
        <v>263</v>
      </c>
      <c r="B49" t="s">
        <v>125</v>
      </c>
      <c r="C49" t="s">
        <v>100</v>
      </c>
      <c r="E49" t="s">
        <v>537</v>
      </c>
      <c r="F49" t="s">
        <v>344</v>
      </c>
      <c r="G49" t="s">
        <v>101</v>
      </c>
      <c r="I49" t="s">
        <v>803</v>
      </c>
      <c r="K49" s="17" t="s">
        <v>93</v>
      </c>
      <c r="L49" t="s">
        <v>1833</v>
      </c>
      <c r="M49" t="s">
        <v>48</v>
      </c>
    </row>
    <row r="50" spans="1:13">
      <c r="A50" t="s">
        <v>264</v>
      </c>
      <c r="B50" t="s">
        <v>126</v>
      </c>
      <c r="C50" t="s">
        <v>101</v>
      </c>
      <c r="E50" t="s">
        <v>538</v>
      </c>
      <c r="F50" t="s">
        <v>669</v>
      </c>
      <c r="G50" t="s">
        <v>102</v>
      </c>
      <c r="I50" t="s">
        <v>804</v>
      </c>
      <c r="K50" s="17" t="s">
        <v>94</v>
      </c>
      <c r="L50" t="s">
        <v>1834</v>
      </c>
      <c r="M50" t="s">
        <v>49</v>
      </c>
    </row>
    <row r="51" spans="1:13">
      <c r="A51" t="s">
        <v>265</v>
      </c>
      <c r="B51" t="s">
        <v>127</v>
      </c>
      <c r="C51" t="s">
        <v>102</v>
      </c>
      <c r="E51" t="s">
        <v>539</v>
      </c>
      <c r="G51" t="s">
        <v>103</v>
      </c>
      <c r="I51" t="s">
        <v>805</v>
      </c>
      <c r="K51" s="17" t="s">
        <v>95</v>
      </c>
      <c r="L51" t="s">
        <v>1835</v>
      </c>
      <c r="M51" t="s">
        <v>50</v>
      </c>
    </row>
    <row r="52" spans="1:13">
      <c r="A52" t="s">
        <v>162</v>
      </c>
      <c r="B52" t="s">
        <v>128</v>
      </c>
      <c r="C52" t="s">
        <v>103</v>
      </c>
      <c r="E52" t="s">
        <v>540</v>
      </c>
      <c r="G52" t="s">
        <v>104</v>
      </c>
      <c r="I52" t="s">
        <v>806</v>
      </c>
      <c r="K52" s="17" t="s">
        <v>27</v>
      </c>
      <c r="L52" t="s">
        <v>2411</v>
      </c>
      <c r="M52" t="s">
        <v>51</v>
      </c>
    </row>
    <row r="53" spans="1:13">
      <c r="A53" t="s">
        <v>163</v>
      </c>
      <c r="B53" t="s">
        <v>129</v>
      </c>
      <c r="C53" t="s">
        <v>104</v>
      </c>
      <c r="E53" t="s">
        <v>344</v>
      </c>
      <c r="G53" t="s">
        <v>105</v>
      </c>
      <c r="I53" t="s">
        <v>807</v>
      </c>
      <c r="K53" s="17" t="s">
        <v>96</v>
      </c>
      <c r="L53" t="s">
        <v>2412</v>
      </c>
      <c r="M53" t="s">
        <v>52</v>
      </c>
    </row>
    <row r="54" spans="1:13">
      <c r="A54" t="s">
        <v>164</v>
      </c>
      <c r="B54" t="s">
        <v>130</v>
      </c>
      <c r="C54" t="s">
        <v>105</v>
      </c>
      <c r="E54" t="s">
        <v>541</v>
      </c>
      <c r="G54" t="s">
        <v>29</v>
      </c>
      <c r="I54" t="s">
        <v>808</v>
      </c>
      <c r="K54" s="17" t="s">
        <v>16</v>
      </c>
      <c r="L54" t="s">
        <v>1683</v>
      </c>
      <c r="M54" t="s">
        <v>53</v>
      </c>
    </row>
    <row r="55" spans="1:13">
      <c r="A55" t="s">
        <v>165</v>
      </c>
      <c r="B55" t="s">
        <v>131</v>
      </c>
      <c r="C55" t="s">
        <v>29</v>
      </c>
      <c r="E55" t="s">
        <v>542</v>
      </c>
      <c r="G55" t="s">
        <v>106</v>
      </c>
      <c r="I55" t="s">
        <v>809</v>
      </c>
      <c r="K55" s="17" t="s">
        <v>17</v>
      </c>
      <c r="L55" t="s">
        <v>1684</v>
      </c>
      <c r="M55" t="s">
        <v>54</v>
      </c>
    </row>
    <row r="56" spans="1:13">
      <c r="A56" t="s">
        <v>167</v>
      </c>
      <c r="B56" t="s">
        <v>132</v>
      </c>
      <c r="C56" t="s">
        <v>106</v>
      </c>
      <c r="E56" t="s">
        <v>543</v>
      </c>
      <c r="G56" t="s">
        <v>107</v>
      </c>
      <c r="I56" t="s">
        <v>810</v>
      </c>
      <c r="K56" s="17" t="s">
        <v>97</v>
      </c>
      <c r="L56" t="s">
        <v>2413</v>
      </c>
      <c r="M56" t="s">
        <v>55</v>
      </c>
    </row>
    <row r="57" spans="1:13">
      <c r="A57" t="s">
        <v>168</v>
      </c>
      <c r="B57" t="s">
        <v>133</v>
      </c>
      <c r="C57" t="s">
        <v>107</v>
      </c>
      <c r="E57" t="s">
        <v>544</v>
      </c>
      <c r="G57" t="s">
        <v>108</v>
      </c>
      <c r="I57" t="s">
        <v>811</v>
      </c>
      <c r="K57" s="17" t="s">
        <v>98</v>
      </c>
      <c r="L57" t="s">
        <v>1842</v>
      </c>
      <c r="M57" t="s">
        <v>56</v>
      </c>
    </row>
    <row r="58" spans="1:13">
      <c r="A58" t="s">
        <v>171</v>
      </c>
      <c r="B58" t="s">
        <v>18</v>
      </c>
      <c r="C58" t="s">
        <v>108</v>
      </c>
      <c r="E58" t="s">
        <v>545</v>
      </c>
      <c r="G58" t="s">
        <v>42</v>
      </c>
      <c r="I58" t="s">
        <v>812</v>
      </c>
      <c r="K58" s="17" t="s">
        <v>99</v>
      </c>
      <c r="L58" t="s">
        <v>1843</v>
      </c>
      <c r="M58" t="s">
        <v>57</v>
      </c>
    </row>
    <row r="59" spans="1:13">
      <c r="A59" t="s">
        <v>266</v>
      </c>
      <c r="B59" t="s">
        <v>134</v>
      </c>
      <c r="C59" t="s">
        <v>42</v>
      </c>
      <c r="E59" t="s">
        <v>547</v>
      </c>
      <c r="G59" t="s">
        <v>43</v>
      </c>
      <c r="I59" t="s">
        <v>813</v>
      </c>
      <c r="K59" s="17" t="s">
        <v>100</v>
      </c>
      <c r="L59" t="s">
        <v>2414</v>
      </c>
      <c r="M59" t="s">
        <v>58</v>
      </c>
    </row>
    <row r="60" spans="1:13">
      <c r="A60" t="s">
        <v>267</v>
      </c>
      <c r="B60" t="s">
        <v>19</v>
      </c>
      <c r="C60" t="s">
        <v>43</v>
      </c>
      <c r="E60" t="s">
        <v>548</v>
      </c>
      <c r="G60" t="s">
        <v>44</v>
      </c>
      <c r="I60" t="s">
        <v>814</v>
      </c>
      <c r="K60" s="17" t="s">
        <v>101</v>
      </c>
      <c r="L60" t="s">
        <v>1685</v>
      </c>
      <c r="M60" t="s">
        <v>59</v>
      </c>
    </row>
    <row r="61" spans="1:13">
      <c r="A61" t="s">
        <v>268</v>
      </c>
      <c r="B61" t="s">
        <v>20</v>
      </c>
      <c r="C61" t="s">
        <v>44</v>
      </c>
      <c r="E61" t="s">
        <v>549</v>
      </c>
      <c r="G61" t="s">
        <v>45</v>
      </c>
      <c r="I61" t="s">
        <v>815</v>
      </c>
      <c r="K61" s="17" t="s">
        <v>102</v>
      </c>
      <c r="L61" t="s">
        <v>1849</v>
      </c>
      <c r="M61" t="s">
        <v>2493</v>
      </c>
    </row>
    <row r="62" spans="1:13">
      <c r="A62" t="s">
        <v>269</v>
      </c>
      <c r="B62" t="s">
        <v>21</v>
      </c>
      <c r="C62" t="s">
        <v>45</v>
      </c>
      <c r="E62" t="s">
        <v>550</v>
      </c>
      <c r="G62" t="s">
        <v>23</v>
      </c>
      <c r="I62" t="s">
        <v>816</v>
      </c>
      <c r="K62" s="17" t="s">
        <v>103</v>
      </c>
      <c r="L62" t="s">
        <v>1852</v>
      </c>
      <c r="M62" t="s">
        <v>2494</v>
      </c>
    </row>
    <row r="63" spans="1:13">
      <c r="A63" t="s">
        <v>270</v>
      </c>
      <c r="B63" t="s">
        <v>22</v>
      </c>
      <c r="C63" t="s">
        <v>23</v>
      </c>
      <c r="E63" t="s">
        <v>551</v>
      </c>
      <c r="G63" t="s">
        <v>109</v>
      </c>
      <c r="I63" t="s">
        <v>817</v>
      </c>
      <c r="K63" s="17" t="s">
        <v>104</v>
      </c>
      <c r="L63" t="s">
        <v>2572</v>
      </c>
      <c r="M63" t="s">
        <v>2495</v>
      </c>
    </row>
    <row r="64" spans="1:13">
      <c r="A64" t="s">
        <v>271</v>
      </c>
      <c r="B64" t="s">
        <v>135</v>
      </c>
      <c r="C64" t="s">
        <v>109</v>
      </c>
      <c r="E64" t="s">
        <v>506</v>
      </c>
      <c r="G64" t="s">
        <v>110</v>
      </c>
      <c r="I64" t="s">
        <v>818</v>
      </c>
      <c r="K64" s="17" t="s">
        <v>105</v>
      </c>
      <c r="L64" t="s">
        <v>2573</v>
      </c>
      <c r="M64" t="s">
        <v>2496</v>
      </c>
    </row>
    <row r="65" spans="1:13">
      <c r="A65" t="s">
        <v>272</v>
      </c>
      <c r="B65" t="s">
        <v>136</v>
      </c>
      <c r="C65" t="s">
        <v>110</v>
      </c>
      <c r="E65" t="s">
        <v>507</v>
      </c>
      <c r="G65" t="s">
        <v>111</v>
      </c>
      <c r="I65" t="s">
        <v>819</v>
      </c>
      <c r="K65" s="17" t="s">
        <v>29</v>
      </c>
      <c r="L65" t="s">
        <v>2096</v>
      </c>
      <c r="M65" t="s">
        <v>2497</v>
      </c>
    </row>
    <row r="66" spans="1:13">
      <c r="A66" t="s">
        <v>273</v>
      </c>
      <c r="B66" t="s">
        <v>137</v>
      </c>
      <c r="C66" t="s">
        <v>111</v>
      </c>
      <c r="E66" t="s">
        <v>369</v>
      </c>
      <c r="G66" t="s">
        <v>112</v>
      </c>
      <c r="I66" t="s">
        <v>820</v>
      </c>
      <c r="K66" s="17" t="s">
        <v>106</v>
      </c>
      <c r="L66" t="s">
        <v>1957</v>
      </c>
      <c r="M66" t="s">
        <v>2498</v>
      </c>
    </row>
    <row r="67" spans="1:13">
      <c r="A67" t="s">
        <v>274</v>
      </c>
      <c r="B67" t="s">
        <v>138</v>
      </c>
      <c r="C67" t="s">
        <v>112</v>
      </c>
      <c r="E67" t="s">
        <v>552</v>
      </c>
      <c r="G67" t="s">
        <v>113</v>
      </c>
      <c r="I67" t="s">
        <v>821</v>
      </c>
      <c r="K67" s="17" t="s">
        <v>107</v>
      </c>
      <c r="L67" t="s">
        <v>2098</v>
      </c>
      <c r="M67" t="s">
        <v>2499</v>
      </c>
    </row>
    <row r="68" spans="1:13">
      <c r="A68" t="s">
        <v>275</v>
      </c>
      <c r="B68" t="s">
        <v>10</v>
      </c>
      <c r="C68" t="s">
        <v>113</v>
      </c>
      <c r="E68" t="s">
        <v>553</v>
      </c>
      <c r="G68" t="s">
        <v>114</v>
      </c>
      <c r="I68" t="s">
        <v>822</v>
      </c>
      <c r="K68" s="17" t="s">
        <v>108</v>
      </c>
      <c r="L68" t="s">
        <v>1959</v>
      </c>
      <c r="M68" t="s">
        <v>2500</v>
      </c>
    </row>
    <row r="69" spans="1:13">
      <c r="A69" t="s">
        <v>276</v>
      </c>
      <c r="B69" t="s">
        <v>139</v>
      </c>
      <c r="C69" t="s">
        <v>114</v>
      </c>
      <c r="E69" t="s">
        <v>554</v>
      </c>
      <c r="G69" t="s">
        <v>115</v>
      </c>
      <c r="I69" t="s">
        <v>823</v>
      </c>
      <c r="K69" s="17" t="s">
        <v>42</v>
      </c>
      <c r="L69" t="s">
        <v>2574</v>
      </c>
      <c r="M69" t="s">
        <v>2501</v>
      </c>
    </row>
    <row r="70" spans="1:13">
      <c r="A70" t="s">
        <v>277</v>
      </c>
      <c r="B70" t="s">
        <v>26</v>
      </c>
      <c r="C70" t="s">
        <v>115</v>
      </c>
      <c r="E70" t="s">
        <v>546</v>
      </c>
      <c r="G70" t="s">
        <v>116</v>
      </c>
      <c r="I70" t="s">
        <v>824</v>
      </c>
      <c r="K70" s="17" t="s">
        <v>43</v>
      </c>
      <c r="L70" t="s">
        <v>2100</v>
      </c>
      <c r="M70" t="s">
        <v>2502</v>
      </c>
    </row>
    <row r="71" spans="1:13">
      <c r="A71" t="s">
        <v>278</v>
      </c>
      <c r="B71" t="s">
        <v>24</v>
      </c>
      <c r="C71" t="s">
        <v>116</v>
      </c>
      <c r="E71" t="s">
        <v>556</v>
      </c>
      <c r="G71" t="s">
        <v>117</v>
      </c>
      <c r="I71" t="s">
        <v>825</v>
      </c>
      <c r="K71" s="17" t="s">
        <v>44</v>
      </c>
      <c r="L71" t="s">
        <v>1853</v>
      </c>
      <c r="M71" t="s">
        <v>2503</v>
      </c>
    </row>
    <row r="72" spans="1:13">
      <c r="A72" t="s">
        <v>279</v>
      </c>
      <c r="B72" t="s">
        <v>25</v>
      </c>
      <c r="C72" t="s">
        <v>117</v>
      </c>
      <c r="E72" t="s">
        <v>555</v>
      </c>
      <c r="G72" t="s">
        <v>118</v>
      </c>
      <c r="I72" t="s">
        <v>826</v>
      </c>
      <c r="K72" s="17" t="s">
        <v>45</v>
      </c>
      <c r="L72" t="s">
        <v>2575</v>
      </c>
      <c r="M72" t="s">
        <v>2504</v>
      </c>
    </row>
    <row r="73" spans="1:13">
      <c r="A73" t="s">
        <v>280</v>
      </c>
      <c r="B73" t="s">
        <v>140</v>
      </c>
      <c r="C73" t="s">
        <v>118</v>
      </c>
      <c r="E73" t="s">
        <v>181</v>
      </c>
      <c r="G73" t="s">
        <v>119</v>
      </c>
      <c r="I73" t="s">
        <v>827</v>
      </c>
      <c r="K73" s="17" t="s">
        <v>23</v>
      </c>
      <c r="L73" t="s">
        <v>2576</v>
      </c>
      <c r="M73" t="s">
        <v>2505</v>
      </c>
    </row>
    <row r="74" spans="1:13">
      <c r="A74" t="s">
        <v>281</v>
      </c>
      <c r="B74" t="s">
        <v>141</v>
      </c>
      <c r="C74" t="s">
        <v>119</v>
      </c>
      <c r="E74" t="s">
        <v>184</v>
      </c>
      <c r="G74" t="s">
        <v>120</v>
      </c>
      <c r="I74" t="s">
        <v>828</v>
      </c>
      <c r="K74" s="17" t="s">
        <v>1587</v>
      </c>
      <c r="L74" t="s">
        <v>2102</v>
      </c>
      <c r="M74" t="s">
        <v>2506</v>
      </c>
    </row>
    <row r="75" spans="1:13">
      <c r="A75" t="s">
        <v>282</v>
      </c>
      <c r="B75" t="s">
        <v>142</v>
      </c>
      <c r="C75" t="s">
        <v>120</v>
      </c>
      <c r="E75" t="s">
        <v>188</v>
      </c>
      <c r="G75" t="s">
        <v>121</v>
      </c>
      <c r="I75" t="s">
        <v>829</v>
      </c>
      <c r="K75" s="17" t="s">
        <v>1588</v>
      </c>
      <c r="L75" t="s">
        <v>1963</v>
      </c>
      <c r="M75" t="s">
        <v>2507</v>
      </c>
    </row>
    <row r="76" spans="1:13">
      <c r="A76" t="s">
        <v>283</v>
      </c>
      <c r="B76" t="s">
        <v>48</v>
      </c>
      <c r="C76" t="s">
        <v>121</v>
      </c>
      <c r="E76" t="s">
        <v>187</v>
      </c>
      <c r="G76" t="s">
        <v>122</v>
      </c>
      <c r="I76" t="s">
        <v>830</v>
      </c>
      <c r="K76" s="17" t="s">
        <v>109</v>
      </c>
      <c r="L76" t="s">
        <v>2104</v>
      </c>
      <c r="M76" t="s">
        <v>2508</v>
      </c>
    </row>
    <row r="77" spans="1:13">
      <c r="A77" t="s">
        <v>284</v>
      </c>
      <c r="B77" t="s">
        <v>49</v>
      </c>
      <c r="C77" t="s">
        <v>122</v>
      </c>
      <c r="E77" t="s">
        <v>1567</v>
      </c>
      <c r="G77" t="s">
        <v>123</v>
      </c>
      <c r="I77" t="s">
        <v>831</v>
      </c>
      <c r="K77" s="17" t="s">
        <v>110</v>
      </c>
      <c r="L77" t="s">
        <v>1965</v>
      </c>
      <c r="M77" t="s">
        <v>2509</v>
      </c>
    </row>
    <row r="78" spans="1:13">
      <c r="A78" t="s">
        <v>285</v>
      </c>
      <c r="B78" t="s">
        <v>50</v>
      </c>
      <c r="C78" t="s">
        <v>123</v>
      </c>
      <c r="E78" t="s">
        <v>185</v>
      </c>
      <c r="G78" t="s">
        <v>124</v>
      </c>
      <c r="I78" t="s">
        <v>832</v>
      </c>
      <c r="K78" s="17" t="s">
        <v>111</v>
      </c>
      <c r="L78" t="s">
        <v>2577</v>
      </c>
      <c r="M78" t="s">
        <v>2510</v>
      </c>
    </row>
    <row r="79" spans="1:13">
      <c r="A79" t="s">
        <v>286</v>
      </c>
      <c r="B79" t="s">
        <v>51</v>
      </c>
      <c r="C79" t="s">
        <v>124</v>
      </c>
      <c r="E79" t="s">
        <v>753</v>
      </c>
      <c r="G79" t="s">
        <v>125</v>
      </c>
      <c r="I79" t="s">
        <v>833</v>
      </c>
      <c r="K79" s="17" t="s">
        <v>112</v>
      </c>
      <c r="L79" t="s">
        <v>2106</v>
      </c>
      <c r="M79" t="s">
        <v>2511</v>
      </c>
    </row>
    <row r="80" spans="1:13">
      <c r="A80" t="s">
        <v>287</v>
      </c>
      <c r="B80" t="s">
        <v>52</v>
      </c>
      <c r="C80" t="s">
        <v>125</v>
      </c>
      <c r="E80" t="s">
        <v>1568</v>
      </c>
      <c r="G80" t="s">
        <v>126</v>
      </c>
      <c r="I80" t="s">
        <v>465</v>
      </c>
      <c r="K80" s="17" t="s">
        <v>113</v>
      </c>
      <c r="L80" t="s">
        <v>1854</v>
      </c>
      <c r="M80" t="s">
        <v>2512</v>
      </c>
    </row>
    <row r="81" spans="1:13">
      <c r="A81" t="s">
        <v>288</v>
      </c>
      <c r="B81" t="s">
        <v>53</v>
      </c>
      <c r="C81" t="s">
        <v>126</v>
      </c>
      <c r="E81" t="s">
        <v>1569</v>
      </c>
      <c r="G81" t="s">
        <v>127</v>
      </c>
      <c r="I81" t="s">
        <v>466</v>
      </c>
      <c r="K81" s="17" t="s">
        <v>114</v>
      </c>
      <c r="M81" t="s">
        <v>2513</v>
      </c>
    </row>
    <row r="82" spans="1:13">
      <c r="A82" t="s">
        <v>289</v>
      </c>
      <c r="B82" t="s">
        <v>54</v>
      </c>
      <c r="C82" t="s">
        <v>127</v>
      </c>
      <c r="E82" t="s">
        <v>1570</v>
      </c>
      <c r="G82" t="s">
        <v>128</v>
      </c>
      <c r="I82" t="s">
        <v>834</v>
      </c>
      <c r="K82" s="17" t="s">
        <v>115</v>
      </c>
      <c r="M82" t="s">
        <v>2514</v>
      </c>
    </row>
    <row r="83" spans="1:13">
      <c r="A83" t="s">
        <v>290</v>
      </c>
      <c r="B83" t="s">
        <v>55</v>
      </c>
      <c r="C83" t="s">
        <v>128</v>
      </c>
      <c r="E83" t="s">
        <v>1571</v>
      </c>
      <c r="G83" t="s">
        <v>129</v>
      </c>
      <c r="I83" t="s">
        <v>835</v>
      </c>
      <c r="K83" s="17" t="s">
        <v>116</v>
      </c>
      <c r="M83" t="s">
        <v>2515</v>
      </c>
    </row>
    <row r="84" spans="1:13">
      <c r="A84" t="s">
        <v>291</v>
      </c>
      <c r="B84" t="s">
        <v>56</v>
      </c>
      <c r="C84" t="s">
        <v>129</v>
      </c>
      <c r="E84" t="s">
        <v>1572</v>
      </c>
      <c r="G84" t="s">
        <v>130</v>
      </c>
      <c r="I84" t="s">
        <v>836</v>
      </c>
      <c r="K84" s="17" t="s">
        <v>117</v>
      </c>
      <c r="M84" t="s">
        <v>2516</v>
      </c>
    </row>
    <row r="85" spans="1:13">
      <c r="A85" t="s">
        <v>292</v>
      </c>
      <c r="B85" t="s">
        <v>57</v>
      </c>
      <c r="C85" t="s">
        <v>130</v>
      </c>
      <c r="E85" t="s">
        <v>1573</v>
      </c>
      <c r="G85" t="s">
        <v>131</v>
      </c>
      <c r="I85" t="s">
        <v>837</v>
      </c>
      <c r="K85" s="17" t="s">
        <v>118</v>
      </c>
      <c r="M85" t="s">
        <v>2517</v>
      </c>
    </row>
    <row r="86" spans="1:13">
      <c r="A86" t="s">
        <v>293</v>
      </c>
      <c r="B86" t="s">
        <v>58</v>
      </c>
      <c r="C86" t="s">
        <v>131</v>
      </c>
      <c r="E86" t="s">
        <v>1574</v>
      </c>
      <c r="G86" t="s">
        <v>132</v>
      </c>
      <c r="I86" t="s">
        <v>838</v>
      </c>
      <c r="K86" s="17" t="s">
        <v>119</v>
      </c>
      <c r="M86" t="s">
        <v>603</v>
      </c>
    </row>
    <row r="87" spans="1:13">
      <c r="A87" t="s">
        <v>294</v>
      </c>
      <c r="B87" t="s">
        <v>59</v>
      </c>
      <c r="C87" t="s">
        <v>132</v>
      </c>
      <c r="G87" t="s">
        <v>133</v>
      </c>
      <c r="I87" t="s">
        <v>839</v>
      </c>
      <c r="K87" s="17" t="s">
        <v>120</v>
      </c>
      <c r="M87" t="s">
        <v>604</v>
      </c>
    </row>
    <row r="88" spans="1:13">
      <c r="A88" t="s">
        <v>295</v>
      </c>
      <c r="B88" t="s">
        <v>143</v>
      </c>
      <c r="C88" t="s">
        <v>133</v>
      </c>
      <c r="G88" t="s">
        <v>18</v>
      </c>
      <c r="I88" t="s">
        <v>840</v>
      </c>
      <c r="K88" s="17" t="s">
        <v>121</v>
      </c>
      <c r="M88" t="s">
        <v>2518</v>
      </c>
    </row>
    <row r="89" spans="1:13">
      <c r="A89" t="s">
        <v>13</v>
      </c>
      <c r="B89" t="s">
        <v>144</v>
      </c>
      <c r="C89" t="s">
        <v>18</v>
      </c>
      <c r="G89" t="s">
        <v>190</v>
      </c>
      <c r="I89" t="s">
        <v>841</v>
      </c>
      <c r="K89" s="17" t="s">
        <v>122</v>
      </c>
      <c r="M89" t="s">
        <v>2519</v>
      </c>
    </row>
    <row r="90" spans="1:13">
      <c r="A90" t="s">
        <v>296</v>
      </c>
      <c r="B90" t="s">
        <v>145</v>
      </c>
      <c r="C90" t="s">
        <v>190</v>
      </c>
      <c r="G90" t="s">
        <v>19</v>
      </c>
      <c r="I90" t="s">
        <v>842</v>
      </c>
      <c r="K90" s="17" t="s">
        <v>123</v>
      </c>
      <c r="M90" t="s">
        <v>2520</v>
      </c>
    </row>
    <row r="91" spans="1:13">
      <c r="A91" t="s">
        <v>297</v>
      </c>
      <c r="B91" t="s">
        <v>146</v>
      </c>
      <c r="C91" t="s">
        <v>19</v>
      </c>
      <c r="G91" t="s">
        <v>20</v>
      </c>
      <c r="I91" t="s">
        <v>843</v>
      </c>
      <c r="K91" s="17" t="s">
        <v>124</v>
      </c>
      <c r="M91" t="s">
        <v>2521</v>
      </c>
    </row>
    <row r="92" spans="1:13">
      <c r="A92" t="s">
        <v>298</v>
      </c>
      <c r="B92" t="s">
        <v>147</v>
      </c>
      <c r="C92" t="s">
        <v>20</v>
      </c>
      <c r="G92" t="s">
        <v>21</v>
      </c>
      <c r="I92" t="s">
        <v>844</v>
      </c>
      <c r="K92" s="17" t="s">
        <v>125</v>
      </c>
      <c r="M92" t="s">
        <v>2522</v>
      </c>
    </row>
    <row r="93" spans="1:13">
      <c r="A93" t="s">
        <v>299</v>
      </c>
      <c r="B93" t="s">
        <v>148</v>
      </c>
      <c r="C93" t="s">
        <v>21</v>
      </c>
      <c r="G93" t="s">
        <v>22</v>
      </c>
      <c r="I93" t="s">
        <v>845</v>
      </c>
      <c r="K93" s="17" t="s">
        <v>126</v>
      </c>
      <c r="M93" t="s">
        <v>2523</v>
      </c>
    </row>
    <row r="94" spans="1:13">
      <c r="A94" t="s">
        <v>300</v>
      </c>
      <c r="B94" t="s">
        <v>149</v>
      </c>
      <c r="C94" t="s">
        <v>22</v>
      </c>
      <c r="G94" t="s">
        <v>135</v>
      </c>
      <c r="I94" t="s">
        <v>846</v>
      </c>
      <c r="K94" s="17" t="s">
        <v>127</v>
      </c>
      <c r="M94" t="s">
        <v>2524</v>
      </c>
    </row>
    <row r="95" spans="1:13">
      <c r="A95" t="s">
        <v>301</v>
      </c>
      <c r="B95" t="s">
        <v>28</v>
      </c>
      <c r="C95" t="s">
        <v>135</v>
      </c>
      <c r="G95" t="s">
        <v>136</v>
      </c>
      <c r="I95" t="s">
        <v>847</v>
      </c>
      <c r="K95" s="17" t="s">
        <v>128</v>
      </c>
      <c r="M95" t="s">
        <v>2525</v>
      </c>
    </row>
    <row r="96" spans="1:13">
      <c r="A96" t="s">
        <v>302</v>
      </c>
      <c r="B96" t="s">
        <v>150</v>
      </c>
      <c r="C96" t="s">
        <v>136</v>
      </c>
      <c r="G96" t="s">
        <v>137</v>
      </c>
      <c r="I96" t="s">
        <v>848</v>
      </c>
      <c r="K96" s="17" t="s">
        <v>129</v>
      </c>
      <c r="M96" t="s">
        <v>2526</v>
      </c>
    </row>
    <row r="97" spans="1:13">
      <c r="A97" t="s">
        <v>303</v>
      </c>
      <c r="B97" t="s">
        <v>151</v>
      </c>
      <c r="C97" t="s">
        <v>137</v>
      </c>
      <c r="G97" t="s">
        <v>138</v>
      </c>
      <c r="I97" t="s">
        <v>849</v>
      </c>
      <c r="K97" s="17" t="s">
        <v>130</v>
      </c>
      <c r="M97" t="s">
        <v>2527</v>
      </c>
    </row>
    <row r="98" spans="1:13">
      <c r="A98" t="s">
        <v>304</v>
      </c>
      <c r="B98" t="s">
        <v>152</v>
      </c>
      <c r="C98" t="s">
        <v>138</v>
      </c>
      <c r="G98" t="s">
        <v>10</v>
      </c>
      <c r="I98" t="s">
        <v>850</v>
      </c>
      <c r="K98" s="17" t="s">
        <v>131</v>
      </c>
      <c r="M98" t="s">
        <v>2528</v>
      </c>
    </row>
    <row r="99" spans="1:13">
      <c r="A99" t="s">
        <v>305</v>
      </c>
      <c r="B99" t="s">
        <v>157</v>
      </c>
      <c r="C99" t="s">
        <v>10</v>
      </c>
      <c r="G99" t="s">
        <v>139</v>
      </c>
      <c r="I99" t="s">
        <v>851</v>
      </c>
      <c r="K99" s="17" t="s">
        <v>132</v>
      </c>
      <c r="M99" t="s">
        <v>2529</v>
      </c>
    </row>
    <row r="100" spans="1:13">
      <c r="A100" t="s">
        <v>99</v>
      </c>
      <c r="B100" t="s">
        <v>191</v>
      </c>
      <c r="C100" t="s">
        <v>139</v>
      </c>
      <c r="G100" t="s">
        <v>26</v>
      </c>
      <c r="I100" t="s">
        <v>852</v>
      </c>
      <c r="K100" s="17" t="s">
        <v>133</v>
      </c>
      <c r="M100" t="s">
        <v>2530</v>
      </c>
    </row>
    <row r="101" spans="1:13">
      <c r="A101" t="s">
        <v>15</v>
      </c>
      <c r="B101" t="s">
        <v>192</v>
      </c>
      <c r="C101" t="s">
        <v>26</v>
      </c>
      <c r="G101" t="s">
        <v>24</v>
      </c>
      <c r="I101" t="s">
        <v>853</v>
      </c>
      <c r="K101" s="17" t="s">
        <v>18</v>
      </c>
    </row>
    <row r="102" spans="1:13">
      <c r="A102" t="s">
        <v>306</v>
      </c>
      <c r="B102" t="s">
        <v>193</v>
      </c>
      <c r="C102" t="s">
        <v>24</v>
      </c>
      <c r="G102" t="s">
        <v>25</v>
      </c>
      <c r="I102" t="s">
        <v>854</v>
      </c>
      <c r="K102" s="17" t="s">
        <v>190</v>
      </c>
    </row>
    <row r="103" spans="1:13">
      <c r="A103" t="s">
        <v>93</v>
      </c>
      <c r="B103" t="s">
        <v>194</v>
      </c>
      <c r="C103" t="s">
        <v>25</v>
      </c>
      <c r="G103" t="s">
        <v>140</v>
      </c>
      <c r="I103" t="s">
        <v>855</v>
      </c>
      <c r="K103" s="17" t="s">
        <v>19</v>
      </c>
    </row>
    <row r="104" spans="1:13">
      <c r="A104" t="s">
        <v>307</v>
      </c>
      <c r="B104" t="s">
        <v>14</v>
      </c>
      <c r="C104" t="s">
        <v>140</v>
      </c>
      <c r="G104" t="s">
        <v>141</v>
      </c>
      <c r="I104" t="s">
        <v>856</v>
      </c>
      <c r="K104" s="17" t="s">
        <v>20</v>
      </c>
    </row>
    <row r="105" spans="1:13">
      <c r="A105" t="s">
        <v>308</v>
      </c>
      <c r="B105" t="s">
        <v>1603</v>
      </c>
      <c r="C105" t="s">
        <v>141</v>
      </c>
      <c r="G105" t="s">
        <v>142</v>
      </c>
      <c r="I105" t="s">
        <v>857</v>
      </c>
      <c r="K105" s="17" t="s">
        <v>21</v>
      </c>
    </row>
    <row r="106" spans="1:13">
      <c r="A106" t="s">
        <v>195</v>
      </c>
      <c r="B106" t="s">
        <v>15</v>
      </c>
      <c r="C106" t="s">
        <v>142</v>
      </c>
      <c r="G106" t="s">
        <v>48</v>
      </c>
      <c r="I106" t="s">
        <v>858</v>
      </c>
      <c r="K106" s="17" t="s">
        <v>22</v>
      </c>
    </row>
    <row r="107" spans="1:13">
      <c r="A107" t="s">
        <v>309</v>
      </c>
      <c r="B107" t="s">
        <v>153</v>
      </c>
      <c r="C107" t="s">
        <v>48</v>
      </c>
      <c r="G107" t="s">
        <v>49</v>
      </c>
      <c r="I107" t="s">
        <v>859</v>
      </c>
      <c r="K107" s="17" t="s">
        <v>135</v>
      </c>
    </row>
    <row r="108" spans="1:13">
      <c r="A108" t="s">
        <v>310</v>
      </c>
      <c r="B108" t="s">
        <v>154</v>
      </c>
      <c r="C108" t="s">
        <v>49</v>
      </c>
      <c r="G108" t="s">
        <v>50</v>
      </c>
      <c r="I108" t="s">
        <v>860</v>
      </c>
      <c r="K108" s="17" t="s">
        <v>136</v>
      </c>
    </row>
    <row r="109" spans="1:13">
      <c r="A109" t="s">
        <v>311</v>
      </c>
      <c r="B109" t="s">
        <v>30</v>
      </c>
      <c r="C109" t="s">
        <v>50</v>
      </c>
      <c r="G109" t="s">
        <v>51</v>
      </c>
      <c r="I109" t="s">
        <v>861</v>
      </c>
      <c r="K109" s="17" t="s">
        <v>137</v>
      </c>
    </row>
    <row r="110" spans="1:13">
      <c r="A110" t="s">
        <v>312</v>
      </c>
      <c r="B110" t="s">
        <v>31</v>
      </c>
      <c r="C110" t="s">
        <v>51</v>
      </c>
      <c r="G110" t="s">
        <v>52</v>
      </c>
      <c r="I110" t="s">
        <v>862</v>
      </c>
      <c r="K110" s="17" t="s">
        <v>138</v>
      </c>
    </row>
    <row r="111" spans="1:13">
      <c r="A111" t="s">
        <v>47</v>
      </c>
      <c r="B111" t="s">
        <v>32</v>
      </c>
      <c r="C111" t="s">
        <v>52</v>
      </c>
      <c r="G111" t="s">
        <v>53</v>
      </c>
      <c r="I111" t="s">
        <v>863</v>
      </c>
      <c r="K111" s="17" t="s">
        <v>10</v>
      </c>
    </row>
    <row r="112" spans="1:13">
      <c r="A112" t="s">
        <v>46</v>
      </c>
      <c r="B112" t="s">
        <v>33</v>
      </c>
      <c r="C112" t="s">
        <v>53</v>
      </c>
      <c r="G112" t="s">
        <v>54</v>
      </c>
      <c r="I112" t="s">
        <v>864</v>
      </c>
      <c r="K112" s="17" t="s">
        <v>139</v>
      </c>
    </row>
    <row r="113" spans="1:11">
      <c r="A113" t="s">
        <v>313</v>
      </c>
      <c r="B113" t="s">
        <v>34</v>
      </c>
      <c r="C113" t="s">
        <v>54</v>
      </c>
      <c r="G113" t="s">
        <v>55</v>
      </c>
      <c r="I113" t="s">
        <v>865</v>
      </c>
      <c r="K113" s="18" t="s">
        <v>26</v>
      </c>
    </row>
    <row r="114" spans="1:11">
      <c r="A114" t="s">
        <v>314</v>
      </c>
      <c r="B114" t="s">
        <v>35</v>
      </c>
      <c r="C114" t="s">
        <v>55</v>
      </c>
      <c r="G114" t="s">
        <v>56</v>
      </c>
      <c r="I114" t="s">
        <v>866</v>
      </c>
      <c r="K114" s="18" t="s">
        <v>24</v>
      </c>
    </row>
    <row r="115" spans="1:11">
      <c r="A115" t="s">
        <v>315</v>
      </c>
      <c r="B115" t="s">
        <v>46</v>
      </c>
      <c r="C115" t="s">
        <v>56</v>
      </c>
      <c r="G115" t="s">
        <v>57</v>
      </c>
      <c r="I115" t="s">
        <v>867</v>
      </c>
      <c r="K115" s="18" t="s">
        <v>25</v>
      </c>
    </row>
    <row r="116" spans="1:11">
      <c r="A116" t="s">
        <v>316</v>
      </c>
      <c r="B116" t="s">
        <v>47</v>
      </c>
      <c r="C116" t="s">
        <v>57</v>
      </c>
      <c r="G116" t="s">
        <v>58</v>
      </c>
      <c r="I116" t="s">
        <v>868</v>
      </c>
      <c r="K116" s="18" t="s">
        <v>140</v>
      </c>
    </row>
    <row r="117" spans="1:11">
      <c r="A117" t="s">
        <v>317</v>
      </c>
      <c r="B117" t="s">
        <v>39</v>
      </c>
      <c r="C117" t="s">
        <v>58</v>
      </c>
      <c r="G117" t="s">
        <v>59</v>
      </c>
      <c r="I117" t="s">
        <v>869</v>
      </c>
      <c r="K117" s="18" t="s">
        <v>141</v>
      </c>
    </row>
    <row r="118" spans="1:11">
      <c r="A118" t="s">
        <v>318</v>
      </c>
      <c r="B118" t="s">
        <v>40</v>
      </c>
      <c r="C118" t="s">
        <v>59</v>
      </c>
      <c r="G118" t="s">
        <v>143</v>
      </c>
      <c r="I118" t="s">
        <v>870</v>
      </c>
      <c r="K118" s="18" t="s">
        <v>142</v>
      </c>
    </row>
    <row r="119" spans="1:11">
      <c r="A119" t="s">
        <v>319</v>
      </c>
      <c r="B119" t="s">
        <v>41</v>
      </c>
      <c r="C119" t="s">
        <v>143</v>
      </c>
      <c r="G119" t="s">
        <v>144</v>
      </c>
      <c r="I119" t="s">
        <v>871</v>
      </c>
      <c r="K119" s="17" t="s">
        <v>48</v>
      </c>
    </row>
    <row r="120" spans="1:11">
      <c r="A120" t="s">
        <v>123</v>
      </c>
      <c r="B120" t="s">
        <v>36</v>
      </c>
      <c r="C120" t="s">
        <v>144</v>
      </c>
      <c r="G120" t="s">
        <v>145</v>
      </c>
      <c r="I120" t="s">
        <v>872</v>
      </c>
      <c r="K120" s="17" t="s">
        <v>49</v>
      </c>
    </row>
    <row r="121" spans="1:11">
      <c r="A121" t="s">
        <v>320</v>
      </c>
      <c r="B121" t="s">
        <v>37</v>
      </c>
      <c r="C121" t="s">
        <v>145</v>
      </c>
      <c r="G121" t="s">
        <v>146</v>
      </c>
      <c r="I121" t="s">
        <v>873</v>
      </c>
      <c r="K121" s="17" t="s">
        <v>50</v>
      </c>
    </row>
    <row r="122" spans="1:11">
      <c r="A122" t="s">
        <v>321</v>
      </c>
      <c r="B122" t="s">
        <v>38</v>
      </c>
      <c r="C122" t="s">
        <v>146</v>
      </c>
      <c r="G122" t="s">
        <v>147</v>
      </c>
      <c r="I122" t="s">
        <v>874</v>
      </c>
      <c r="K122" s="17" t="s">
        <v>51</v>
      </c>
    </row>
    <row r="123" spans="1:11">
      <c r="A123" t="s">
        <v>322</v>
      </c>
      <c r="B123" t="s">
        <v>155</v>
      </c>
      <c r="C123" t="s">
        <v>147</v>
      </c>
      <c r="G123" t="s">
        <v>148</v>
      </c>
      <c r="I123" t="s">
        <v>875</v>
      </c>
      <c r="K123" s="17" t="s">
        <v>52</v>
      </c>
    </row>
    <row r="124" spans="1:11">
      <c r="A124" t="s">
        <v>323</v>
      </c>
      <c r="B124" t="s">
        <v>156</v>
      </c>
      <c r="C124" t="s">
        <v>148</v>
      </c>
      <c r="G124" t="s">
        <v>149</v>
      </c>
      <c r="I124" t="s">
        <v>876</v>
      </c>
      <c r="K124" s="17" t="s">
        <v>53</v>
      </c>
    </row>
    <row r="125" spans="1:11">
      <c r="A125" t="s">
        <v>121</v>
      </c>
      <c r="B125" t="s">
        <v>1604</v>
      </c>
      <c r="C125" t="s">
        <v>149</v>
      </c>
      <c r="G125" t="s">
        <v>28</v>
      </c>
      <c r="I125" t="s">
        <v>877</v>
      </c>
      <c r="K125" s="17" t="s">
        <v>54</v>
      </c>
    </row>
    <row r="126" spans="1:11">
      <c r="A126" t="s">
        <v>122</v>
      </c>
      <c r="B126" t="s">
        <v>158</v>
      </c>
      <c r="C126" t="s">
        <v>28</v>
      </c>
      <c r="G126" t="s">
        <v>150</v>
      </c>
      <c r="I126" t="s">
        <v>878</v>
      </c>
      <c r="K126" s="17" t="s">
        <v>55</v>
      </c>
    </row>
    <row r="127" spans="1:11">
      <c r="A127" t="s">
        <v>324</v>
      </c>
      <c r="B127" t="s">
        <v>159</v>
      </c>
      <c r="C127" t="s">
        <v>150</v>
      </c>
      <c r="G127" t="s">
        <v>151</v>
      </c>
      <c r="I127" t="s">
        <v>879</v>
      </c>
      <c r="K127" s="17" t="s">
        <v>56</v>
      </c>
    </row>
    <row r="128" spans="1:11">
      <c r="A128" t="s">
        <v>325</v>
      </c>
      <c r="B128" t="s">
        <v>160</v>
      </c>
      <c r="C128" t="s">
        <v>151</v>
      </c>
      <c r="G128" t="s">
        <v>152</v>
      </c>
      <c r="I128" t="s">
        <v>880</v>
      </c>
      <c r="K128" s="17" t="s">
        <v>57</v>
      </c>
    </row>
    <row r="129" spans="1:11">
      <c r="A129" t="s">
        <v>326</v>
      </c>
      <c r="B129" t="s">
        <v>161</v>
      </c>
      <c r="C129" t="s">
        <v>152</v>
      </c>
      <c r="G129" t="s">
        <v>157</v>
      </c>
      <c r="I129" t="s">
        <v>881</v>
      </c>
      <c r="K129" s="17" t="s">
        <v>58</v>
      </c>
    </row>
    <row r="130" spans="1:11">
      <c r="A130" t="s">
        <v>327</v>
      </c>
      <c r="C130" t="s">
        <v>157</v>
      </c>
      <c r="G130" t="s">
        <v>191</v>
      </c>
      <c r="I130" t="s">
        <v>882</v>
      </c>
      <c r="K130" s="17" t="s">
        <v>59</v>
      </c>
    </row>
    <row r="131" spans="1:11">
      <c r="A131" t="s">
        <v>328</v>
      </c>
      <c r="C131" t="s">
        <v>191</v>
      </c>
      <c r="G131" t="s">
        <v>192</v>
      </c>
      <c r="I131" t="s">
        <v>883</v>
      </c>
      <c r="K131" s="17" t="s">
        <v>143</v>
      </c>
    </row>
    <row r="132" spans="1:11">
      <c r="A132" t="s">
        <v>329</v>
      </c>
      <c r="C132" t="s">
        <v>192</v>
      </c>
      <c r="G132" t="s">
        <v>193</v>
      </c>
      <c r="I132" t="s">
        <v>884</v>
      </c>
      <c r="K132" s="17" t="s">
        <v>144</v>
      </c>
    </row>
    <row r="133" spans="1:11">
      <c r="A133" t="s">
        <v>330</v>
      </c>
      <c r="C133" t="s">
        <v>193</v>
      </c>
      <c r="G133" t="s">
        <v>194</v>
      </c>
      <c r="I133" t="s">
        <v>885</v>
      </c>
      <c r="K133" s="17" t="s">
        <v>145</v>
      </c>
    </row>
    <row r="134" spans="1:11">
      <c r="A134" t="s">
        <v>60</v>
      </c>
      <c r="C134" t="s">
        <v>194</v>
      </c>
      <c r="G134" t="s">
        <v>14</v>
      </c>
      <c r="I134" t="s">
        <v>886</v>
      </c>
      <c r="K134" s="17" t="s">
        <v>146</v>
      </c>
    </row>
    <row r="135" spans="1:11">
      <c r="A135" t="s">
        <v>331</v>
      </c>
      <c r="C135" t="s">
        <v>14</v>
      </c>
      <c r="G135" t="s">
        <v>195</v>
      </c>
      <c r="I135" t="s">
        <v>887</v>
      </c>
      <c r="K135" s="17" t="s">
        <v>147</v>
      </c>
    </row>
    <row r="136" spans="1:11">
      <c r="A136" t="s">
        <v>61</v>
      </c>
      <c r="C136" t="s">
        <v>195</v>
      </c>
      <c r="G136" t="s">
        <v>15</v>
      </c>
      <c r="I136" t="s">
        <v>888</v>
      </c>
      <c r="K136" s="17" t="s">
        <v>148</v>
      </c>
    </row>
    <row r="137" spans="1:11">
      <c r="A137" t="s">
        <v>332</v>
      </c>
      <c r="C137" t="s">
        <v>15</v>
      </c>
      <c r="G137" t="s">
        <v>153</v>
      </c>
      <c r="I137" t="s">
        <v>889</v>
      </c>
      <c r="K137" s="17" t="s">
        <v>149</v>
      </c>
    </row>
    <row r="138" spans="1:11">
      <c r="A138" t="s">
        <v>62</v>
      </c>
      <c r="C138" t="s">
        <v>153</v>
      </c>
      <c r="G138" t="s">
        <v>154</v>
      </c>
      <c r="I138" t="s">
        <v>890</v>
      </c>
      <c r="K138" s="17" t="s">
        <v>28</v>
      </c>
    </row>
    <row r="139" spans="1:11">
      <c r="A139" t="s">
        <v>333</v>
      </c>
      <c r="C139" t="s">
        <v>154</v>
      </c>
      <c r="G139" t="s">
        <v>30</v>
      </c>
      <c r="I139" t="s">
        <v>891</v>
      </c>
      <c r="K139" s="17" t="s">
        <v>150</v>
      </c>
    </row>
    <row r="140" spans="1:11">
      <c r="A140" t="s">
        <v>334</v>
      </c>
      <c r="C140" t="s">
        <v>30</v>
      </c>
      <c r="G140" t="s">
        <v>31</v>
      </c>
      <c r="I140" t="s">
        <v>892</v>
      </c>
      <c r="K140" s="17" t="s">
        <v>151</v>
      </c>
    </row>
    <row r="141" spans="1:11">
      <c r="A141" t="s">
        <v>335</v>
      </c>
      <c r="C141" t="s">
        <v>31</v>
      </c>
      <c r="G141" t="s">
        <v>32</v>
      </c>
      <c r="I141" t="s">
        <v>893</v>
      </c>
      <c r="K141" s="17" t="s">
        <v>152</v>
      </c>
    </row>
    <row r="142" spans="1:11">
      <c r="A142" t="s">
        <v>336</v>
      </c>
      <c r="C142" t="s">
        <v>32</v>
      </c>
      <c r="G142" t="s">
        <v>33</v>
      </c>
      <c r="I142" t="s">
        <v>894</v>
      </c>
      <c r="K142" s="17" t="s">
        <v>157</v>
      </c>
    </row>
    <row r="143" spans="1:11">
      <c r="A143" t="s">
        <v>337</v>
      </c>
      <c r="C143" t="s">
        <v>33</v>
      </c>
      <c r="G143" t="s">
        <v>34</v>
      </c>
      <c r="I143" t="s">
        <v>895</v>
      </c>
      <c r="K143" s="17" t="s">
        <v>191</v>
      </c>
    </row>
    <row r="144" spans="1:11">
      <c r="A144" t="s">
        <v>338</v>
      </c>
      <c r="C144" t="s">
        <v>34</v>
      </c>
      <c r="G144" t="s">
        <v>35</v>
      </c>
      <c r="I144" t="s">
        <v>896</v>
      </c>
      <c r="K144" s="17" t="s">
        <v>192</v>
      </c>
    </row>
    <row r="145" spans="1:11">
      <c r="A145" t="s">
        <v>339</v>
      </c>
      <c r="C145" t="s">
        <v>35</v>
      </c>
      <c r="G145" t="s">
        <v>46</v>
      </c>
      <c r="I145" t="s">
        <v>897</v>
      </c>
      <c r="K145" s="17" t="s">
        <v>193</v>
      </c>
    </row>
    <row r="146" spans="1:11">
      <c r="A146" t="s">
        <v>191</v>
      </c>
      <c r="C146" t="s">
        <v>46</v>
      </c>
      <c r="G146" t="s">
        <v>47</v>
      </c>
      <c r="I146" t="s">
        <v>898</v>
      </c>
      <c r="K146" s="17" t="s">
        <v>194</v>
      </c>
    </row>
    <row r="147" spans="1:11">
      <c r="A147" t="s">
        <v>340</v>
      </c>
      <c r="C147" t="s">
        <v>47</v>
      </c>
      <c r="G147" t="s">
        <v>39</v>
      </c>
      <c r="I147" t="s">
        <v>899</v>
      </c>
      <c r="K147" s="17" t="s">
        <v>14</v>
      </c>
    </row>
    <row r="148" spans="1:11">
      <c r="A148" t="s">
        <v>341</v>
      </c>
      <c r="C148" t="s">
        <v>39</v>
      </c>
      <c r="G148" t="s">
        <v>40</v>
      </c>
      <c r="I148" t="s">
        <v>900</v>
      </c>
      <c r="K148" s="17" t="s">
        <v>195</v>
      </c>
    </row>
    <row r="149" spans="1:11">
      <c r="A149" t="s">
        <v>342</v>
      </c>
      <c r="C149" t="s">
        <v>40</v>
      </c>
      <c r="G149" t="s">
        <v>41</v>
      </c>
      <c r="I149" t="s">
        <v>901</v>
      </c>
      <c r="K149" s="17" t="s">
        <v>15</v>
      </c>
    </row>
    <row r="150" spans="1:11">
      <c r="A150" t="s">
        <v>92</v>
      </c>
      <c r="C150" t="s">
        <v>41</v>
      </c>
      <c r="G150" t="s">
        <v>36</v>
      </c>
      <c r="I150" t="s">
        <v>902</v>
      </c>
      <c r="K150" s="17" t="s">
        <v>153</v>
      </c>
    </row>
    <row r="151" spans="1:11">
      <c r="A151" t="s">
        <v>10</v>
      </c>
      <c r="C151" t="s">
        <v>36</v>
      </c>
      <c r="G151" t="s">
        <v>37</v>
      </c>
      <c r="I151" t="s">
        <v>903</v>
      </c>
      <c r="K151" s="17" t="s">
        <v>154</v>
      </c>
    </row>
    <row r="152" spans="1:11">
      <c r="A152" t="s">
        <v>90</v>
      </c>
      <c r="C152" t="s">
        <v>37</v>
      </c>
      <c r="G152" t="s">
        <v>38</v>
      </c>
      <c r="I152" t="s">
        <v>904</v>
      </c>
      <c r="K152" s="17" t="s">
        <v>30</v>
      </c>
    </row>
    <row r="153" spans="1:11">
      <c r="A153" t="s">
        <v>12</v>
      </c>
      <c r="C153" t="s">
        <v>38</v>
      </c>
      <c r="G153" t="s">
        <v>155</v>
      </c>
      <c r="I153" t="s">
        <v>905</v>
      </c>
      <c r="K153" s="17" t="s">
        <v>31</v>
      </c>
    </row>
    <row r="154" spans="1:11">
      <c r="A154" t="s">
        <v>63</v>
      </c>
      <c r="C154" t="s">
        <v>155</v>
      </c>
      <c r="G154" t="s">
        <v>156</v>
      </c>
      <c r="I154" t="s">
        <v>906</v>
      </c>
      <c r="K154" s="17" t="s">
        <v>32</v>
      </c>
    </row>
    <row r="155" spans="1:11">
      <c r="A155" t="s">
        <v>180</v>
      </c>
      <c r="C155" t="s">
        <v>156</v>
      </c>
      <c r="G155" t="s">
        <v>196</v>
      </c>
      <c r="I155" t="s">
        <v>907</v>
      </c>
      <c r="K155" s="17" t="s">
        <v>33</v>
      </c>
    </row>
    <row r="156" spans="1:11">
      <c r="A156" t="s">
        <v>343</v>
      </c>
      <c r="C156" t="s">
        <v>196</v>
      </c>
      <c r="G156" t="s">
        <v>158</v>
      </c>
      <c r="I156" t="s">
        <v>908</v>
      </c>
      <c r="K156" s="17" t="s">
        <v>34</v>
      </c>
    </row>
    <row r="157" spans="1:11">
      <c r="A157" t="s">
        <v>344</v>
      </c>
      <c r="C157" t="s">
        <v>158</v>
      </c>
      <c r="G157" t="s">
        <v>159</v>
      </c>
      <c r="I157" t="s">
        <v>909</v>
      </c>
      <c r="K157" s="17" t="s">
        <v>35</v>
      </c>
    </row>
    <row r="158" spans="1:11">
      <c r="A158" t="s">
        <v>345</v>
      </c>
      <c r="C158" t="s">
        <v>159</v>
      </c>
      <c r="G158" t="s">
        <v>160</v>
      </c>
      <c r="I158" t="s">
        <v>910</v>
      </c>
      <c r="K158" s="17" t="s">
        <v>46</v>
      </c>
    </row>
    <row r="159" spans="1:11">
      <c r="A159" t="s">
        <v>346</v>
      </c>
      <c r="C159" t="s">
        <v>160</v>
      </c>
      <c r="G159" t="s">
        <v>161</v>
      </c>
      <c r="I159" t="s">
        <v>911</v>
      </c>
      <c r="K159" s="17" t="s">
        <v>47</v>
      </c>
    </row>
    <row r="160" spans="1:11">
      <c r="A160" t="s">
        <v>347</v>
      </c>
      <c r="C160" t="s">
        <v>161</v>
      </c>
      <c r="G160" t="s">
        <v>11</v>
      </c>
      <c r="I160" t="s">
        <v>912</v>
      </c>
      <c r="K160" s="17" t="s">
        <v>39</v>
      </c>
    </row>
    <row r="161" spans="1:11">
      <c r="A161" t="s">
        <v>348</v>
      </c>
      <c r="C161" t="s">
        <v>11</v>
      </c>
      <c r="G161" t="s">
        <v>13</v>
      </c>
      <c r="I161" t="s">
        <v>913</v>
      </c>
      <c r="K161" s="17" t="s">
        <v>40</v>
      </c>
    </row>
    <row r="162" spans="1:11">
      <c r="A162" t="s">
        <v>349</v>
      </c>
      <c r="C162" t="s">
        <v>13</v>
      </c>
      <c r="G162" t="s">
        <v>197</v>
      </c>
      <c r="I162" t="s">
        <v>914</v>
      </c>
      <c r="K162" s="17" t="s">
        <v>41</v>
      </c>
    </row>
    <row r="163" spans="1:11">
      <c r="A163" t="s">
        <v>350</v>
      </c>
      <c r="C163" t="s">
        <v>197</v>
      </c>
      <c r="G163" t="s">
        <v>198</v>
      </c>
      <c r="I163" t="s">
        <v>915</v>
      </c>
      <c r="K163" s="17" t="s">
        <v>36</v>
      </c>
    </row>
    <row r="164" spans="1:11">
      <c r="A164" t="s">
        <v>351</v>
      </c>
      <c r="C164" t="s">
        <v>198</v>
      </c>
      <c r="G164" t="s">
        <v>199</v>
      </c>
      <c r="I164" t="s">
        <v>916</v>
      </c>
      <c r="K164" s="17" t="s">
        <v>37</v>
      </c>
    </row>
    <row r="165" spans="1:11">
      <c r="A165" t="s">
        <v>352</v>
      </c>
      <c r="C165" t="s">
        <v>199</v>
      </c>
      <c r="G165" t="s">
        <v>200</v>
      </c>
      <c r="I165" t="s">
        <v>917</v>
      </c>
      <c r="K165" s="17" t="s">
        <v>38</v>
      </c>
    </row>
    <row r="166" spans="1:11">
      <c r="A166" t="s">
        <v>353</v>
      </c>
      <c r="C166" t="s">
        <v>200</v>
      </c>
      <c r="G166" t="s">
        <v>201</v>
      </c>
      <c r="I166" t="s">
        <v>918</v>
      </c>
      <c r="K166" s="17" t="s">
        <v>155</v>
      </c>
    </row>
    <row r="167" spans="1:11">
      <c r="A167" t="s">
        <v>354</v>
      </c>
      <c r="C167" t="s">
        <v>201</v>
      </c>
      <c r="G167" t="s">
        <v>202</v>
      </c>
      <c r="I167" t="s">
        <v>919</v>
      </c>
      <c r="K167" s="17" t="s">
        <v>156</v>
      </c>
    </row>
    <row r="168" spans="1:11">
      <c r="A168" t="s">
        <v>355</v>
      </c>
      <c r="C168" t="s">
        <v>202</v>
      </c>
      <c r="G168" t="s">
        <v>203</v>
      </c>
      <c r="I168" t="s">
        <v>920</v>
      </c>
      <c r="K168" s="17" t="s">
        <v>196</v>
      </c>
    </row>
    <row r="169" spans="1:11">
      <c r="A169" t="s">
        <v>356</v>
      </c>
      <c r="C169" t="s">
        <v>203</v>
      </c>
      <c r="G169" t="s">
        <v>204</v>
      </c>
      <c r="I169" t="s">
        <v>921</v>
      </c>
      <c r="K169" s="17" t="s">
        <v>158</v>
      </c>
    </row>
    <row r="170" spans="1:11">
      <c r="A170" t="s">
        <v>357</v>
      </c>
      <c r="C170" t="s">
        <v>204</v>
      </c>
      <c r="G170" t="s">
        <v>205</v>
      </c>
      <c r="I170" t="s">
        <v>922</v>
      </c>
      <c r="K170" s="17" t="s">
        <v>159</v>
      </c>
    </row>
    <row r="171" spans="1:11">
      <c r="A171" t="s">
        <v>358</v>
      </c>
      <c r="C171" t="s">
        <v>205</v>
      </c>
      <c r="G171" t="s">
        <v>206</v>
      </c>
      <c r="I171" t="s">
        <v>923</v>
      </c>
      <c r="K171" s="17" t="s">
        <v>160</v>
      </c>
    </row>
    <row r="172" spans="1:11">
      <c r="A172" t="s">
        <v>359</v>
      </c>
      <c r="C172" t="s">
        <v>206</v>
      </c>
      <c r="G172" t="s">
        <v>207</v>
      </c>
      <c r="I172" t="s">
        <v>924</v>
      </c>
      <c r="K172" s="17" t="s">
        <v>161</v>
      </c>
    </row>
    <row r="173" spans="1:11">
      <c r="A173" t="s">
        <v>360</v>
      </c>
      <c r="C173" t="s">
        <v>207</v>
      </c>
      <c r="G173" t="s">
        <v>208</v>
      </c>
      <c r="I173" t="s">
        <v>925</v>
      </c>
      <c r="K173" s="17" t="s">
        <v>11</v>
      </c>
    </row>
    <row r="174" spans="1:11">
      <c r="A174" t="s">
        <v>361</v>
      </c>
      <c r="C174" t="s">
        <v>208</v>
      </c>
      <c r="G174" t="s">
        <v>209</v>
      </c>
      <c r="I174" t="s">
        <v>926</v>
      </c>
      <c r="K174" s="17" t="s">
        <v>13</v>
      </c>
    </row>
    <row r="175" spans="1:11">
      <c r="A175" t="s">
        <v>362</v>
      </c>
      <c r="C175" t="s">
        <v>209</v>
      </c>
      <c r="G175" t="s">
        <v>210</v>
      </c>
      <c r="I175" t="s">
        <v>927</v>
      </c>
      <c r="K175" s="17" t="s">
        <v>197</v>
      </c>
    </row>
    <row r="176" spans="1:11">
      <c r="A176" t="s">
        <v>363</v>
      </c>
      <c r="C176" t="s">
        <v>210</v>
      </c>
      <c r="G176" t="s">
        <v>211</v>
      </c>
      <c r="I176" t="s">
        <v>928</v>
      </c>
      <c r="K176" s="17" t="s">
        <v>198</v>
      </c>
    </row>
    <row r="177" spans="1:11">
      <c r="A177" t="s">
        <v>364</v>
      </c>
      <c r="C177" t="s">
        <v>211</v>
      </c>
      <c r="G177" t="s">
        <v>212</v>
      </c>
      <c r="I177" t="s">
        <v>929</v>
      </c>
      <c r="K177" s="17" t="s">
        <v>199</v>
      </c>
    </row>
    <row r="178" spans="1:11">
      <c r="A178" t="s">
        <v>365</v>
      </c>
      <c r="C178" t="s">
        <v>212</v>
      </c>
      <c r="G178" t="s">
        <v>213</v>
      </c>
      <c r="I178" t="s">
        <v>930</v>
      </c>
      <c r="K178" s="17" t="s">
        <v>200</v>
      </c>
    </row>
    <row r="179" spans="1:11">
      <c r="A179" t="s">
        <v>366</v>
      </c>
      <c r="C179" t="s">
        <v>213</v>
      </c>
      <c r="G179" t="s">
        <v>214</v>
      </c>
      <c r="I179" t="s">
        <v>931</v>
      </c>
      <c r="K179" s="17" t="s">
        <v>201</v>
      </c>
    </row>
    <row r="180" spans="1:11">
      <c r="A180" t="s">
        <v>367</v>
      </c>
      <c r="C180" t="s">
        <v>214</v>
      </c>
      <c r="G180" t="s">
        <v>215</v>
      </c>
      <c r="I180" t="s">
        <v>932</v>
      </c>
      <c r="K180" s="17" t="s">
        <v>202</v>
      </c>
    </row>
    <row r="181" spans="1:11">
      <c r="A181" t="s">
        <v>368</v>
      </c>
      <c r="C181" t="s">
        <v>215</v>
      </c>
      <c r="G181" t="s">
        <v>216</v>
      </c>
      <c r="I181" t="s">
        <v>933</v>
      </c>
      <c r="K181" s="17" t="s">
        <v>203</v>
      </c>
    </row>
    <row r="182" spans="1:11">
      <c r="A182" t="s">
        <v>369</v>
      </c>
      <c r="C182" t="s">
        <v>216</v>
      </c>
      <c r="G182" t="s">
        <v>217</v>
      </c>
      <c r="I182" t="s">
        <v>934</v>
      </c>
      <c r="K182" s="17" t="s">
        <v>204</v>
      </c>
    </row>
    <row r="183" spans="1:11">
      <c r="A183" t="s">
        <v>370</v>
      </c>
      <c r="C183" t="s">
        <v>217</v>
      </c>
      <c r="G183" t="s">
        <v>218</v>
      </c>
      <c r="I183" t="s">
        <v>935</v>
      </c>
      <c r="K183" s="17" t="s">
        <v>205</v>
      </c>
    </row>
    <row r="184" spans="1:11">
      <c r="A184" t="s">
        <v>371</v>
      </c>
      <c r="C184" t="s">
        <v>218</v>
      </c>
      <c r="G184" t="s">
        <v>219</v>
      </c>
      <c r="I184" t="s">
        <v>936</v>
      </c>
      <c r="K184" s="17" t="s">
        <v>206</v>
      </c>
    </row>
    <row r="185" spans="1:11">
      <c r="A185" t="s">
        <v>372</v>
      </c>
      <c r="C185" t="s">
        <v>219</v>
      </c>
      <c r="G185" t="s">
        <v>220</v>
      </c>
      <c r="I185" t="s">
        <v>937</v>
      </c>
      <c r="K185" s="17" t="s">
        <v>207</v>
      </c>
    </row>
    <row r="186" spans="1:11">
      <c r="A186" t="s">
        <v>373</v>
      </c>
      <c r="C186" t="s">
        <v>220</v>
      </c>
      <c r="G186" t="s">
        <v>221</v>
      </c>
      <c r="I186" t="s">
        <v>938</v>
      </c>
      <c r="K186" s="17" t="s">
        <v>208</v>
      </c>
    </row>
    <row r="187" spans="1:11">
      <c r="A187" t="s">
        <v>374</v>
      </c>
      <c r="C187" t="s">
        <v>221</v>
      </c>
      <c r="G187" t="s">
        <v>222</v>
      </c>
      <c r="I187" t="s">
        <v>939</v>
      </c>
      <c r="K187" s="17" t="s">
        <v>209</v>
      </c>
    </row>
    <row r="188" spans="1:11">
      <c r="A188" t="s">
        <v>375</v>
      </c>
      <c r="C188" t="s">
        <v>222</v>
      </c>
      <c r="G188" t="s">
        <v>223</v>
      </c>
      <c r="I188" t="s">
        <v>940</v>
      </c>
      <c r="K188" s="17" t="s">
        <v>210</v>
      </c>
    </row>
    <row r="189" spans="1:11">
      <c r="A189" t="s">
        <v>376</v>
      </c>
      <c r="C189" t="s">
        <v>223</v>
      </c>
      <c r="G189" t="s">
        <v>224</v>
      </c>
      <c r="I189" t="s">
        <v>941</v>
      </c>
      <c r="K189" s="17" t="s">
        <v>211</v>
      </c>
    </row>
    <row r="190" spans="1:11">
      <c r="A190" t="s">
        <v>377</v>
      </c>
      <c r="C190" t="s">
        <v>224</v>
      </c>
      <c r="G190" t="s">
        <v>225</v>
      </c>
      <c r="I190" t="s">
        <v>942</v>
      </c>
      <c r="K190" s="17" t="s">
        <v>212</v>
      </c>
    </row>
    <row r="191" spans="1:11">
      <c r="A191" t="s">
        <v>378</v>
      </c>
      <c r="C191" t="s">
        <v>225</v>
      </c>
      <c r="G191" t="s">
        <v>83</v>
      </c>
      <c r="I191" t="s">
        <v>943</v>
      </c>
      <c r="K191" s="17" t="s">
        <v>213</v>
      </c>
    </row>
    <row r="192" spans="1:11">
      <c r="A192" t="s">
        <v>379</v>
      </c>
      <c r="C192" t="s">
        <v>83</v>
      </c>
      <c r="G192" t="s">
        <v>226</v>
      </c>
      <c r="I192" t="s">
        <v>944</v>
      </c>
      <c r="K192" s="17" t="s">
        <v>214</v>
      </c>
    </row>
    <row r="193" spans="1:11">
      <c r="A193" t="s">
        <v>380</v>
      </c>
      <c r="C193" t="s">
        <v>226</v>
      </c>
      <c r="G193" t="s">
        <v>227</v>
      </c>
      <c r="I193" t="s">
        <v>945</v>
      </c>
      <c r="K193" s="17" t="s">
        <v>215</v>
      </c>
    </row>
    <row r="194" spans="1:11">
      <c r="A194" t="s">
        <v>381</v>
      </c>
      <c r="C194" t="s">
        <v>227</v>
      </c>
      <c r="G194" t="s">
        <v>584</v>
      </c>
      <c r="I194" t="s">
        <v>946</v>
      </c>
      <c r="K194" s="17" t="s">
        <v>216</v>
      </c>
    </row>
    <row r="195" spans="1:11">
      <c r="C195" t="s">
        <v>1577</v>
      </c>
      <c r="G195" t="s">
        <v>585</v>
      </c>
      <c r="I195" t="s">
        <v>947</v>
      </c>
      <c r="K195" s="17" t="s">
        <v>217</v>
      </c>
    </row>
    <row r="196" spans="1:11">
      <c r="C196" t="s">
        <v>1769</v>
      </c>
      <c r="G196" t="s">
        <v>586</v>
      </c>
      <c r="I196" t="s">
        <v>948</v>
      </c>
      <c r="K196" s="17" t="s">
        <v>218</v>
      </c>
    </row>
    <row r="197" spans="1:11">
      <c r="C197" t="s">
        <v>1770</v>
      </c>
      <c r="G197" t="s">
        <v>587</v>
      </c>
      <c r="I197" t="s">
        <v>949</v>
      </c>
      <c r="K197" s="17" t="s">
        <v>219</v>
      </c>
    </row>
    <row r="198" spans="1:11">
      <c r="C198" t="s">
        <v>586</v>
      </c>
      <c r="G198" t="s">
        <v>588</v>
      </c>
      <c r="I198" t="s">
        <v>950</v>
      </c>
      <c r="K198" s="17" t="s">
        <v>220</v>
      </c>
    </row>
    <row r="199" spans="1:11">
      <c r="C199" t="s">
        <v>587</v>
      </c>
      <c r="G199" t="s">
        <v>589</v>
      </c>
      <c r="I199" t="s">
        <v>951</v>
      </c>
      <c r="K199" s="17" t="s">
        <v>221</v>
      </c>
    </row>
    <row r="200" spans="1:11">
      <c r="C200" t="s">
        <v>588</v>
      </c>
      <c r="G200" t="s">
        <v>590</v>
      </c>
      <c r="I200" t="s">
        <v>952</v>
      </c>
      <c r="K200" s="17" t="s">
        <v>222</v>
      </c>
    </row>
    <row r="201" spans="1:11">
      <c r="C201" t="s">
        <v>589</v>
      </c>
      <c r="G201" t="s">
        <v>591</v>
      </c>
      <c r="I201" t="s">
        <v>953</v>
      </c>
      <c r="K201" s="19" t="s">
        <v>316</v>
      </c>
    </row>
    <row r="202" spans="1:11">
      <c r="C202" t="s">
        <v>1592</v>
      </c>
      <c r="G202" t="s">
        <v>592</v>
      </c>
      <c r="I202" t="s">
        <v>954</v>
      </c>
      <c r="K202" s="19" t="s">
        <v>317</v>
      </c>
    </row>
    <row r="203" spans="1:11">
      <c r="C203" t="s">
        <v>1593</v>
      </c>
      <c r="G203" t="s">
        <v>593</v>
      </c>
      <c r="I203" t="s">
        <v>955</v>
      </c>
      <c r="K203" s="19" t="s">
        <v>318</v>
      </c>
    </row>
    <row r="204" spans="1:11">
      <c r="C204" t="s">
        <v>590</v>
      </c>
      <c r="G204" t="s">
        <v>594</v>
      </c>
      <c r="I204" t="s">
        <v>956</v>
      </c>
      <c r="K204" s="19" t="s">
        <v>328</v>
      </c>
    </row>
    <row r="205" spans="1:11">
      <c r="C205" t="s">
        <v>591</v>
      </c>
      <c r="I205" t="s">
        <v>957</v>
      </c>
      <c r="K205" s="19" t="s">
        <v>329</v>
      </c>
    </row>
    <row r="206" spans="1:11">
      <c r="C206" t="s">
        <v>592</v>
      </c>
      <c r="I206" t="s">
        <v>958</v>
      </c>
      <c r="K206" s="19" t="s">
        <v>330</v>
      </c>
    </row>
    <row r="207" spans="1:11">
      <c r="C207" t="s">
        <v>593</v>
      </c>
      <c r="I207" t="s">
        <v>959</v>
      </c>
      <c r="K207" s="17" t="s">
        <v>1589</v>
      </c>
    </row>
    <row r="208" spans="1:11">
      <c r="C208" t="s">
        <v>1594</v>
      </c>
      <c r="I208" t="s">
        <v>960</v>
      </c>
      <c r="K208" s="17" t="s">
        <v>83</v>
      </c>
    </row>
    <row r="209" spans="3:11">
      <c r="C209" t="s">
        <v>230</v>
      </c>
      <c r="I209" t="s">
        <v>961</v>
      </c>
      <c r="K209" s="17" t="s">
        <v>226</v>
      </c>
    </row>
    <row r="210" spans="3:11">
      <c r="C210" t="s">
        <v>1771</v>
      </c>
      <c r="I210" t="s">
        <v>962</v>
      </c>
      <c r="K210" s="17" t="s">
        <v>227</v>
      </c>
    </row>
    <row r="211" spans="3:11">
      <c r="C211" t="s">
        <v>1772</v>
      </c>
      <c r="I211" t="s">
        <v>963</v>
      </c>
      <c r="K211" s="17" t="s">
        <v>584</v>
      </c>
    </row>
    <row r="212" spans="3:11">
      <c r="I212" t="s">
        <v>964</v>
      </c>
      <c r="K212" s="17" t="s">
        <v>585</v>
      </c>
    </row>
    <row r="213" spans="3:11">
      <c r="I213" t="s">
        <v>965</v>
      </c>
      <c r="K213" s="17" t="s">
        <v>586</v>
      </c>
    </row>
    <row r="214" spans="3:11">
      <c r="I214" t="s">
        <v>966</v>
      </c>
      <c r="K214" s="17" t="s">
        <v>587</v>
      </c>
    </row>
    <row r="215" spans="3:11">
      <c r="I215" t="s">
        <v>967</v>
      </c>
      <c r="K215" s="17" t="s">
        <v>588</v>
      </c>
    </row>
    <row r="216" spans="3:11">
      <c r="I216" t="s">
        <v>968</v>
      </c>
      <c r="K216" s="17" t="s">
        <v>1590</v>
      </c>
    </row>
    <row r="217" spans="3:11">
      <c r="I217" t="s">
        <v>969</v>
      </c>
      <c r="K217" s="17" t="s">
        <v>590</v>
      </c>
    </row>
    <row r="218" spans="3:11">
      <c r="I218" t="s">
        <v>970</v>
      </c>
      <c r="K218" s="17" t="s">
        <v>591</v>
      </c>
    </row>
    <row r="219" spans="3:11">
      <c r="I219" t="s">
        <v>971</v>
      </c>
      <c r="K219" s="17" t="s">
        <v>592</v>
      </c>
    </row>
    <row r="220" spans="3:11">
      <c r="I220" t="s">
        <v>972</v>
      </c>
      <c r="K220" s="17" t="s">
        <v>1591</v>
      </c>
    </row>
    <row r="221" spans="3:11">
      <c r="I221" t="s">
        <v>973</v>
      </c>
      <c r="K221" s="17" t="s">
        <v>230</v>
      </c>
    </row>
    <row r="222" spans="3:11">
      <c r="I222" t="s">
        <v>974</v>
      </c>
      <c r="K222" s="17" t="s">
        <v>186</v>
      </c>
    </row>
    <row r="223" spans="3:11">
      <c r="I223" t="s">
        <v>975</v>
      </c>
      <c r="K223" s="17" t="s">
        <v>223</v>
      </c>
    </row>
    <row r="224" spans="3:11">
      <c r="I224" t="s">
        <v>976</v>
      </c>
      <c r="K224" s="17" t="s">
        <v>225</v>
      </c>
    </row>
    <row r="225" spans="9:11">
      <c r="I225" t="s">
        <v>977</v>
      </c>
      <c r="K225" s="17" t="s">
        <v>1577</v>
      </c>
    </row>
    <row r="226" spans="9:11">
      <c r="I226" t="s">
        <v>978</v>
      </c>
      <c r="K226" s="17" t="s">
        <v>1592</v>
      </c>
    </row>
    <row r="227" spans="9:11">
      <c r="I227" t="s">
        <v>979</v>
      </c>
      <c r="K227" s="17" t="s">
        <v>1593</v>
      </c>
    </row>
    <row r="228" spans="9:11">
      <c r="I228" t="s">
        <v>980</v>
      </c>
      <c r="K228" s="20" t="s">
        <v>1594</v>
      </c>
    </row>
    <row r="229" spans="9:11">
      <c r="I229" t="s">
        <v>981</v>
      </c>
    </row>
    <row r="230" spans="9:11">
      <c r="I230" t="s">
        <v>982</v>
      </c>
    </row>
    <row r="231" spans="9:11">
      <c r="I231" t="s">
        <v>983</v>
      </c>
    </row>
    <row r="232" spans="9:11">
      <c r="I232" t="s">
        <v>984</v>
      </c>
    </row>
    <row r="233" spans="9:11">
      <c r="I233" t="s">
        <v>985</v>
      </c>
    </row>
    <row r="234" spans="9:11">
      <c r="I234" t="s">
        <v>986</v>
      </c>
    </row>
    <row r="235" spans="9:11">
      <c r="I235" t="s">
        <v>987</v>
      </c>
    </row>
    <row r="236" spans="9:11">
      <c r="I236" t="s">
        <v>988</v>
      </c>
    </row>
    <row r="237" spans="9:11">
      <c r="I237" t="s">
        <v>989</v>
      </c>
    </row>
    <row r="238" spans="9:11">
      <c r="I238" t="s">
        <v>990</v>
      </c>
    </row>
    <row r="239" spans="9:11">
      <c r="I239" t="s">
        <v>991</v>
      </c>
    </row>
    <row r="240" spans="9:11">
      <c r="I240" t="s">
        <v>992</v>
      </c>
    </row>
    <row r="241" spans="9:9">
      <c r="I241" t="s">
        <v>993</v>
      </c>
    </row>
    <row r="242" spans="9:9">
      <c r="I242" t="s">
        <v>994</v>
      </c>
    </row>
    <row r="243" spans="9:9">
      <c r="I243" t="s">
        <v>995</v>
      </c>
    </row>
    <row r="244" spans="9:9">
      <c r="I244" t="s">
        <v>996</v>
      </c>
    </row>
    <row r="245" spans="9:9">
      <c r="I245" t="s">
        <v>997</v>
      </c>
    </row>
    <row r="246" spans="9:9">
      <c r="I246" t="s">
        <v>998</v>
      </c>
    </row>
    <row r="247" spans="9:9">
      <c r="I247" t="s">
        <v>999</v>
      </c>
    </row>
    <row r="248" spans="9:9">
      <c r="I248" t="s">
        <v>1000</v>
      </c>
    </row>
    <row r="249" spans="9:9">
      <c r="I249" t="s">
        <v>1001</v>
      </c>
    </row>
    <row r="250" spans="9:9">
      <c r="I250" t="s">
        <v>1002</v>
      </c>
    </row>
    <row r="251" spans="9:9">
      <c r="I251" t="s">
        <v>1003</v>
      </c>
    </row>
    <row r="252" spans="9:9">
      <c r="I252" t="s">
        <v>1004</v>
      </c>
    </row>
    <row r="253" spans="9:9">
      <c r="I253" t="s">
        <v>1005</v>
      </c>
    </row>
    <row r="254" spans="9:9">
      <c r="I254" t="s">
        <v>1006</v>
      </c>
    </row>
    <row r="255" spans="9:9">
      <c r="I255" t="s">
        <v>1007</v>
      </c>
    </row>
    <row r="256" spans="9:9">
      <c r="I256" t="s">
        <v>1008</v>
      </c>
    </row>
    <row r="257" spans="9:9">
      <c r="I257" t="s">
        <v>1009</v>
      </c>
    </row>
    <row r="258" spans="9:9">
      <c r="I258" t="s">
        <v>1010</v>
      </c>
    </row>
    <row r="259" spans="9:9">
      <c r="I259" t="s">
        <v>1011</v>
      </c>
    </row>
    <row r="260" spans="9:9">
      <c r="I260" t="s">
        <v>1012</v>
      </c>
    </row>
    <row r="261" spans="9:9">
      <c r="I261" t="s">
        <v>1013</v>
      </c>
    </row>
    <row r="262" spans="9:9">
      <c r="I262" t="s">
        <v>1014</v>
      </c>
    </row>
    <row r="263" spans="9:9">
      <c r="I263" t="s">
        <v>1015</v>
      </c>
    </row>
    <row r="264" spans="9:9">
      <c r="I264" t="s">
        <v>1016</v>
      </c>
    </row>
    <row r="265" spans="9:9">
      <c r="I265" t="s">
        <v>1017</v>
      </c>
    </row>
    <row r="266" spans="9:9">
      <c r="I266" t="s">
        <v>1018</v>
      </c>
    </row>
    <row r="267" spans="9:9">
      <c r="I267" t="s">
        <v>1019</v>
      </c>
    </row>
    <row r="268" spans="9:9">
      <c r="I268" t="s">
        <v>1020</v>
      </c>
    </row>
    <row r="269" spans="9:9">
      <c r="I269" t="s">
        <v>1021</v>
      </c>
    </row>
    <row r="270" spans="9:9">
      <c r="I270" t="s">
        <v>1022</v>
      </c>
    </row>
    <row r="271" spans="9:9">
      <c r="I271" t="s">
        <v>1023</v>
      </c>
    </row>
    <row r="272" spans="9:9">
      <c r="I272" t="s">
        <v>1024</v>
      </c>
    </row>
    <row r="273" spans="9:9">
      <c r="I273" t="s">
        <v>1025</v>
      </c>
    </row>
    <row r="274" spans="9:9">
      <c r="I274" t="s">
        <v>1026</v>
      </c>
    </row>
    <row r="275" spans="9:9">
      <c r="I275" t="s">
        <v>1027</v>
      </c>
    </row>
    <row r="276" spans="9:9">
      <c r="I276" t="s">
        <v>1028</v>
      </c>
    </row>
    <row r="277" spans="9:9">
      <c r="I277" t="s">
        <v>1029</v>
      </c>
    </row>
    <row r="278" spans="9:9">
      <c r="I278" t="s">
        <v>1030</v>
      </c>
    </row>
    <row r="279" spans="9:9">
      <c r="I279" t="s">
        <v>1031</v>
      </c>
    </row>
    <row r="280" spans="9:9">
      <c r="I280" t="s">
        <v>1032</v>
      </c>
    </row>
    <row r="281" spans="9:9">
      <c r="I281" t="s">
        <v>1033</v>
      </c>
    </row>
    <row r="282" spans="9:9">
      <c r="I282" t="s">
        <v>1034</v>
      </c>
    </row>
    <row r="283" spans="9:9">
      <c r="I283" t="s">
        <v>1035</v>
      </c>
    </row>
    <row r="284" spans="9:9">
      <c r="I284" t="s">
        <v>1036</v>
      </c>
    </row>
    <row r="285" spans="9:9">
      <c r="I285" t="s">
        <v>1037</v>
      </c>
    </row>
    <row r="286" spans="9:9">
      <c r="I286" t="s">
        <v>1038</v>
      </c>
    </row>
    <row r="287" spans="9:9">
      <c r="I287" t="s">
        <v>1039</v>
      </c>
    </row>
    <row r="288" spans="9:9">
      <c r="I288" t="s">
        <v>1040</v>
      </c>
    </row>
    <row r="289" spans="9:9">
      <c r="I289" t="s">
        <v>1041</v>
      </c>
    </row>
    <row r="290" spans="9:9">
      <c r="I290" t="s">
        <v>1042</v>
      </c>
    </row>
    <row r="291" spans="9:9">
      <c r="I291" t="s">
        <v>1043</v>
      </c>
    </row>
    <row r="292" spans="9:9">
      <c r="I292" t="s">
        <v>1044</v>
      </c>
    </row>
    <row r="293" spans="9:9">
      <c r="I293" t="s">
        <v>1045</v>
      </c>
    </row>
    <row r="294" spans="9:9">
      <c r="I294" t="s">
        <v>1046</v>
      </c>
    </row>
    <row r="295" spans="9:9">
      <c r="I295" t="s">
        <v>1047</v>
      </c>
    </row>
    <row r="296" spans="9:9">
      <c r="I296" t="s">
        <v>1048</v>
      </c>
    </row>
    <row r="297" spans="9:9">
      <c r="I297" t="s">
        <v>1049</v>
      </c>
    </row>
    <row r="298" spans="9:9">
      <c r="I298" t="s">
        <v>1050</v>
      </c>
    </row>
    <row r="299" spans="9:9">
      <c r="I299" t="s">
        <v>1051</v>
      </c>
    </row>
    <row r="300" spans="9:9">
      <c r="I300" t="s">
        <v>1052</v>
      </c>
    </row>
    <row r="301" spans="9:9">
      <c r="I301" t="s">
        <v>1053</v>
      </c>
    </row>
    <row r="302" spans="9:9">
      <c r="I302" t="s">
        <v>1054</v>
      </c>
    </row>
    <row r="303" spans="9:9">
      <c r="I303" t="s">
        <v>1055</v>
      </c>
    </row>
    <row r="304" spans="9:9">
      <c r="I304" t="s">
        <v>1056</v>
      </c>
    </row>
    <row r="305" spans="9:9">
      <c r="I305" t="s">
        <v>1057</v>
      </c>
    </row>
    <row r="306" spans="9:9">
      <c r="I306" t="s">
        <v>1058</v>
      </c>
    </row>
    <row r="307" spans="9:9">
      <c r="I307" t="s">
        <v>1059</v>
      </c>
    </row>
    <row r="308" spans="9:9">
      <c r="I308" t="s">
        <v>1060</v>
      </c>
    </row>
    <row r="309" spans="9:9">
      <c r="I309" t="s">
        <v>1061</v>
      </c>
    </row>
    <row r="310" spans="9:9">
      <c r="I310" t="s">
        <v>1062</v>
      </c>
    </row>
    <row r="311" spans="9:9">
      <c r="I311" t="s">
        <v>1063</v>
      </c>
    </row>
    <row r="312" spans="9:9">
      <c r="I312" t="s">
        <v>1064</v>
      </c>
    </row>
    <row r="313" spans="9:9">
      <c r="I313" t="s">
        <v>1065</v>
      </c>
    </row>
    <row r="314" spans="9:9">
      <c r="I314" t="s">
        <v>1066</v>
      </c>
    </row>
    <row r="315" spans="9:9">
      <c r="I315" t="s">
        <v>1067</v>
      </c>
    </row>
    <row r="316" spans="9:9">
      <c r="I316" t="s">
        <v>1068</v>
      </c>
    </row>
    <row r="317" spans="9:9">
      <c r="I317" t="s">
        <v>1069</v>
      </c>
    </row>
    <row r="318" spans="9:9">
      <c r="I318" t="s">
        <v>383</v>
      </c>
    </row>
    <row r="319" spans="9:9">
      <c r="I319" t="s">
        <v>393</v>
      </c>
    </row>
    <row r="320" spans="9:9">
      <c r="I320" t="s">
        <v>394</v>
      </c>
    </row>
    <row r="321" spans="9:9">
      <c r="I321" t="s">
        <v>395</v>
      </c>
    </row>
    <row r="322" spans="9:9">
      <c r="I322" t="s">
        <v>396</v>
      </c>
    </row>
    <row r="323" spans="9:9">
      <c r="I323" t="s">
        <v>397</v>
      </c>
    </row>
    <row r="324" spans="9:9">
      <c r="I324" t="s">
        <v>398</v>
      </c>
    </row>
    <row r="325" spans="9:9">
      <c r="I325" t="s">
        <v>399</v>
      </c>
    </row>
    <row r="326" spans="9:9">
      <c r="I326" t="s">
        <v>400</v>
      </c>
    </row>
    <row r="327" spans="9:9">
      <c r="I327" t="s">
        <v>401</v>
      </c>
    </row>
    <row r="328" spans="9:9">
      <c r="I328" t="s">
        <v>402</v>
      </c>
    </row>
    <row r="329" spans="9:9">
      <c r="I329" t="s">
        <v>403</v>
      </c>
    </row>
    <row r="330" spans="9:9">
      <c r="I330" t="s">
        <v>404</v>
      </c>
    </row>
    <row r="331" spans="9:9">
      <c r="I331" t="s">
        <v>405</v>
      </c>
    </row>
    <row r="332" spans="9:9">
      <c r="I332" t="s">
        <v>406</v>
      </c>
    </row>
    <row r="333" spans="9:9">
      <c r="I333" t="s">
        <v>407</v>
      </c>
    </row>
    <row r="334" spans="9:9">
      <c r="I334" t="s">
        <v>408</v>
      </c>
    </row>
    <row r="335" spans="9:9">
      <c r="I335" t="s">
        <v>409</v>
      </c>
    </row>
    <row r="336" spans="9:9">
      <c r="I336" t="s">
        <v>410</v>
      </c>
    </row>
    <row r="337" spans="9:9">
      <c r="I337" t="s">
        <v>411</v>
      </c>
    </row>
    <row r="338" spans="9:9">
      <c r="I338" t="s">
        <v>412</v>
      </c>
    </row>
    <row r="339" spans="9:9">
      <c r="I339" t="s">
        <v>413</v>
      </c>
    </row>
    <row r="340" spans="9:9">
      <c r="I340" t="s">
        <v>414</v>
      </c>
    </row>
    <row r="341" spans="9:9">
      <c r="I341" t="s">
        <v>415</v>
      </c>
    </row>
    <row r="342" spans="9:9">
      <c r="I342" t="s">
        <v>416</v>
      </c>
    </row>
    <row r="343" spans="9:9">
      <c r="I343" t="s">
        <v>417</v>
      </c>
    </row>
    <row r="344" spans="9:9">
      <c r="I344" t="s">
        <v>418</v>
      </c>
    </row>
    <row r="345" spans="9:9">
      <c r="I345" t="s">
        <v>419</v>
      </c>
    </row>
    <row r="346" spans="9:9">
      <c r="I346" t="s">
        <v>420</v>
      </c>
    </row>
    <row r="347" spans="9:9">
      <c r="I347" t="s">
        <v>421</v>
      </c>
    </row>
    <row r="348" spans="9:9">
      <c r="I348" t="s">
        <v>422</v>
      </c>
    </row>
    <row r="349" spans="9:9">
      <c r="I349" t="s">
        <v>423</v>
      </c>
    </row>
    <row r="350" spans="9:9">
      <c r="I350" t="s">
        <v>424</v>
      </c>
    </row>
    <row r="351" spans="9:9">
      <c r="I351" t="s">
        <v>425</v>
      </c>
    </row>
    <row r="352" spans="9:9">
      <c r="I352" t="s">
        <v>426</v>
      </c>
    </row>
    <row r="353" spans="9:9">
      <c r="I353" t="s">
        <v>427</v>
      </c>
    </row>
    <row r="354" spans="9:9">
      <c r="I354" t="s">
        <v>428</v>
      </c>
    </row>
    <row r="355" spans="9:9">
      <c r="I355" t="s">
        <v>429</v>
      </c>
    </row>
    <row r="356" spans="9:9">
      <c r="I356" t="s">
        <v>430</v>
      </c>
    </row>
    <row r="357" spans="9:9">
      <c r="I357" t="s">
        <v>431</v>
      </c>
    </row>
    <row r="358" spans="9:9">
      <c r="I358" t="s">
        <v>432</v>
      </c>
    </row>
    <row r="359" spans="9:9">
      <c r="I359" t="s">
        <v>433</v>
      </c>
    </row>
    <row r="360" spans="9:9">
      <c r="I360" t="s">
        <v>434</v>
      </c>
    </row>
    <row r="361" spans="9:9">
      <c r="I361" t="s">
        <v>435</v>
      </c>
    </row>
    <row r="362" spans="9:9">
      <c r="I362" t="s">
        <v>436</v>
      </c>
    </row>
    <row r="363" spans="9:9">
      <c r="I363" t="s">
        <v>437</v>
      </c>
    </row>
    <row r="364" spans="9:9">
      <c r="I364" t="s">
        <v>438</v>
      </c>
    </row>
    <row r="365" spans="9:9">
      <c r="I365" t="s">
        <v>439</v>
      </c>
    </row>
    <row r="366" spans="9:9">
      <c r="I366" t="s">
        <v>440</v>
      </c>
    </row>
    <row r="367" spans="9:9">
      <c r="I367" t="s">
        <v>441</v>
      </c>
    </row>
    <row r="368" spans="9:9">
      <c r="I368" t="s">
        <v>442</v>
      </c>
    </row>
    <row r="369" spans="9:9">
      <c r="I369" t="s">
        <v>443</v>
      </c>
    </row>
    <row r="370" spans="9:9">
      <c r="I370" t="s">
        <v>444</v>
      </c>
    </row>
    <row r="371" spans="9:9">
      <c r="I371" t="s">
        <v>445</v>
      </c>
    </row>
    <row r="372" spans="9:9">
      <c r="I372" t="s">
        <v>446</v>
      </c>
    </row>
    <row r="373" spans="9:9">
      <c r="I373" t="s">
        <v>447</v>
      </c>
    </row>
    <row r="374" spans="9:9">
      <c r="I374" t="s">
        <v>448</v>
      </c>
    </row>
    <row r="375" spans="9:9">
      <c r="I375" t="s">
        <v>449</v>
      </c>
    </row>
    <row r="376" spans="9:9">
      <c r="I376" t="s">
        <v>450</v>
      </c>
    </row>
    <row r="377" spans="9:9">
      <c r="I377" t="s">
        <v>451</v>
      </c>
    </row>
    <row r="378" spans="9:9">
      <c r="I378" t="s">
        <v>452</v>
      </c>
    </row>
    <row r="379" spans="9:9">
      <c r="I379" t="s">
        <v>453</v>
      </c>
    </row>
    <row r="380" spans="9:9">
      <c r="I380" t="s">
        <v>454</v>
      </c>
    </row>
    <row r="381" spans="9:9">
      <c r="I381" t="s">
        <v>455</v>
      </c>
    </row>
    <row r="382" spans="9:9">
      <c r="I382" t="s">
        <v>456</v>
      </c>
    </row>
    <row r="383" spans="9:9">
      <c r="I383" t="s">
        <v>457</v>
      </c>
    </row>
    <row r="384" spans="9:9">
      <c r="I384" t="s">
        <v>1070</v>
      </c>
    </row>
    <row r="385" spans="9:9">
      <c r="I385" t="s">
        <v>1071</v>
      </c>
    </row>
    <row r="386" spans="9:9">
      <c r="I386" t="s">
        <v>1072</v>
      </c>
    </row>
    <row r="387" spans="9:9">
      <c r="I387" t="s">
        <v>1073</v>
      </c>
    </row>
    <row r="388" spans="9:9">
      <c r="I388" t="s">
        <v>1074</v>
      </c>
    </row>
    <row r="389" spans="9:9">
      <c r="I389" t="s">
        <v>1075</v>
      </c>
    </row>
    <row r="390" spans="9:9">
      <c r="I390" t="s">
        <v>1076</v>
      </c>
    </row>
    <row r="391" spans="9:9">
      <c r="I391" t="s">
        <v>1077</v>
      </c>
    </row>
    <row r="392" spans="9:9">
      <c r="I392" t="s">
        <v>1078</v>
      </c>
    </row>
    <row r="393" spans="9:9">
      <c r="I393" t="s">
        <v>1079</v>
      </c>
    </row>
    <row r="394" spans="9:9">
      <c r="I394" t="s">
        <v>1080</v>
      </c>
    </row>
    <row r="395" spans="9:9">
      <c r="I395" t="s">
        <v>1081</v>
      </c>
    </row>
    <row r="396" spans="9:9">
      <c r="I396" t="s">
        <v>1082</v>
      </c>
    </row>
    <row r="397" spans="9:9">
      <c r="I397" t="s">
        <v>1083</v>
      </c>
    </row>
    <row r="398" spans="9:9">
      <c r="I398" t="s">
        <v>1084</v>
      </c>
    </row>
    <row r="399" spans="9:9">
      <c r="I399" t="s">
        <v>1085</v>
      </c>
    </row>
    <row r="400" spans="9:9">
      <c r="I400" t="s">
        <v>1086</v>
      </c>
    </row>
    <row r="401" spans="9:9">
      <c r="I401" t="s">
        <v>1087</v>
      </c>
    </row>
    <row r="402" spans="9:9">
      <c r="I402" t="s">
        <v>1088</v>
      </c>
    </row>
    <row r="403" spans="9:9">
      <c r="I403" t="s">
        <v>1089</v>
      </c>
    </row>
    <row r="404" spans="9:9">
      <c r="I404" t="s">
        <v>1090</v>
      </c>
    </row>
    <row r="405" spans="9:9">
      <c r="I405" t="s">
        <v>1091</v>
      </c>
    </row>
    <row r="406" spans="9:9">
      <c r="I406" t="s">
        <v>1092</v>
      </c>
    </row>
    <row r="407" spans="9:9">
      <c r="I407" t="s">
        <v>1093</v>
      </c>
    </row>
    <row r="408" spans="9:9">
      <c r="I408" t="s">
        <v>1094</v>
      </c>
    </row>
    <row r="409" spans="9:9">
      <c r="I409" t="s">
        <v>1095</v>
      </c>
    </row>
    <row r="410" spans="9:9">
      <c r="I410" t="s">
        <v>1096</v>
      </c>
    </row>
    <row r="411" spans="9:9">
      <c r="I411" t="s">
        <v>1097</v>
      </c>
    </row>
    <row r="412" spans="9:9">
      <c r="I412" t="s">
        <v>1098</v>
      </c>
    </row>
    <row r="413" spans="9:9">
      <c r="I413" t="s">
        <v>1099</v>
      </c>
    </row>
    <row r="414" spans="9:9">
      <c r="I414" t="s">
        <v>1100</v>
      </c>
    </row>
    <row r="415" spans="9:9">
      <c r="I415" t="s">
        <v>1101</v>
      </c>
    </row>
    <row r="416" spans="9:9">
      <c r="I416" t="s">
        <v>1102</v>
      </c>
    </row>
    <row r="417" spans="9:9">
      <c r="I417" t="s">
        <v>1103</v>
      </c>
    </row>
    <row r="418" spans="9:9">
      <c r="I418" t="s">
        <v>1104</v>
      </c>
    </row>
    <row r="419" spans="9:9">
      <c r="I419" t="s">
        <v>1105</v>
      </c>
    </row>
    <row r="420" spans="9:9">
      <c r="I420" t="s">
        <v>1106</v>
      </c>
    </row>
    <row r="421" spans="9:9">
      <c r="I421" t="s">
        <v>1107</v>
      </c>
    </row>
    <row r="422" spans="9:9">
      <c r="I422" t="s">
        <v>1108</v>
      </c>
    </row>
    <row r="423" spans="9:9">
      <c r="I423" t="s">
        <v>1109</v>
      </c>
    </row>
    <row r="424" spans="9:9">
      <c r="I424" t="s">
        <v>1110</v>
      </c>
    </row>
    <row r="425" spans="9:9">
      <c r="I425" t="s">
        <v>1111</v>
      </c>
    </row>
    <row r="426" spans="9:9">
      <c r="I426" t="s">
        <v>1112</v>
      </c>
    </row>
    <row r="427" spans="9:9">
      <c r="I427" t="s">
        <v>1113</v>
      </c>
    </row>
    <row r="428" spans="9:9">
      <c r="I428" t="s">
        <v>1114</v>
      </c>
    </row>
    <row r="429" spans="9:9">
      <c r="I429" t="s">
        <v>1115</v>
      </c>
    </row>
    <row r="430" spans="9:9">
      <c r="I430" t="s">
        <v>1116</v>
      </c>
    </row>
    <row r="431" spans="9:9">
      <c r="I431" t="s">
        <v>1117</v>
      </c>
    </row>
    <row r="432" spans="9:9">
      <c r="I432" t="s">
        <v>1118</v>
      </c>
    </row>
    <row r="433" spans="9:9">
      <c r="I433" t="s">
        <v>1119</v>
      </c>
    </row>
    <row r="434" spans="9:9">
      <c r="I434" t="s">
        <v>1120</v>
      </c>
    </row>
    <row r="435" spans="9:9">
      <c r="I435" t="s">
        <v>1121</v>
      </c>
    </row>
    <row r="436" spans="9:9">
      <c r="I436" t="s">
        <v>1122</v>
      </c>
    </row>
    <row r="437" spans="9:9">
      <c r="I437" t="s">
        <v>1123</v>
      </c>
    </row>
    <row r="438" spans="9:9">
      <c r="I438" t="s">
        <v>1124</v>
      </c>
    </row>
    <row r="439" spans="9:9">
      <c r="I439" t="s">
        <v>1125</v>
      </c>
    </row>
    <row r="440" spans="9:9">
      <c r="I440" t="s">
        <v>1126</v>
      </c>
    </row>
    <row r="441" spans="9:9">
      <c r="I441" t="s">
        <v>1127</v>
      </c>
    </row>
    <row r="442" spans="9:9">
      <c r="I442" t="s">
        <v>1128</v>
      </c>
    </row>
    <row r="443" spans="9:9">
      <c r="I443" t="s">
        <v>1129</v>
      </c>
    </row>
    <row r="444" spans="9:9">
      <c r="I444" t="s">
        <v>1130</v>
      </c>
    </row>
    <row r="445" spans="9:9">
      <c r="I445" t="s">
        <v>1131</v>
      </c>
    </row>
    <row r="446" spans="9:9">
      <c r="I446" t="s">
        <v>1132</v>
      </c>
    </row>
    <row r="447" spans="9:9">
      <c r="I447" t="s">
        <v>1133</v>
      </c>
    </row>
    <row r="448" spans="9:9">
      <c r="I448" t="s">
        <v>1134</v>
      </c>
    </row>
    <row r="449" spans="9:9">
      <c r="I449" t="s">
        <v>1135</v>
      </c>
    </row>
    <row r="450" spans="9:9">
      <c r="I450" t="s">
        <v>1136</v>
      </c>
    </row>
    <row r="451" spans="9:9">
      <c r="I451" t="s">
        <v>1137</v>
      </c>
    </row>
    <row r="452" spans="9:9">
      <c r="I452" t="s">
        <v>1138</v>
      </c>
    </row>
    <row r="453" spans="9:9">
      <c r="I453" t="s">
        <v>1139</v>
      </c>
    </row>
    <row r="454" spans="9:9">
      <c r="I454" t="s">
        <v>1140</v>
      </c>
    </row>
    <row r="455" spans="9:9">
      <c r="I455" t="s">
        <v>1141</v>
      </c>
    </row>
    <row r="456" spans="9:9">
      <c r="I456" t="s">
        <v>1142</v>
      </c>
    </row>
    <row r="457" spans="9:9">
      <c r="I457" t="s">
        <v>1143</v>
      </c>
    </row>
    <row r="458" spans="9:9">
      <c r="I458" t="s">
        <v>1144</v>
      </c>
    </row>
    <row r="459" spans="9:9">
      <c r="I459" t="s">
        <v>1145</v>
      </c>
    </row>
    <row r="460" spans="9:9">
      <c r="I460" t="s">
        <v>1146</v>
      </c>
    </row>
    <row r="461" spans="9:9">
      <c r="I461" t="s">
        <v>1147</v>
      </c>
    </row>
    <row r="462" spans="9:9">
      <c r="I462" t="s">
        <v>1148</v>
      </c>
    </row>
    <row r="463" spans="9:9">
      <c r="I463" t="s">
        <v>1149</v>
      </c>
    </row>
    <row r="464" spans="9:9">
      <c r="I464" t="s">
        <v>1150</v>
      </c>
    </row>
    <row r="465" spans="9:9">
      <c r="I465" t="s">
        <v>1151</v>
      </c>
    </row>
    <row r="466" spans="9:9">
      <c r="I466" t="s">
        <v>1152</v>
      </c>
    </row>
    <row r="467" spans="9:9">
      <c r="I467" t="s">
        <v>1153</v>
      </c>
    </row>
    <row r="468" spans="9:9">
      <c r="I468" t="s">
        <v>1154</v>
      </c>
    </row>
    <row r="469" spans="9:9">
      <c r="I469" t="s">
        <v>1155</v>
      </c>
    </row>
    <row r="470" spans="9:9">
      <c r="I470" t="s">
        <v>1156</v>
      </c>
    </row>
    <row r="471" spans="9:9">
      <c r="I471" t="s">
        <v>1157</v>
      </c>
    </row>
    <row r="472" spans="9:9">
      <c r="I472" t="s">
        <v>1158</v>
      </c>
    </row>
    <row r="473" spans="9:9">
      <c r="I473" t="s">
        <v>1159</v>
      </c>
    </row>
    <row r="474" spans="9:9">
      <c r="I474" t="s">
        <v>1160</v>
      </c>
    </row>
    <row r="475" spans="9:9">
      <c r="I475" t="s">
        <v>1161</v>
      </c>
    </row>
    <row r="476" spans="9:9">
      <c r="I476" t="s">
        <v>1162</v>
      </c>
    </row>
    <row r="477" spans="9:9">
      <c r="I477" t="s">
        <v>1163</v>
      </c>
    </row>
    <row r="478" spans="9:9">
      <c r="I478" t="s">
        <v>1164</v>
      </c>
    </row>
    <row r="479" spans="9:9">
      <c r="I479" t="s">
        <v>1165</v>
      </c>
    </row>
    <row r="480" spans="9:9">
      <c r="I480" t="s">
        <v>1166</v>
      </c>
    </row>
    <row r="481" spans="9:9">
      <c r="I481" t="s">
        <v>1167</v>
      </c>
    </row>
    <row r="482" spans="9:9">
      <c r="I482" t="s">
        <v>1168</v>
      </c>
    </row>
    <row r="483" spans="9:9">
      <c r="I483" t="s">
        <v>1169</v>
      </c>
    </row>
    <row r="484" spans="9:9">
      <c r="I484" t="s">
        <v>1170</v>
      </c>
    </row>
    <row r="485" spans="9:9">
      <c r="I485" t="s">
        <v>1171</v>
      </c>
    </row>
    <row r="486" spans="9:9">
      <c r="I486" t="s">
        <v>1172</v>
      </c>
    </row>
    <row r="487" spans="9:9">
      <c r="I487" t="s">
        <v>1173</v>
      </c>
    </row>
    <row r="488" spans="9:9">
      <c r="I488" t="s">
        <v>1174</v>
      </c>
    </row>
    <row r="489" spans="9:9">
      <c r="I489" t="s">
        <v>1175</v>
      </c>
    </row>
    <row r="490" spans="9:9">
      <c r="I490" t="s">
        <v>1176</v>
      </c>
    </row>
    <row r="491" spans="9:9">
      <c r="I491" t="s">
        <v>1177</v>
      </c>
    </row>
    <row r="492" spans="9:9">
      <c r="I492" t="s">
        <v>1178</v>
      </c>
    </row>
    <row r="493" spans="9:9">
      <c r="I493" t="s">
        <v>1179</v>
      </c>
    </row>
    <row r="494" spans="9:9">
      <c r="I494" t="s">
        <v>1180</v>
      </c>
    </row>
    <row r="495" spans="9:9">
      <c r="I495" t="s">
        <v>1181</v>
      </c>
    </row>
    <row r="496" spans="9:9">
      <c r="I496" t="s">
        <v>1182</v>
      </c>
    </row>
    <row r="497" spans="9:9">
      <c r="I497" t="s">
        <v>1183</v>
      </c>
    </row>
    <row r="498" spans="9:9">
      <c r="I498" t="s">
        <v>1184</v>
      </c>
    </row>
    <row r="499" spans="9:9">
      <c r="I499" t="s">
        <v>1185</v>
      </c>
    </row>
    <row r="500" spans="9:9">
      <c r="I500" t="s">
        <v>1186</v>
      </c>
    </row>
    <row r="501" spans="9:9">
      <c r="I501" t="s">
        <v>1187</v>
      </c>
    </row>
    <row r="502" spans="9:9">
      <c r="I502" t="s">
        <v>1188</v>
      </c>
    </row>
    <row r="503" spans="9:9">
      <c r="I503" t="s">
        <v>1189</v>
      </c>
    </row>
    <row r="504" spans="9:9">
      <c r="I504" t="s">
        <v>1190</v>
      </c>
    </row>
    <row r="505" spans="9:9">
      <c r="I505" t="s">
        <v>1191</v>
      </c>
    </row>
    <row r="506" spans="9:9">
      <c r="I506" t="s">
        <v>1192</v>
      </c>
    </row>
    <row r="507" spans="9:9">
      <c r="I507" t="s">
        <v>1193</v>
      </c>
    </row>
    <row r="508" spans="9:9">
      <c r="I508" t="s">
        <v>1194</v>
      </c>
    </row>
    <row r="509" spans="9:9">
      <c r="I509" t="s">
        <v>1195</v>
      </c>
    </row>
    <row r="510" spans="9:9">
      <c r="I510" t="s">
        <v>1196</v>
      </c>
    </row>
    <row r="511" spans="9:9">
      <c r="I511" t="s">
        <v>1197</v>
      </c>
    </row>
    <row r="512" spans="9:9">
      <c r="I512" t="s">
        <v>1198</v>
      </c>
    </row>
    <row r="513" spans="9:9">
      <c r="I513" t="s">
        <v>1199</v>
      </c>
    </row>
    <row r="514" spans="9:9">
      <c r="I514" t="s">
        <v>1200</v>
      </c>
    </row>
    <row r="515" spans="9:9">
      <c r="I515" t="s">
        <v>1201</v>
      </c>
    </row>
    <row r="516" spans="9:9">
      <c r="I516" t="s">
        <v>1202</v>
      </c>
    </row>
    <row r="517" spans="9:9">
      <c r="I517" t="s">
        <v>1203</v>
      </c>
    </row>
    <row r="518" spans="9:9">
      <c r="I518" t="s">
        <v>1204</v>
      </c>
    </row>
    <row r="519" spans="9:9">
      <c r="I519" t="s">
        <v>1205</v>
      </c>
    </row>
    <row r="520" spans="9:9">
      <c r="I520" t="s">
        <v>1206</v>
      </c>
    </row>
    <row r="521" spans="9:9">
      <c r="I521" t="s">
        <v>1207</v>
      </c>
    </row>
    <row r="522" spans="9:9">
      <c r="I522" t="s">
        <v>1208</v>
      </c>
    </row>
    <row r="523" spans="9:9">
      <c r="I523" t="s">
        <v>1209</v>
      </c>
    </row>
    <row r="524" spans="9:9">
      <c r="I524" t="s">
        <v>1210</v>
      </c>
    </row>
    <row r="525" spans="9:9">
      <c r="I525" t="s">
        <v>1211</v>
      </c>
    </row>
    <row r="526" spans="9:9">
      <c r="I526" t="s">
        <v>1212</v>
      </c>
    </row>
    <row r="527" spans="9:9">
      <c r="I527" t="s">
        <v>1213</v>
      </c>
    </row>
    <row r="528" spans="9:9">
      <c r="I528" t="s">
        <v>1214</v>
      </c>
    </row>
    <row r="529" spans="9:9">
      <c r="I529" t="s">
        <v>1215</v>
      </c>
    </row>
    <row r="530" spans="9:9">
      <c r="I530" t="s">
        <v>1216</v>
      </c>
    </row>
    <row r="531" spans="9:9">
      <c r="I531" t="s">
        <v>1217</v>
      </c>
    </row>
    <row r="532" spans="9:9">
      <c r="I532" t="s">
        <v>1218</v>
      </c>
    </row>
    <row r="533" spans="9:9">
      <c r="I533" t="s">
        <v>1219</v>
      </c>
    </row>
    <row r="534" spans="9:9">
      <c r="I534" t="s">
        <v>1220</v>
      </c>
    </row>
    <row r="535" spans="9:9">
      <c r="I535" t="s">
        <v>1221</v>
      </c>
    </row>
    <row r="536" spans="9:9">
      <c r="I536" t="s">
        <v>1222</v>
      </c>
    </row>
    <row r="537" spans="9:9">
      <c r="I537" t="s">
        <v>1223</v>
      </c>
    </row>
    <row r="538" spans="9:9">
      <c r="I538" t="s">
        <v>1224</v>
      </c>
    </row>
    <row r="539" spans="9:9">
      <c r="I539" t="s">
        <v>1225</v>
      </c>
    </row>
    <row r="540" spans="9:9">
      <c r="I540" t="s">
        <v>1226</v>
      </c>
    </row>
    <row r="541" spans="9:9">
      <c r="I541" t="s">
        <v>1227</v>
      </c>
    </row>
    <row r="542" spans="9:9">
      <c r="I542" t="s">
        <v>1228</v>
      </c>
    </row>
    <row r="543" spans="9:9">
      <c r="I543" t="s">
        <v>1229</v>
      </c>
    </row>
    <row r="544" spans="9:9">
      <c r="I544" t="s">
        <v>1230</v>
      </c>
    </row>
    <row r="545" spans="9:9">
      <c r="I545" t="s">
        <v>1231</v>
      </c>
    </row>
    <row r="546" spans="9:9">
      <c r="I546" t="s">
        <v>1232</v>
      </c>
    </row>
    <row r="547" spans="9:9">
      <c r="I547" t="s">
        <v>1233</v>
      </c>
    </row>
    <row r="548" spans="9:9">
      <c r="I548" t="s">
        <v>1234</v>
      </c>
    </row>
    <row r="549" spans="9:9">
      <c r="I549" t="s">
        <v>1235</v>
      </c>
    </row>
    <row r="550" spans="9:9">
      <c r="I550" t="s">
        <v>1236</v>
      </c>
    </row>
    <row r="551" spans="9:9">
      <c r="I551" t="s">
        <v>1237</v>
      </c>
    </row>
    <row r="552" spans="9:9">
      <c r="I552" t="s">
        <v>1238</v>
      </c>
    </row>
    <row r="553" spans="9:9">
      <c r="I553" t="s">
        <v>1239</v>
      </c>
    </row>
    <row r="554" spans="9:9">
      <c r="I554" t="s">
        <v>1240</v>
      </c>
    </row>
    <row r="555" spans="9:9">
      <c r="I555" t="s">
        <v>1241</v>
      </c>
    </row>
    <row r="556" spans="9:9">
      <c r="I556" t="s">
        <v>1242</v>
      </c>
    </row>
    <row r="557" spans="9:9">
      <c r="I557" t="s">
        <v>1243</v>
      </c>
    </row>
    <row r="558" spans="9:9">
      <c r="I558" t="s">
        <v>1244</v>
      </c>
    </row>
    <row r="559" spans="9:9">
      <c r="I559" t="s">
        <v>1245</v>
      </c>
    </row>
    <row r="560" spans="9:9">
      <c r="I560" t="s">
        <v>1246</v>
      </c>
    </row>
    <row r="561" spans="9:9">
      <c r="I561" t="s">
        <v>1247</v>
      </c>
    </row>
    <row r="562" spans="9:9">
      <c r="I562" t="s">
        <v>1248</v>
      </c>
    </row>
    <row r="563" spans="9:9">
      <c r="I563" t="s">
        <v>1249</v>
      </c>
    </row>
    <row r="564" spans="9:9">
      <c r="I564" t="s">
        <v>1250</v>
      </c>
    </row>
    <row r="565" spans="9:9">
      <c r="I565" t="s">
        <v>1251</v>
      </c>
    </row>
    <row r="566" spans="9:9">
      <c r="I566" t="s">
        <v>1252</v>
      </c>
    </row>
    <row r="567" spans="9:9">
      <c r="I567" t="s">
        <v>1253</v>
      </c>
    </row>
    <row r="568" spans="9:9">
      <c r="I568" t="s">
        <v>1254</v>
      </c>
    </row>
    <row r="569" spans="9:9">
      <c r="I569" t="s">
        <v>1255</v>
      </c>
    </row>
    <row r="570" spans="9:9">
      <c r="I570" t="s">
        <v>1256</v>
      </c>
    </row>
    <row r="571" spans="9:9">
      <c r="I571" t="s">
        <v>1257</v>
      </c>
    </row>
    <row r="572" spans="9:9">
      <c r="I572" t="s">
        <v>1258</v>
      </c>
    </row>
    <row r="573" spans="9:9">
      <c r="I573" t="s">
        <v>1259</v>
      </c>
    </row>
    <row r="574" spans="9:9">
      <c r="I574" t="s">
        <v>1260</v>
      </c>
    </row>
    <row r="575" spans="9:9">
      <c r="I575" t="s">
        <v>1261</v>
      </c>
    </row>
    <row r="576" spans="9:9">
      <c r="I576" t="s">
        <v>1262</v>
      </c>
    </row>
    <row r="577" spans="9:9">
      <c r="I577" t="s">
        <v>1263</v>
      </c>
    </row>
    <row r="578" spans="9:9">
      <c r="I578" t="s">
        <v>1264</v>
      </c>
    </row>
    <row r="579" spans="9:9">
      <c r="I579" t="s">
        <v>1265</v>
      </c>
    </row>
    <row r="580" spans="9:9">
      <c r="I580" t="s">
        <v>1266</v>
      </c>
    </row>
    <row r="581" spans="9:9">
      <c r="I581" t="s">
        <v>1267</v>
      </c>
    </row>
    <row r="582" spans="9:9">
      <c r="I582" t="s">
        <v>1268</v>
      </c>
    </row>
    <row r="583" spans="9:9">
      <c r="I583" t="s">
        <v>1269</v>
      </c>
    </row>
    <row r="584" spans="9:9">
      <c r="I584" t="s">
        <v>1270</v>
      </c>
    </row>
    <row r="585" spans="9:9">
      <c r="I585" t="s">
        <v>1271</v>
      </c>
    </row>
    <row r="586" spans="9:9">
      <c r="I586" t="s">
        <v>1272</v>
      </c>
    </row>
    <row r="587" spans="9:9">
      <c r="I587" t="s">
        <v>1273</v>
      </c>
    </row>
    <row r="588" spans="9:9">
      <c r="I588" t="s">
        <v>1274</v>
      </c>
    </row>
    <row r="589" spans="9:9">
      <c r="I589" t="s">
        <v>1275</v>
      </c>
    </row>
    <row r="590" spans="9:9">
      <c r="I590" t="s">
        <v>1276</v>
      </c>
    </row>
    <row r="591" spans="9:9">
      <c r="I591" t="s">
        <v>1277</v>
      </c>
    </row>
    <row r="592" spans="9:9">
      <c r="I592" t="s">
        <v>1278</v>
      </c>
    </row>
    <row r="593" spans="9:9">
      <c r="I593" t="s">
        <v>1279</v>
      </c>
    </row>
    <row r="594" spans="9:9">
      <c r="I594" t="s">
        <v>1280</v>
      </c>
    </row>
    <row r="595" spans="9:9">
      <c r="I595" t="s">
        <v>1281</v>
      </c>
    </row>
    <row r="596" spans="9:9">
      <c r="I596" t="s">
        <v>1282</v>
      </c>
    </row>
    <row r="597" spans="9:9">
      <c r="I597" t="s">
        <v>1283</v>
      </c>
    </row>
    <row r="598" spans="9:9">
      <c r="I598" t="s">
        <v>1284</v>
      </c>
    </row>
    <row r="599" spans="9:9">
      <c r="I599" t="s">
        <v>1285</v>
      </c>
    </row>
    <row r="600" spans="9:9">
      <c r="I600" t="s">
        <v>1286</v>
      </c>
    </row>
    <row r="601" spans="9:9">
      <c r="I601" t="s">
        <v>1287</v>
      </c>
    </row>
    <row r="602" spans="9:9">
      <c r="I602" t="s">
        <v>1288</v>
      </c>
    </row>
    <row r="603" spans="9:9">
      <c r="I603" t="s">
        <v>1289</v>
      </c>
    </row>
    <row r="604" spans="9:9">
      <c r="I604" t="s">
        <v>1290</v>
      </c>
    </row>
    <row r="605" spans="9:9">
      <c r="I605" t="s">
        <v>1291</v>
      </c>
    </row>
    <row r="606" spans="9:9">
      <c r="I606" t="s">
        <v>1292</v>
      </c>
    </row>
    <row r="607" spans="9:9">
      <c r="I607" t="s">
        <v>1293</v>
      </c>
    </row>
    <row r="608" spans="9:9">
      <c r="I608" t="s">
        <v>1294</v>
      </c>
    </row>
    <row r="609" spans="9:9">
      <c r="I609" t="s">
        <v>1295</v>
      </c>
    </row>
    <row r="610" spans="9:9">
      <c r="I610" t="s">
        <v>1296</v>
      </c>
    </row>
    <row r="611" spans="9:9">
      <c r="I611" t="s">
        <v>1297</v>
      </c>
    </row>
    <row r="612" spans="9:9">
      <c r="I612" t="s">
        <v>1298</v>
      </c>
    </row>
    <row r="613" spans="9:9">
      <c r="I613" t="s">
        <v>1299</v>
      </c>
    </row>
    <row r="614" spans="9:9">
      <c r="I614" t="s">
        <v>1300</v>
      </c>
    </row>
    <row r="615" spans="9:9">
      <c r="I615" t="s">
        <v>1301</v>
      </c>
    </row>
    <row r="616" spans="9:9">
      <c r="I616" t="s">
        <v>1302</v>
      </c>
    </row>
    <row r="617" spans="9:9">
      <c r="I617" t="s">
        <v>1303</v>
      </c>
    </row>
    <row r="618" spans="9:9">
      <c r="I618" t="s">
        <v>1304</v>
      </c>
    </row>
    <row r="619" spans="9:9">
      <c r="I619" t="s">
        <v>1305</v>
      </c>
    </row>
    <row r="620" spans="9:9">
      <c r="I620" t="s">
        <v>1306</v>
      </c>
    </row>
    <row r="621" spans="9:9">
      <c r="I621" t="s">
        <v>1307</v>
      </c>
    </row>
    <row r="622" spans="9:9">
      <c r="I622" t="s">
        <v>1308</v>
      </c>
    </row>
    <row r="623" spans="9:9">
      <c r="I623" t="s">
        <v>1309</v>
      </c>
    </row>
    <row r="624" spans="9:9">
      <c r="I624" t="s">
        <v>1310</v>
      </c>
    </row>
    <row r="625" spans="9:9">
      <c r="I625" t="s">
        <v>1311</v>
      </c>
    </row>
    <row r="626" spans="9:9">
      <c r="I626" t="s">
        <v>1312</v>
      </c>
    </row>
    <row r="627" spans="9:9">
      <c r="I627" t="s">
        <v>1313</v>
      </c>
    </row>
    <row r="628" spans="9:9">
      <c r="I628" t="s">
        <v>1314</v>
      </c>
    </row>
    <row r="629" spans="9:9">
      <c r="I629" t="s">
        <v>1315</v>
      </c>
    </row>
    <row r="630" spans="9:9">
      <c r="I630" t="s">
        <v>1316</v>
      </c>
    </row>
    <row r="631" spans="9:9">
      <c r="I631" t="s">
        <v>1317</v>
      </c>
    </row>
    <row r="632" spans="9:9">
      <c r="I632" t="s">
        <v>1318</v>
      </c>
    </row>
    <row r="633" spans="9:9">
      <c r="I633" t="s">
        <v>1319</v>
      </c>
    </row>
    <row r="634" spans="9:9">
      <c r="I634" t="s">
        <v>1320</v>
      </c>
    </row>
    <row r="635" spans="9:9">
      <c r="I635" t="s">
        <v>1321</v>
      </c>
    </row>
    <row r="636" spans="9:9">
      <c r="I636" t="s">
        <v>1322</v>
      </c>
    </row>
    <row r="637" spans="9:9">
      <c r="I637" t="s">
        <v>1323</v>
      </c>
    </row>
    <row r="638" spans="9:9">
      <c r="I638" t="s">
        <v>1324</v>
      </c>
    </row>
    <row r="639" spans="9:9">
      <c r="I639" t="s">
        <v>1325</v>
      </c>
    </row>
    <row r="640" spans="9:9">
      <c r="I640" t="s">
        <v>1326</v>
      </c>
    </row>
    <row r="641" spans="9:9">
      <c r="I641" t="s">
        <v>1327</v>
      </c>
    </row>
    <row r="642" spans="9:9">
      <c r="I642" t="s">
        <v>1328</v>
      </c>
    </row>
    <row r="643" spans="9:9">
      <c r="I643" t="s">
        <v>1329</v>
      </c>
    </row>
    <row r="644" spans="9:9">
      <c r="I644" t="s">
        <v>1330</v>
      </c>
    </row>
    <row r="645" spans="9:9">
      <c r="I645" t="s">
        <v>1331</v>
      </c>
    </row>
    <row r="646" spans="9:9">
      <c r="I646" t="s">
        <v>1332</v>
      </c>
    </row>
    <row r="647" spans="9:9">
      <c r="I647" t="s">
        <v>1333</v>
      </c>
    </row>
    <row r="648" spans="9:9">
      <c r="I648" t="s">
        <v>1334</v>
      </c>
    </row>
    <row r="649" spans="9:9">
      <c r="I649" t="s">
        <v>1335</v>
      </c>
    </row>
    <row r="650" spans="9:9">
      <c r="I650" t="s">
        <v>1336</v>
      </c>
    </row>
    <row r="651" spans="9:9">
      <c r="I651" t="s">
        <v>1337</v>
      </c>
    </row>
    <row r="652" spans="9:9">
      <c r="I652" t="s">
        <v>1338</v>
      </c>
    </row>
    <row r="653" spans="9:9">
      <c r="I653" t="s">
        <v>1339</v>
      </c>
    </row>
    <row r="654" spans="9:9">
      <c r="I654" t="s">
        <v>1340</v>
      </c>
    </row>
    <row r="655" spans="9:9">
      <c r="I655" t="s">
        <v>1341</v>
      </c>
    </row>
    <row r="656" spans="9:9">
      <c r="I656" t="s">
        <v>1342</v>
      </c>
    </row>
    <row r="657" spans="9:9">
      <c r="I657" t="s">
        <v>1343</v>
      </c>
    </row>
    <row r="658" spans="9:9">
      <c r="I658" t="s">
        <v>1344</v>
      </c>
    </row>
    <row r="659" spans="9:9">
      <c r="I659" t="s">
        <v>1345</v>
      </c>
    </row>
    <row r="660" spans="9:9">
      <c r="I660" t="s">
        <v>1346</v>
      </c>
    </row>
    <row r="661" spans="9:9">
      <c r="I661" t="s">
        <v>1347</v>
      </c>
    </row>
    <row r="662" spans="9:9">
      <c r="I662" t="s">
        <v>1348</v>
      </c>
    </row>
    <row r="663" spans="9:9">
      <c r="I663" t="s">
        <v>1349</v>
      </c>
    </row>
    <row r="664" spans="9:9">
      <c r="I664" t="s">
        <v>1350</v>
      </c>
    </row>
    <row r="665" spans="9:9">
      <c r="I665" t="s">
        <v>1351</v>
      </c>
    </row>
    <row r="666" spans="9:9">
      <c r="I666" t="s">
        <v>1352</v>
      </c>
    </row>
    <row r="667" spans="9:9">
      <c r="I667" t="s">
        <v>1353</v>
      </c>
    </row>
    <row r="668" spans="9:9">
      <c r="I668" t="s">
        <v>1354</v>
      </c>
    </row>
    <row r="669" spans="9:9">
      <c r="I669" t="s">
        <v>1355</v>
      </c>
    </row>
    <row r="670" spans="9:9">
      <c r="I670" t="s">
        <v>1356</v>
      </c>
    </row>
    <row r="671" spans="9:9">
      <c r="I671" t="s">
        <v>1357</v>
      </c>
    </row>
    <row r="672" spans="9:9">
      <c r="I672" t="s">
        <v>1358</v>
      </c>
    </row>
    <row r="673" spans="9:9">
      <c r="I673" t="s">
        <v>1359</v>
      </c>
    </row>
    <row r="674" spans="9:9">
      <c r="I674" t="s">
        <v>1360</v>
      </c>
    </row>
    <row r="675" spans="9:9">
      <c r="I675" t="s">
        <v>1361</v>
      </c>
    </row>
    <row r="676" spans="9:9">
      <c r="I676" t="s">
        <v>1362</v>
      </c>
    </row>
    <row r="677" spans="9:9">
      <c r="I677" t="s">
        <v>1363</v>
      </c>
    </row>
    <row r="678" spans="9:9">
      <c r="I678" t="s">
        <v>1364</v>
      </c>
    </row>
    <row r="679" spans="9:9">
      <c r="I679" t="s">
        <v>1365</v>
      </c>
    </row>
    <row r="680" spans="9:9">
      <c r="I680" t="s">
        <v>1366</v>
      </c>
    </row>
    <row r="681" spans="9:9">
      <c r="I681" t="s">
        <v>1367</v>
      </c>
    </row>
    <row r="682" spans="9:9">
      <c r="I682" t="s">
        <v>1368</v>
      </c>
    </row>
    <row r="683" spans="9:9">
      <c r="I683" t="s">
        <v>1369</v>
      </c>
    </row>
    <row r="684" spans="9:9">
      <c r="I684" t="s">
        <v>1370</v>
      </c>
    </row>
    <row r="685" spans="9:9">
      <c r="I685" t="s">
        <v>1371</v>
      </c>
    </row>
    <row r="686" spans="9:9">
      <c r="I686" t="s">
        <v>1372</v>
      </c>
    </row>
    <row r="687" spans="9:9">
      <c r="I687" t="s">
        <v>1373</v>
      </c>
    </row>
    <row r="688" spans="9:9">
      <c r="I688" t="s">
        <v>1374</v>
      </c>
    </row>
    <row r="689" spans="9:9">
      <c r="I689" t="s">
        <v>1375</v>
      </c>
    </row>
    <row r="690" spans="9:9">
      <c r="I690" t="s">
        <v>1376</v>
      </c>
    </row>
    <row r="691" spans="9:9">
      <c r="I691" t="s">
        <v>1377</v>
      </c>
    </row>
    <row r="692" spans="9:9">
      <c r="I692" t="s">
        <v>1378</v>
      </c>
    </row>
    <row r="693" spans="9:9">
      <c r="I693" t="s">
        <v>1379</v>
      </c>
    </row>
    <row r="694" spans="9:9">
      <c r="I694" t="s">
        <v>1380</v>
      </c>
    </row>
    <row r="695" spans="9:9">
      <c r="I695" t="s">
        <v>1381</v>
      </c>
    </row>
    <row r="696" spans="9:9">
      <c r="I696" t="s">
        <v>1382</v>
      </c>
    </row>
    <row r="697" spans="9:9">
      <c r="I697" t="s">
        <v>1383</v>
      </c>
    </row>
    <row r="698" spans="9:9">
      <c r="I698" t="s">
        <v>1384</v>
      </c>
    </row>
    <row r="699" spans="9:9">
      <c r="I699" t="s">
        <v>1385</v>
      </c>
    </row>
    <row r="700" spans="9:9">
      <c r="I700" t="s">
        <v>1386</v>
      </c>
    </row>
    <row r="701" spans="9:9">
      <c r="I701" t="s">
        <v>1387</v>
      </c>
    </row>
    <row r="702" spans="9:9">
      <c r="I702" t="s">
        <v>1388</v>
      </c>
    </row>
    <row r="703" spans="9:9">
      <c r="I703" t="s">
        <v>1389</v>
      </c>
    </row>
    <row r="704" spans="9:9">
      <c r="I704" t="s">
        <v>1390</v>
      </c>
    </row>
    <row r="705" spans="9:9">
      <c r="I705" t="s">
        <v>1391</v>
      </c>
    </row>
    <row r="706" spans="9:9">
      <c r="I706" t="s">
        <v>1392</v>
      </c>
    </row>
    <row r="707" spans="9:9">
      <c r="I707" t="s">
        <v>1393</v>
      </c>
    </row>
    <row r="708" spans="9:9">
      <c r="I708" t="s">
        <v>1394</v>
      </c>
    </row>
    <row r="709" spans="9:9">
      <c r="I709" t="s">
        <v>1395</v>
      </c>
    </row>
    <row r="710" spans="9:9">
      <c r="I710" t="s">
        <v>1396</v>
      </c>
    </row>
    <row r="711" spans="9:9">
      <c r="I711" t="s">
        <v>1397</v>
      </c>
    </row>
    <row r="712" spans="9:9">
      <c r="I712" t="s">
        <v>1398</v>
      </c>
    </row>
    <row r="713" spans="9:9">
      <c r="I713" t="s">
        <v>1399</v>
      </c>
    </row>
    <row r="714" spans="9:9">
      <c r="I714" t="s">
        <v>1400</v>
      </c>
    </row>
    <row r="715" spans="9:9">
      <c r="I715" t="s">
        <v>1401</v>
      </c>
    </row>
    <row r="716" spans="9:9">
      <c r="I716" t="s">
        <v>1402</v>
      </c>
    </row>
    <row r="717" spans="9:9">
      <c r="I717" t="s">
        <v>1403</v>
      </c>
    </row>
    <row r="718" spans="9:9">
      <c r="I718" t="s">
        <v>1404</v>
      </c>
    </row>
    <row r="719" spans="9:9">
      <c r="I719" t="s">
        <v>1405</v>
      </c>
    </row>
    <row r="720" spans="9:9">
      <c r="I720" t="s">
        <v>1406</v>
      </c>
    </row>
    <row r="721" spans="9:9">
      <c r="I721" t="s">
        <v>1407</v>
      </c>
    </row>
    <row r="722" spans="9:9">
      <c r="I722" t="s">
        <v>1408</v>
      </c>
    </row>
    <row r="723" spans="9:9">
      <c r="I723" t="s">
        <v>1409</v>
      </c>
    </row>
    <row r="724" spans="9:9">
      <c r="I724" t="s">
        <v>1410</v>
      </c>
    </row>
    <row r="725" spans="9:9">
      <c r="I725" t="s">
        <v>1411</v>
      </c>
    </row>
    <row r="726" spans="9:9">
      <c r="I726" t="s">
        <v>1412</v>
      </c>
    </row>
    <row r="727" spans="9:9">
      <c r="I727" t="s">
        <v>1413</v>
      </c>
    </row>
    <row r="728" spans="9:9">
      <c r="I728" t="s">
        <v>1414</v>
      </c>
    </row>
    <row r="729" spans="9:9">
      <c r="I729" t="s">
        <v>1415</v>
      </c>
    </row>
    <row r="730" spans="9:9">
      <c r="I730" t="s">
        <v>1416</v>
      </c>
    </row>
    <row r="731" spans="9:9">
      <c r="I731" t="s">
        <v>1417</v>
      </c>
    </row>
    <row r="732" spans="9:9">
      <c r="I732" t="s">
        <v>1418</v>
      </c>
    </row>
    <row r="733" spans="9:9">
      <c r="I733" t="s">
        <v>1419</v>
      </c>
    </row>
    <row r="734" spans="9:9">
      <c r="I734" t="s">
        <v>1420</v>
      </c>
    </row>
    <row r="735" spans="9:9">
      <c r="I735" t="s">
        <v>1421</v>
      </c>
    </row>
    <row r="736" spans="9:9">
      <c r="I736" t="s">
        <v>1422</v>
      </c>
    </row>
    <row r="737" spans="9:9">
      <c r="I737" t="s">
        <v>1423</v>
      </c>
    </row>
    <row r="738" spans="9:9">
      <c r="I738" t="s">
        <v>1424</v>
      </c>
    </row>
    <row r="739" spans="9:9">
      <c r="I739" t="s">
        <v>1425</v>
      </c>
    </row>
    <row r="740" spans="9:9">
      <c r="I740" t="s">
        <v>1426</v>
      </c>
    </row>
    <row r="741" spans="9:9">
      <c r="I741" t="s">
        <v>1427</v>
      </c>
    </row>
    <row r="742" spans="9:9">
      <c r="I742" t="s">
        <v>1428</v>
      </c>
    </row>
    <row r="743" spans="9:9">
      <c r="I743" t="s">
        <v>1429</v>
      </c>
    </row>
    <row r="744" spans="9:9">
      <c r="I744" t="s">
        <v>1430</v>
      </c>
    </row>
    <row r="745" spans="9:9">
      <c r="I745" t="s">
        <v>1431</v>
      </c>
    </row>
    <row r="746" spans="9:9">
      <c r="I746" t="s">
        <v>1432</v>
      </c>
    </row>
    <row r="747" spans="9:9">
      <c r="I747" t="s">
        <v>1433</v>
      </c>
    </row>
    <row r="748" spans="9:9">
      <c r="I748" t="s">
        <v>1434</v>
      </c>
    </row>
    <row r="749" spans="9:9">
      <c r="I749" t="s">
        <v>1435</v>
      </c>
    </row>
    <row r="750" spans="9:9">
      <c r="I750" t="s">
        <v>1436</v>
      </c>
    </row>
    <row r="751" spans="9:9">
      <c r="I751" t="s">
        <v>1437</v>
      </c>
    </row>
    <row r="752" spans="9:9">
      <c r="I752" t="s">
        <v>1438</v>
      </c>
    </row>
    <row r="753" spans="9:9">
      <c r="I753" t="s">
        <v>1439</v>
      </c>
    </row>
    <row r="754" spans="9:9">
      <c r="I754" t="s">
        <v>1440</v>
      </c>
    </row>
    <row r="755" spans="9:9">
      <c r="I755" t="s">
        <v>1441</v>
      </c>
    </row>
    <row r="756" spans="9:9">
      <c r="I756" t="s">
        <v>1442</v>
      </c>
    </row>
    <row r="757" spans="9:9">
      <c r="I757" t="s">
        <v>1443</v>
      </c>
    </row>
    <row r="758" spans="9:9">
      <c r="I758" t="s">
        <v>1444</v>
      </c>
    </row>
    <row r="759" spans="9:9">
      <c r="I759" t="s">
        <v>1445</v>
      </c>
    </row>
    <row r="760" spans="9:9">
      <c r="I760" t="s">
        <v>1446</v>
      </c>
    </row>
    <row r="761" spans="9:9">
      <c r="I761" t="s">
        <v>1447</v>
      </c>
    </row>
    <row r="762" spans="9:9">
      <c r="I762" t="s">
        <v>1448</v>
      </c>
    </row>
    <row r="763" spans="9:9">
      <c r="I763" t="s">
        <v>1449</v>
      </c>
    </row>
    <row r="764" spans="9:9">
      <c r="I764" t="s">
        <v>1450</v>
      </c>
    </row>
    <row r="765" spans="9:9">
      <c r="I765" t="s">
        <v>1451</v>
      </c>
    </row>
    <row r="766" spans="9:9">
      <c r="I766" t="s">
        <v>1452</v>
      </c>
    </row>
    <row r="767" spans="9:9">
      <c r="I767" t="s">
        <v>1453</v>
      </c>
    </row>
    <row r="768" spans="9:9">
      <c r="I768" t="s">
        <v>1454</v>
      </c>
    </row>
    <row r="769" spans="9:9">
      <c r="I769" t="s">
        <v>1455</v>
      </c>
    </row>
    <row r="770" spans="9:9">
      <c r="I770" t="s">
        <v>1456</v>
      </c>
    </row>
    <row r="771" spans="9:9">
      <c r="I771" t="s">
        <v>1457</v>
      </c>
    </row>
    <row r="772" spans="9:9">
      <c r="I772" t="s">
        <v>1458</v>
      </c>
    </row>
    <row r="773" spans="9:9">
      <c r="I773" t="s">
        <v>1459</v>
      </c>
    </row>
    <row r="774" spans="9:9">
      <c r="I774" t="s">
        <v>1460</v>
      </c>
    </row>
    <row r="775" spans="9:9">
      <c r="I775" t="s">
        <v>1461</v>
      </c>
    </row>
    <row r="776" spans="9:9">
      <c r="I776" t="s">
        <v>1462</v>
      </c>
    </row>
    <row r="777" spans="9:9">
      <c r="I777" t="s">
        <v>1463</v>
      </c>
    </row>
    <row r="778" spans="9:9">
      <c r="I778" t="s">
        <v>1464</v>
      </c>
    </row>
    <row r="779" spans="9:9">
      <c r="I779" t="s">
        <v>1465</v>
      </c>
    </row>
    <row r="780" spans="9:9">
      <c r="I780" t="s">
        <v>1466</v>
      </c>
    </row>
    <row r="781" spans="9:9">
      <c r="I781" t="s">
        <v>1467</v>
      </c>
    </row>
    <row r="782" spans="9:9">
      <c r="I782" t="s">
        <v>1468</v>
      </c>
    </row>
    <row r="783" spans="9:9">
      <c r="I783" t="s">
        <v>1469</v>
      </c>
    </row>
    <row r="784" spans="9:9">
      <c r="I784" t="s">
        <v>1470</v>
      </c>
    </row>
    <row r="785" spans="9:9">
      <c r="I785" t="s">
        <v>1471</v>
      </c>
    </row>
    <row r="786" spans="9:9">
      <c r="I786" t="s">
        <v>1472</v>
      </c>
    </row>
    <row r="787" spans="9:9">
      <c r="I787" t="s">
        <v>1473</v>
      </c>
    </row>
    <row r="788" spans="9:9">
      <c r="I788" t="s">
        <v>1474</v>
      </c>
    </row>
    <row r="789" spans="9:9">
      <c r="I789" t="s">
        <v>1475</v>
      </c>
    </row>
    <row r="790" spans="9:9">
      <c r="I790" t="s">
        <v>1476</v>
      </c>
    </row>
    <row r="791" spans="9:9">
      <c r="I791" t="s">
        <v>1477</v>
      </c>
    </row>
    <row r="792" spans="9:9">
      <c r="I792" t="s">
        <v>1478</v>
      </c>
    </row>
    <row r="793" spans="9:9">
      <c r="I793" t="s">
        <v>1479</v>
      </c>
    </row>
    <row r="794" spans="9:9">
      <c r="I794" t="s">
        <v>1480</v>
      </c>
    </row>
    <row r="795" spans="9:9">
      <c r="I795" t="s">
        <v>1481</v>
      </c>
    </row>
    <row r="796" spans="9:9">
      <c r="I796" t="s">
        <v>1482</v>
      </c>
    </row>
    <row r="797" spans="9:9">
      <c r="I797" t="s">
        <v>1483</v>
      </c>
    </row>
    <row r="798" spans="9:9">
      <c r="I798" t="s">
        <v>1484</v>
      </c>
    </row>
    <row r="799" spans="9:9">
      <c r="I799" t="s">
        <v>1485</v>
      </c>
    </row>
    <row r="800" spans="9:9">
      <c r="I800" t="s">
        <v>1486</v>
      </c>
    </row>
    <row r="801" spans="9:9">
      <c r="I801" t="s">
        <v>458</v>
      </c>
    </row>
    <row r="802" spans="9:9">
      <c r="I802" t="s">
        <v>459</v>
      </c>
    </row>
    <row r="803" spans="9:9">
      <c r="I803" t="s">
        <v>460</v>
      </c>
    </row>
    <row r="804" spans="9:9">
      <c r="I804" t="s">
        <v>461</v>
      </c>
    </row>
    <row r="805" spans="9:9">
      <c r="I805" t="s">
        <v>462</v>
      </c>
    </row>
    <row r="806" spans="9:9">
      <c r="I806" t="s">
        <v>463</v>
      </c>
    </row>
    <row r="807" spans="9:9">
      <c r="I807" t="s">
        <v>464</v>
      </c>
    </row>
    <row r="808" spans="9:9">
      <c r="I808" t="s">
        <v>467</v>
      </c>
    </row>
    <row r="809" spans="9:9">
      <c r="I809" t="s">
        <v>468</v>
      </c>
    </row>
    <row r="810" spans="9:9">
      <c r="I810" t="s">
        <v>469</v>
      </c>
    </row>
    <row r="811" spans="9:9">
      <c r="I811" t="s">
        <v>470</v>
      </c>
    </row>
    <row r="812" spans="9:9">
      <c r="I812" t="s">
        <v>471</v>
      </c>
    </row>
    <row r="813" spans="9:9">
      <c r="I813" t="s">
        <v>472</v>
      </c>
    </row>
    <row r="814" spans="9:9">
      <c r="I814" t="s">
        <v>473</v>
      </c>
    </row>
    <row r="815" spans="9:9">
      <c r="I815" t="s">
        <v>474</v>
      </c>
    </row>
    <row r="816" spans="9:9">
      <c r="I816" t="s">
        <v>475</v>
      </c>
    </row>
    <row r="817" spans="9:9">
      <c r="I817" t="s">
        <v>476</v>
      </c>
    </row>
    <row r="818" spans="9:9">
      <c r="I818" t="s">
        <v>477</v>
      </c>
    </row>
    <row r="819" spans="9:9">
      <c r="I819" t="s">
        <v>478</v>
      </c>
    </row>
    <row r="820" spans="9:9">
      <c r="I820" t="s">
        <v>479</v>
      </c>
    </row>
    <row r="821" spans="9:9">
      <c r="I821" t="s">
        <v>480</v>
      </c>
    </row>
    <row r="822" spans="9:9">
      <c r="I822" t="s">
        <v>481</v>
      </c>
    </row>
    <row r="823" spans="9:9">
      <c r="I823" t="s">
        <v>482</v>
      </c>
    </row>
    <row r="824" spans="9:9">
      <c r="I824" t="s">
        <v>483</v>
      </c>
    </row>
    <row r="825" spans="9:9">
      <c r="I825" t="s">
        <v>484</v>
      </c>
    </row>
    <row r="826" spans="9:9">
      <c r="I826" t="s">
        <v>485</v>
      </c>
    </row>
    <row r="827" spans="9:9">
      <c r="I827" t="s">
        <v>486</v>
      </c>
    </row>
    <row r="828" spans="9:9">
      <c r="I828" t="s">
        <v>487</v>
      </c>
    </row>
    <row r="829" spans="9:9">
      <c r="I829" t="s">
        <v>488</v>
      </c>
    </row>
    <row r="830" spans="9:9">
      <c r="I830" t="s">
        <v>489</v>
      </c>
    </row>
    <row r="831" spans="9:9">
      <c r="I831" t="s">
        <v>490</v>
      </c>
    </row>
    <row r="832" spans="9:9">
      <c r="I832" t="s">
        <v>491</v>
      </c>
    </row>
    <row r="833" spans="9:9">
      <c r="I833" t="s">
        <v>492</v>
      </c>
    </row>
    <row r="834" spans="9:9">
      <c r="I834" t="s">
        <v>493</v>
      </c>
    </row>
    <row r="835" spans="9:9">
      <c r="I835" t="s">
        <v>494</v>
      </c>
    </row>
    <row r="836" spans="9:9">
      <c r="I836" t="s">
        <v>495</v>
      </c>
    </row>
    <row r="837" spans="9:9">
      <c r="I837" t="s">
        <v>496</v>
      </c>
    </row>
    <row r="838" spans="9:9">
      <c r="I838" t="s">
        <v>497</v>
      </c>
    </row>
    <row r="839" spans="9:9">
      <c r="I839" t="s">
        <v>500</v>
      </c>
    </row>
    <row r="840" spans="9:9">
      <c r="I840" t="s">
        <v>1487</v>
      </c>
    </row>
    <row r="841" spans="9:9">
      <c r="I841" t="s">
        <v>501</v>
      </c>
    </row>
    <row r="842" spans="9:9">
      <c r="I842" t="s">
        <v>1488</v>
      </c>
    </row>
    <row r="843" spans="9:9">
      <c r="I843" t="s">
        <v>1489</v>
      </c>
    </row>
    <row r="844" spans="9:9">
      <c r="I844" t="s">
        <v>1490</v>
      </c>
    </row>
    <row r="845" spans="9:9">
      <c r="I845" t="s">
        <v>1491</v>
      </c>
    </row>
    <row r="846" spans="9:9">
      <c r="I846" t="s">
        <v>1492</v>
      </c>
    </row>
    <row r="847" spans="9:9">
      <c r="I847" t="s">
        <v>1493</v>
      </c>
    </row>
    <row r="848" spans="9:9">
      <c r="I848" t="s">
        <v>1494</v>
      </c>
    </row>
    <row r="849" spans="9:9">
      <c r="I849" t="s">
        <v>1495</v>
      </c>
    </row>
    <row r="850" spans="9:9">
      <c r="I850" t="s">
        <v>1496</v>
      </c>
    </row>
    <row r="851" spans="9:9">
      <c r="I851" t="s">
        <v>1497</v>
      </c>
    </row>
    <row r="852" spans="9:9">
      <c r="I852" t="s">
        <v>1498</v>
      </c>
    </row>
    <row r="853" spans="9:9">
      <c r="I853" t="s">
        <v>1499</v>
      </c>
    </row>
    <row r="854" spans="9:9">
      <c r="I854" t="s">
        <v>1500</v>
      </c>
    </row>
    <row r="855" spans="9:9">
      <c r="I855" t="s">
        <v>1501</v>
      </c>
    </row>
    <row r="856" spans="9:9">
      <c r="I856" t="s">
        <v>1502</v>
      </c>
    </row>
    <row r="857" spans="9:9">
      <c r="I857" t="s">
        <v>1503</v>
      </c>
    </row>
    <row r="858" spans="9:9">
      <c r="I858" t="s">
        <v>1504</v>
      </c>
    </row>
    <row r="859" spans="9:9">
      <c r="I859" t="s">
        <v>1505</v>
      </c>
    </row>
    <row r="860" spans="9:9">
      <c r="I860" t="s">
        <v>1506</v>
      </c>
    </row>
    <row r="861" spans="9:9">
      <c r="I861" t="s">
        <v>1507</v>
      </c>
    </row>
    <row r="862" spans="9:9">
      <c r="I862" t="s">
        <v>1508</v>
      </c>
    </row>
    <row r="863" spans="9:9">
      <c r="I863" t="s">
        <v>1509</v>
      </c>
    </row>
    <row r="864" spans="9:9">
      <c r="I864" t="s">
        <v>1510</v>
      </c>
    </row>
    <row r="865" spans="9:9">
      <c r="I865" t="s">
        <v>1511</v>
      </c>
    </row>
    <row r="866" spans="9:9">
      <c r="I866" t="s">
        <v>1512</v>
      </c>
    </row>
    <row r="867" spans="9:9">
      <c r="I867" t="s">
        <v>1513</v>
      </c>
    </row>
    <row r="868" spans="9:9">
      <c r="I868" t="s">
        <v>1514</v>
      </c>
    </row>
    <row r="869" spans="9:9">
      <c r="I869" t="s">
        <v>1515</v>
      </c>
    </row>
    <row r="870" spans="9:9">
      <c r="I870" t="s">
        <v>1516</v>
      </c>
    </row>
    <row r="871" spans="9:9">
      <c r="I871" t="s">
        <v>1517</v>
      </c>
    </row>
    <row r="872" spans="9:9">
      <c r="I872" t="s">
        <v>1518</v>
      </c>
    </row>
    <row r="873" spans="9:9">
      <c r="I873" t="s">
        <v>1519</v>
      </c>
    </row>
    <row r="874" spans="9:9">
      <c r="I874" t="s">
        <v>1520</v>
      </c>
    </row>
    <row r="875" spans="9:9">
      <c r="I875" t="s">
        <v>1521</v>
      </c>
    </row>
    <row r="876" spans="9:9">
      <c r="I876" t="s">
        <v>1522</v>
      </c>
    </row>
    <row r="877" spans="9:9">
      <c r="I877" t="s">
        <v>1523</v>
      </c>
    </row>
    <row r="878" spans="9:9">
      <c r="I878" t="s">
        <v>1524</v>
      </c>
    </row>
    <row r="879" spans="9:9">
      <c r="I879" t="s">
        <v>1525</v>
      </c>
    </row>
    <row r="880" spans="9:9">
      <c r="I880" t="s">
        <v>1526</v>
      </c>
    </row>
    <row r="881" spans="9:9">
      <c r="I881" t="s">
        <v>1527</v>
      </c>
    </row>
    <row r="882" spans="9:9">
      <c r="I882" t="s">
        <v>1528</v>
      </c>
    </row>
    <row r="883" spans="9:9">
      <c r="I883" t="s">
        <v>1529</v>
      </c>
    </row>
    <row r="884" spans="9:9">
      <c r="I884" t="s">
        <v>1530</v>
      </c>
    </row>
    <row r="885" spans="9:9">
      <c r="I885" t="s">
        <v>1531</v>
      </c>
    </row>
    <row r="886" spans="9:9">
      <c r="I886" t="s">
        <v>1532</v>
      </c>
    </row>
  </sheetData>
  <autoFilter ref="A1:M886" xr:uid="{D10E801C-A8E7-4916-8EAB-197B7738381F}"/>
  <conditionalFormatting sqref="I4:I16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803A-C764-4800-A0BC-128714F29819}">
  <sheetPr codeName="Sheet9"/>
  <dimension ref="A1:M32"/>
  <sheetViews>
    <sheetView workbookViewId="0">
      <selection activeCell="C15" sqref="C15"/>
    </sheetView>
  </sheetViews>
  <sheetFormatPr defaultColWidth="8.85546875" defaultRowHeight="15"/>
  <cols>
    <col min="1" max="1" width="46.85546875" bestFit="1" customWidth="1"/>
    <col min="2" max="2" width="30.42578125" customWidth="1"/>
    <col min="3" max="3" width="17" customWidth="1"/>
    <col min="5" max="5" width="15.85546875" customWidth="1"/>
  </cols>
  <sheetData>
    <row r="1" spans="1:13">
      <c r="A1" t="s">
        <v>1551</v>
      </c>
      <c r="B1" t="s">
        <v>1894</v>
      </c>
      <c r="C1" t="s">
        <v>1944</v>
      </c>
      <c r="D1" t="s">
        <v>1946</v>
      </c>
      <c r="E1" t="s">
        <v>1627</v>
      </c>
      <c r="F1" t="s">
        <v>1907</v>
      </c>
    </row>
    <row r="2" spans="1:13">
      <c r="A2" s="24" t="s">
        <v>1610</v>
      </c>
      <c r="B2" s="21" t="s">
        <v>1901</v>
      </c>
      <c r="C2" s="21" t="s">
        <v>658</v>
      </c>
      <c r="D2" s="22" t="s">
        <v>1916</v>
      </c>
      <c r="E2" s="21" t="s">
        <v>1629</v>
      </c>
      <c r="F2" t="s">
        <v>1913</v>
      </c>
      <c r="G2" s="22"/>
      <c r="K2" t="s">
        <v>1908</v>
      </c>
      <c r="L2" s="22" t="s">
        <v>1628</v>
      </c>
      <c r="M2" s="21"/>
    </row>
    <row r="3" spans="1:13">
      <c r="A3" s="24" t="s">
        <v>1904</v>
      </c>
      <c r="B3" s="21" t="s">
        <v>1901</v>
      </c>
      <c r="C3" s="21" t="s">
        <v>658</v>
      </c>
      <c r="D3" s="22" t="s">
        <v>1916</v>
      </c>
      <c r="E3" s="21" t="s">
        <v>1629</v>
      </c>
      <c r="F3" t="s">
        <v>1913</v>
      </c>
      <c r="G3" s="22"/>
      <c r="K3" s="6" t="s">
        <v>1911</v>
      </c>
      <c r="L3" s="22" t="s">
        <v>1902</v>
      </c>
      <c r="M3" s="21"/>
    </row>
    <row r="4" spans="1:13">
      <c r="A4" s="24" t="s">
        <v>1611</v>
      </c>
      <c r="B4" s="21" t="s">
        <v>1901</v>
      </c>
      <c r="C4" s="21" t="s">
        <v>658</v>
      </c>
      <c r="D4" s="22" t="s">
        <v>1916</v>
      </c>
      <c r="E4" s="21" t="s">
        <v>1629</v>
      </c>
      <c r="F4" t="s">
        <v>1913</v>
      </c>
      <c r="G4" s="22"/>
      <c r="K4" s="6" t="s">
        <v>1912</v>
      </c>
      <c r="L4" s="6" t="s">
        <v>1931</v>
      </c>
      <c r="M4" s="21"/>
    </row>
    <row r="5" spans="1:13">
      <c r="A5" s="24" t="s">
        <v>1612</v>
      </c>
      <c r="B5" s="21" t="s">
        <v>1901</v>
      </c>
      <c r="C5" s="21" t="s">
        <v>658</v>
      </c>
      <c r="D5" s="22" t="s">
        <v>1916</v>
      </c>
      <c r="E5" s="21" t="s">
        <v>1629</v>
      </c>
      <c r="F5" t="s">
        <v>1913</v>
      </c>
      <c r="G5" s="22"/>
      <c r="K5" s="6" t="s">
        <v>1932</v>
      </c>
      <c r="L5" s="6" t="s">
        <v>1933</v>
      </c>
      <c r="M5" s="21"/>
    </row>
    <row r="6" spans="1:13">
      <c r="A6" s="24" t="s">
        <v>1613</v>
      </c>
      <c r="B6" s="21" t="s">
        <v>1898</v>
      </c>
      <c r="C6" s="21" t="s">
        <v>658</v>
      </c>
      <c r="D6" s="22" t="s">
        <v>1916</v>
      </c>
      <c r="E6" s="21" t="s">
        <v>1947</v>
      </c>
      <c r="F6" t="s">
        <v>1909</v>
      </c>
      <c r="K6" s="6" t="s">
        <v>1934</v>
      </c>
      <c r="L6" s="6" t="s">
        <v>1935</v>
      </c>
      <c r="M6" s="21"/>
    </row>
    <row r="7" spans="1:13">
      <c r="A7" s="24" t="s">
        <v>1614</v>
      </c>
      <c r="B7" s="21" t="s">
        <v>1628</v>
      </c>
      <c r="C7" s="21" t="s">
        <v>1949</v>
      </c>
      <c r="D7" s="21" t="s">
        <v>1628</v>
      </c>
      <c r="E7" s="21" t="s">
        <v>1628</v>
      </c>
      <c r="F7" t="s">
        <v>1908</v>
      </c>
      <c r="K7" s="6"/>
      <c r="L7" s="6" t="s">
        <v>1936</v>
      </c>
      <c r="M7" s="21"/>
    </row>
    <row r="8" spans="1:13">
      <c r="A8" s="24" t="s">
        <v>1615</v>
      </c>
      <c r="B8" s="21" t="s">
        <v>1896</v>
      </c>
      <c r="C8" s="21" t="s">
        <v>658</v>
      </c>
      <c r="D8" s="22" t="s">
        <v>1916</v>
      </c>
      <c r="E8" s="22" t="s">
        <v>1935</v>
      </c>
      <c r="F8" t="s">
        <v>1910</v>
      </c>
      <c r="M8" s="21"/>
    </row>
    <row r="9" spans="1:13">
      <c r="A9" s="24" t="s">
        <v>1616</v>
      </c>
      <c r="B9" s="21" t="s">
        <v>1899</v>
      </c>
      <c r="C9" s="21" t="s">
        <v>658</v>
      </c>
      <c r="D9" s="22" t="s">
        <v>1916</v>
      </c>
      <c r="E9" s="21" t="s">
        <v>1947</v>
      </c>
      <c r="F9" t="s">
        <v>1909</v>
      </c>
      <c r="M9" s="21"/>
    </row>
    <row r="10" spans="1:13">
      <c r="A10" s="24" t="s">
        <v>1617</v>
      </c>
      <c r="B10" s="21" t="s">
        <v>1900</v>
      </c>
      <c r="C10" s="21" t="s">
        <v>658</v>
      </c>
      <c r="D10" s="22" t="s">
        <v>1916</v>
      </c>
      <c r="E10" s="22" t="s">
        <v>1935</v>
      </c>
      <c r="F10" t="s">
        <v>1910</v>
      </c>
      <c r="L10" s="21"/>
      <c r="M10" s="21"/>
    </row>
    <row r="11" spans="1:13">
      <c r="A11" s="24" t="s">
        <v>1618</v>
      </c>
      <c r="B11" s="21" t="s">
        <v>1629</v>
      </c>
      <c r="C11" s="21" t="s">
        <v>658</v>
      </c>
      <c r="D11" s="21" t="s">
        <v>1629</v>
      </c>
      <c r="E11" s="21" t="s">
        <v>1629</v>
      </c>
      <c r="F11" t="s">
        <v>1914</v>
      </c>
      <c r="L11" s="21"/>
      <c r="M11" s="21"/>
    </row>
    <row r="12" spans="1:13">
      <c r="A12" s="24" t="s">
        <v>1905</v>
      </c>
      <c r="B12" s="21" t="s">
        <v>1902</v>
      </c>
      <c r="C12" s="21" t="s">
        <v>1902</v>
      </c>
      <c r="D12" s="21" t="s">
        <v>1902</v>
      </c>
      <c r="E12" s="21" t="s">
        <v>1902</v>
      </c>
      <c r="F12" t="s">
        <v>1911</v>
      </c>
      <c r="L12" s="21"/>
      <c r="M12" s="21"/>
    </row>
    <row r="13" spans="1:13">
      <c r="A13" s="24" t="s">
        <v>1619</v>
      </c>
      <c r="B13" s="21" t="s">
        <v>1901</v>
      </c>
      <c r="C13" s="21" t="s">
        <v>658</v>
      </c>
      <c r="D13" s="22" t="s">
        <v>1916</v>
      </c>
      <c r="E13" s="21" t="s">
        <v>1629</v>
      </c>
      <c r="F13" t="s">
        <v>1913</v>
      </c>
    </row>
    <row r="14" spans="1:13">
      <c r="A14" s="24" t="s">
        <v>1620</v>
      </c>
      <c r="B14" s="21" t="s">
        <v>1901</v>
      </c>
      <c r="C14" s="21" t="s">
        <v>658</v>
      </c>
      <c r="D14" s="22" t="s">
        <v>1916</v>
      </c>
      <c r="E14" s="21" t="s">
        <v>1629</v>
      </c>
      <c r="F14" t="s">
        <v>1913</v>
      </c>
    </row>
    <row r="15" spans="1:13">
      <c r="A15" s="24" t="s">
        <v>1621</v>
      </c>
      <c r="B15" s="21" t="s">
        <v>1895</v>
      </c>
      <c r="C15" s="21" t="s">
        <v>658</v>
      </c>
      <c r="D15" s="22" t="s">
        <v>1916</v>
      </c>
      <c r="E15" s="22" t="s">
        <v>1948</v>
      </c>
      <c r="F15" t="s">
        <v>1912</v>
      </c>
    </row>
    <row r="16" spans="1:13">
      <c r="A16" s="24" t="s">
        <v>1906</v>
      </c>
      <c r="B16" s="21" t="s">
        <v>1897</v>
      </c>
      <c r="C16" s="21"/>
      <c r="D16" s="22"/>
      <c r="E16" s="22"/>
    </row>
    <row r="17" spans="1:10">
      <c r="A17" s="24" t="s">
        <v>1622</v>
      </c>
      <c r="B17" s="21" t="s">
        <v>1901</v>
      </c>
      <c r="C17" s="21" t="s">
        <v>658</v>
      </c>
      <c r="D17" s="22" t="s">
        <v>1916</v>
      </c>
      <c r="E17" s="21" t="s">
        <v>1629</v>
      </c>
      <c r="F17" t="s">
        <v>1913</v>
      </c>
    </row>
    <row r="18" spans="1:10">
      <c r="A18" s="24" t="s">
        <v>1623</v>
      </c>
      <c r="B18" s="21" t="s">
        <v>1629</v>
      </c>
      <c r="C18" s="21" t="s">
        <v>658</v>
      </c>
      <c r="D18" s="21" t="s">
        <v>1629</v>
      </c>
      <c r="E18" s="21" t="s">
        <v>1629</v>
      </c>
      <c r="F18" t="s">
        <v>1914</v>
      </c>
      <c r="J18" s="27"/>
    </row>
    <row r="19" spans="1:10">
      <c r="A19" s="24" t="s">
        <v>1624</v>
      </c>
      <c r="B19" s="21" t="s">
        <v>1900</v>
      </c>
      <c r="C19" s="21" t="s">
        <v>658</v>
      </c>
      <c r="D19" s="22" t="s">
        <v>1916</v>
      </c>
      <c r="E19" s="22" t="s">
        <v>1935</v>
      </c>
      <c r="F19" t="s">
        <v>1910</v>
      </c>
    </row>
    <row r="20" spans="1:10">
      <c r="A20" s="24" t="s">
        <v>1625</v>
      </c>
      <c r="B20" s="21" t="s">
        <v>1903</v>
      </c>
      <c r="C20" s="21" t="s">
        <v>1945</v>
      </c>
      <c r="D20" s="21" t="s">
        <v>1629</v>
      </c>
      <c r="E20" s="21" t="s">
        <v>1947</v>
      </c>
      <c r="F20" t="s">
        <v>1909</v>
      </c>
    </row>
    <row r="21" spans="1:10">
      <c r="A21" s="24" t="s">
        <v>1626</v>
      </c>
      <c r="B21" s="21" t="s">
        <v>1629</v>
      </c>
      <c r="C21" s="21" t="s">
        <v>658</v>
      </c>
      <c r="D21" s="21" t="s">
        <v>1629</v>
      </c>
      <c r="E21" s="21" t="s">
        <v>1629</v>
      </c>
      <c r="F21" t="s">
        <v>1914</v>
      </c>
    </row>
    <row r="22" spans="1:10">
      <c r="A22" s="21"/>
      <c r="B22" s="21"/>
      <c r="C22" s="21"/>
      <c r="D22" s="22"/>
      <c r="E22" s="22"/>
    </row>
    <row r="23" spans="1:10">
      <c r="A23" s="21"/>
      <c r="B23" s="21"/>
      <c r="C23" s="21"/>
      <c r="D23" s="22"/>
      <c r="E23" s="22"/>
    </row>
    <row r="24" spans="1:10">
      <c r="A24" s="21"/>
      <c r="B24" s="21"/>
      <c r="C24" s="21"/>
      <c r="D24" s="22"/>
      <c r="E24" s="22"/>
    </row>
    <row r="25" spans="1:10">
      <c r="J25" s="27"/>
    </row>
    <row r="32" spans="1:10">
      <c r="J32" s="27"/>
    </row>
  </sheetData>
  <autoFilter ref="A1:F21" xr:uid="{6AD5C614-98BF-4800-98B4-3B5D6DAA113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D172-26CB-4FF6-AE7B-52581103B684}">
  <sheetPr codeName="Sheet10"/>
  <dimension ref="A1:P227"/>
  <sheetViews>
    <sheetView zoomScaleNormal="100" workbookViewId="0">
      <selection activeCell="B9" sqref="B9"/>
    </sheetView>
  </sheetViews>
  <sheetFormatPr defaultColWidth="8.85546875" defaultRowHeight="15"/>
  <cols>
    <col min="1" max="1" width="31.140625" bestFit="1" customWidth="1"/>
    <col min="2" max="2" width="67.42578125" customWidth="1"/>
    <col min="7" max="7" width="36.85546875" bestFit="1" customWidth="1"/>
    <col min="8" max="8" width="47.42578125" bestFit="1" customWidth="1"/>
    <col min="11" max="11" width="36" bestFit="1" customWidth="1"/>
    <col min="16" max="16" width="17.5703125" customWidth="1"/>
  </cols>
  <sheetData>
    <row r="1" spans="1:16">
      <c r="A1" t="s">
        <v>1716</v>
      </c>
      <c r="B1" t="s">
        <v>1717</v>
      </c>
      <c r="C1" t="s">
        <v>1893</v>
      </c>
      <c r="G1" t="s">
        <v>1976</v>
      </c>
      <c r="H1" t="s">
        <v>1717</v>
      </c>
      <c r="K1" t="s">
        <v>2168</v>
      </c>
      <c r="L1" t="s">
        <v>1893</v>
      </c>
      <c r="P1" t="s">
        <v>2216</v>
      </c>
    </row>
    <row r="2" spans="1:16">
      <c r="A2" t="s">
        <v>11</v>
      </c>
      <c r="B2" t="s">
        <v>1672</v>
      </c>
      <c r="G2" t="s">
        <v>11</v>
      </c>
      <c r="H2" t="s">
        <v>1672</v>
      </c>
      <c r="K2" t="s">
        <v>11</v>
      </c>
      <c r="P2" t="s">
        <v>11</v>
      </c>
    </row>
    <row r="3" spans="1:16">
      <c r="A3" t="s">
        <v>181</v>
      </c>
      <c r="B3" t="s">
        <v>1673</v>
      </c>
      <c r="G3" t="s">
        <v>1977</v>
      </c>
      <c r="H3" t="s">
        <v>2033</v>
      </c>
      <c r="K3" t="s">
        <v>181</v>
      </c>
      <c r="P3" t="s">
        <v>181</v>
      </c>
    </row>
    <row r="4" spans="1:16">
      <c r="A4" t="s">
        <v>1811</v>
      </c>
      <c r="B4" t="s">
        <v>1777</v>
      </c>
      <c r="G4" t="s">
        <v>1978</v>
      </c>
      <c r="H4" t="s">
        <v>2034</v>
      </c>
      <c r="K4" t="s">
        <v>1811</v>
      </c>
      <c r="P4" t="s">
        <v>1817</v>
      </c>
    </row>
    <row r="5" spans="1:16">
      <c r="A5" t="s">
        <v>1812</v>
      </c>
      <c r="B5" t="s">
        <v>1779</v>
      </c>
      <c r="G5" t="s">
        <v>1979</v>
      </c>
      <c r="H5" t="s">
        <v>2035</v>
      </c>
      <c r="K5" t="s">
        <v>1812</v>
      </c>
      <c r="P5" t="s">
        <v>1818</v>
      </c>
    </row>
    <row r="6" spans="1:16">
      <c r="A6" t="s">
        <v>1813</v>
      </c>
      <c r="B6" t="s">
        <v>1780</v>
      </c>
      <c r="G6" t="s">
        <v>1980</v>
      </c>
      <c r="H6" t="s">
        <v>2036</v>
      </c>
      <c r="K6" t="s">
        <v>1813</v>
      </c>
      <c r="P6" t="s">
        <v>1819</v>
      </c>
    </row>
    <row r="7" spans="1:16">
      <c r="A7" t="s">
        <v>1814</v>
      </c>
      <c r="B7" t="s">
        <v>1778</v>
      </c>
      <c r="G7" t="s">
        <v>1981</v>
      </c>
      <c r="H7" t="s">
        <v>2037</v>
      </c>
      <c r="K7" t="s">
        <v>1814</v>
      </c>
      <c r="P7" t="s">
        <v>1820</v>
      </c>
    </row>
    <row r="8" spans="1:16">
      <c r="A8" t="s">
        <v>1815</v>
      </c>
      <c r="B8" t="s">
        <v>1781</v>
      </c>
      <c r="G8" t="s">
        <v>1982</v>
      </c>
      <c r="H8" t="s">
        <v>1885</v>
      </c>
      <c r="K8" t="s">
        <v>1815</v>
      </c>
      <c r="P8" t="s">
        <v>1827</v>
      </c>
    </row>
    <row r="9" spans="1:16">
      <c r="A9" t="s">
        <v>1816</v>
      </c>
      <c r="B9" t="s">
        <v>1782</v>
      </c>
      <c r="G9" t="s">
        <v>1983</v>
      </c>
      <c r="H9" t="s">
        <v>1886</v>
      </c>
      <c r="K9" t="s">
        <v>1816</v>
      </c>
      <c r="P9" t="s">
        <v>1828</v>
      </c>
    </row>
    <row r="10" spans="1:16">
      <c r="A10" t="s">
        <v>1950</v>
      </c>
      <c r="B10" t="s">
        <v>1885</v>
      </c>
      <c r="G10" t="s">
        <v>1984</v>
      </c>
      <c r="H10" t="s">
        <v>1888</v>
      </c>
      <c r="K10" t="s">
        <v>1950</v>
      </c>
      <c r="P10" t="s">
        <v>1832</v>
      </c>
    </row>
    <row r="11" spans="1:16">
      <c r="A11" t="s">
        <v>1951</v>
      </c>
      <c r="B11" t="s">
        <v>1886</v>
      </c>
      <c r="G11" t="s">
        <v>1985</v>
      </c>
      <c r="H11" t="s">
        <v>1889</v>
      </c>
      <c r="K11" t="s">
        <v>1951</v>
      </c>
      <c r="P11" t="s">
        <v>1833</v>
      </c>
    </row>
    <row r="12" spans="1:16">
      <c r="A12" t="s">
        <v>1817</v>
      </c>
      <c r="B12" t="s">
        <v>1692</v>
      </c>
      <c r="G12" t="s">
        <v>1986</v>
      </c>
      <c r="H12" t="s">
        <v>1925</v>
      </c>
      <c r="K12" t="s">
        <v>1817</v>
      </c>
      <c r="P12" t="s">
        <v>1834</v>
      </c>
    </row>
    <row r="13" spans="1:16">
      <c r="A13" t="s">
        <v>1818</v>
      </c>
      <c r="B13" t="s">
        <v>1693</v>
      </c>
      <c r="G13" t="s">
        <v>1987</v>
      </c>
      <c r="H13" t="s">
        <v>1926</v>
      </c>
      <c r="K13" t="s">
        <v>1818</v>
      </c>
      <c r="P13" t="s">
        <v>1835</v>
      </c>
    </row>
    <row r="14" spans="1:16">
      <c r="A14" t="s">
        <v>1819</v>
      </c>
      <c r="B14" t="s">
        <v>1695</v>
      </c>
      <c r="G14" t="s">
        <v>1988</v>
      </c>
      <c r="H14" t="s">
        <v>1928</v>
      </c>
      <c r="K14" t="s">
        <v>1819</v>
      </c>
      <c r="P14" t="s">
        <v>1842</v>
      </c>
    </row>
    <row r="15" spans="1:16">
      <c r="A15" t="s">
        <v>1820</v>
      </c>
      <c r="B15" t="s">
        <v>1696</v>
      </c>
      <c r="G15" t="s">
        <v>1989</v>
      </c>
      <c r="H15" t="s">
        <v>1929</v>
      </c>
      <c r="K15" t="s">
        <v>1820</v>
      </c>
      <c r="P15" t="s">
        <v>1843</v>
      </c>
    </row>
    <row r="16" spans="1:16">
      <c r="A16" t="s">
        <v>1821</v>
      </c>
      <c r="B16" t="s">
        <v>1698</v>
      </c>
      <c r="G16" t="s">
        <v>1990</v>
      </c>
      <c r="H16" t="s">
        <v>1698</v>
      </c>
      <c r="K16" t="s">
        <v>1821</v>
      </c>
      <c r="P16" t="s">
        <v>180</v>
      </c>
    </row>
    <row r="17" spans="1:16">
      <c r="A17" t="s">
        <v>1822</v>
      </c>
      <c r="B17" t="s">
        <v>1699</v>
      </c>
      <c r="G17" t="s">
        <v>1991</v>
      </c>
      <c r="H17" t="s">
        <v>1699</v>
      </c>
      <c r="K17" t="s">
        <v>1822</v>
      </c>
      <c r="P17" t="s">
        <v>1771</v>
      </c>
    </row>
    <row r="18" spans="1:16">
      <c r="A18" t="s">
        <v>1674</v>
      </c>
      <c r="B18" t="s">
        <v>1701</v>
      </c>
      <c r="G18" t="s">
        <v>1992</v>
      </c>
      <c r="H18" t="s">
        <v>1859</v>
      </c>
      <c r="K18" t="s">
        <v>1674</v>
      </c>
      <c r="P18" t="s">
        <v>1772</v>
      </c>
    </row>
    <row r="19" spans="1:16">
      <c r="A19" t="s">
        <v>1675</v>
      </c>
      <c r="B19" t="s">
        <v>1702</v>
      </c>
      <c r="G19" t="s">
        <v>1993</v>
      </c>
      <c r="H19" t="s">
        <v>1860</v>
      </c>
      <c r="K19" t="s">
        <v>1675</v>
      </c>
      <c r="P19" t="s">
        <v>182</v>
      </c>
    </row>
    <row r="20" spans="1:16">
      <c r="A20" t="s">
        <v>1823</v>
      </c>
      <c r="B20" t="s">
        <v>1704</v>
      </c>
      <c r="G20" t="s">
        <v>1994</v>
      </c>
      <c r="H20" t="s">
        <v>2038</v>
      </c>
      <c r="K20" t="s">
        <v>1823</v>
      </c>
      <c r="P20" t="s">
        <v>183</v>
      </c>
    </row>
    <row r="21" spans="1:16">
      <c r="A21" t="s">
        <v>1824</v>
      </c>
      <c r="B21" t="s">
        <v>1705</v>
      </c>
      <c r="G21" t="s">
        <v>1995</v>
      </c>
      <c r="H21" t="s">
        <v>2039</v>
      </c>
      <c r="K21" t="s">
        <v>1824</v>
      </c>
      <c r="P21" t="s">
        <v>184</v>
      </c>
    </row>
    <row r="22" spans="1:16">
      <c r="A22" t="s">
        <v>1825</v>
      </c>
      <c r="B22" t="s">
        <v>1707</v>
      </c>
      <c r="G22" t="s">
        <v>1996</v>
      </c>
      <c r="H22" t="s">
        <v>2040</v>
      </c>
      <c r="K22" t="s">
        <v>1825</v>
      </c>
      <c r="P22" t="s">
        <v>185</v>
      </c>
    </row>
    <row r="23" spans="1:16">
      <c r="A23" t="s">
        <v>1826</v>
      </c>
      <c r="B23" t="s">
        <v>1708</v>
      </c>
      <c r="G23" t="s">
        <v>1997</v>
      </c>
      <c r="H23" t="s">
        <v>2041</v>
      </c>
      <c r="K23" t="s">
        <v>1826</v>
      </c>
      <c r="P23" t="s">
        <v>63</v>
      </c>
    </row>
    <row r="24" spans="1:16">
      <c r="A24" t="s">
        <v>1677</v>
      </c>
      <c r="B24" t="s">
        <v>1710</v>
      </c>
      <c r="G24" t="s">
        <v>1998</v>
      </c>
      <c r="H24" t="s">
        <v>2042</v>
      </c>
      <c r="K24" t="s">
        <v>1677</v>
      </c>
      <c r="P24" t="s">
        <v>224</v>
      </c>
    </row>
    <row r="25" spans="1:16">
      <c r="A25" t="s">
        <v>1678</v>
      </c>
      <c r="B25" t="s">
        <v>1711</v>
      </c>
      <c r="G25" t="s">
        <v>1999</v>
      </c>
      <c r="H25" t="s">
        <v>2043</v>
      </c>
      <c r="K25" t="s">
        <v>1678</v>
      </c>
      <c r="P25" t="s">
        <v>189</v>
      </c>
    </row>
    <row r="26" spans="1:16">
      <c r="A26" t="s">
        <v>1680</v>
      </c>
      <c r="B26" t="s">
        <v>1713</v>
      </c>
      <c r="G26" t="s">
        <v>2000</v>
      </c>
      <c r="H26" t="s">
        <v>2044</v>
      </c>
      <c r="K26" t="s">
        <v>1680</v>
      </c>
      <c r="P26" t="s">
        <v>187</v>
      </c>
    </row>
    <row r="27" spans="1:16">
      <c r="A27" t="s">
        <v>1681</v>
      </c>
      <c r="B27" t="s">
        <v>1714</v>
      </c>
      <c r="G27" t="s">
        <v>2001</v>
      </c>
      <c r="H27" t="s">
        <v>2045</v>
      </c>
      <c r="K27" t="s">
        <v>1681</v>
      </c>
      <c r="P27" t="s">
        <v>188</v>
      </c>
    </row>
    <row r="28" spans="1:16">
      <c r="A28" t="s">
        <v>1952</v>
      </c>
      <c r="B28" t="s">
        <v>1887</v>
      </c>
      <c r="G28" t="s">
        <v>2002</v>
      </c>
      <c r="H28" t="s">
        <v>2046</v>
      </c>
      <c r="K28" t="s">
        <v>1952</v>
      </c>
      <c r="P28" t="s">
        <v>1577</v>
      </c>
    </row>
    <row r="29" spans="1:16">
      <c r="A29" t="s">
        <v>1827</v>
      </c>
      <c r="B29" t="s">
        <v>1694</v>
      </c>
      <c r="G29" t="s">
        <v>2003</v>
      </c>
      <c r="H29" t="s">
        <v>2047</v>
      </c>
      <c r="K29" t="s">
        <v>1827</v>
      </c>
      <c r="P29" t="s">
        <v>1533</v>
      </c>
    </row>
    <row r="30" spans="1:16">
      <c r="A30" t="s">
        <v>1828</v>
      </c>
      <c r="B30" t="s">
        <v>1697</v>
      </c>
      <c r="G30" t="s">
        <v>2004</v>
      </c>
      <c r="H30" t="s">
        <v>2048</v>
      </c>
      <c r="K30" t="s">
        <v>1828</v>
      </c>
      <c r="P30" t="s">
        <v>2222</v>
      </c>
    </row>
    <row r="31" spans="1:16">
      <c r="A31" t="s">
        <v>1829</v>
      </c>
      <c r="B31" t="s">
        <v>1700</v>
      </c>
      <c r="G31" t="s">
        <v>2005</v>
      </c>
      <c r="H31" t="s">
        <v>2049</v>
      </c>
      <c r="K31" t="s">
        <v>1829</v>
      </c>
      <c r="P31" t="s">
        <v>2223</v>
      </c>
    </row>
    <row r="32" spans="1:16">
      <c r="A32" t="s">
        <v>1676</v>
      </c>
      <c r="B32" t="s">
        <v>1703</v>
      </c>
      <c r="G32" t="s">
        <v>2006</v>
      </c>
      <c r="H32" t="s">
        <v>2050</v>
      </c>
      <c r="K32" t="s">
        <v>1676</v>
      </c>
      <c r="P32" t="s">
        <v>2224</v>
      </c>
    </row>
    <row r="33" spans="1:16">
      <c r="A33" t="s">
        <v>1830</v>
      </c>
      <c r="B33" t="s">
        <v>1706</v>
      </c>
      <c r="G33" t="s">
        <v>2007</v>
      </c>
      <c r="H33" t="s">
        <v>2051</v>
      </c>
      <c r="K33" t="s">
        <v>1830</v>
      </c>
      <c r="P33" t="s">
        <v>2225</v>
      </c>
    </row>
    <row r="34" spans="1:16">
      <c r="A34" t="s">
        <v>1831</v>
      </c>
      <c r="B34" t="s">
        <v>1709</v>
      </c>
      <c r="G34" t="s">
        <v>2008</v>
      </c>
      <c r="H34" t="s">
        <v>2052</v>
      </c>
      <c r="K34" t="s">
        <v>1831</v>
      </c>
      <c r="P34" t="s">
        <v>2226</v>
      </c>
    </row>
    <row r="35" spans="1:16">
      <c r="A35" t="s">
        <v>1679</v>
      </c>
      <c r="B35" t="s">
        <v>1712</v>
      </c>
      <c r="G35" t="s">
        <v>2009</v>
      </c>
      <c r="H35" t="s">
        <v>2053</v>
      </c>
      <c r="K35" t="s">
        <v>1679</v>
      </c>
      <c r="P35" t="s">
        <v>2227</v>
      </c>
    </row>
    <row r="36" spans="1:16">
      <c r="A36" t="s">
        <v>1682</v>
      </c>
      <c r="B36" t="s">
        <v>1715</v>
      </c>
      <c r="G36" t="s">
        <v>2010</v>
      </c>
      <c r="H36" t="s">
        <v>2054</v>
      </c>
      <c r="K36" t="s">
        <v>1682</v>
      </c>
      <c r="P36" t="s">
        <v>2228</v>
      </c>
    </row>
    <row r="37" spans="1:16">
      <c r="A37" t="s">
        <v>1953</v>
      </c>
      <c r="B37" t="s">
        <v>1888</v>
      </c>
      <c r="C37">
        <v>23</v>
      </c>
      <c r="G37" t="s">
        <v>2011</v>
      </c>
      <c r="H37" t="s">
        <v>2055</v>
      </c>
      <c r="K37" t="s">
        <v>1953</v>
      </c>
      <c r="P37" t="s">
        <v>2229</v>
      </c>
    </row>
    <row r="38" spans="1:16">
      <c r="A38" t="s">
        <v>1954</v>
      </c>
      <c r="B38" t="s">
        <v>1889</v>
      </c>
      <c r="C38">
        <v>26</v>
      </c>
      <c r="G38" t="s">
        <v>2012</v>
      </c>
      <c r="H38" t="s">
        <v>2056</v>
      </c>
      <c r="K38" t="s">
        <v>1954</v>
      </c>
      <c r="P38" t="s">
        <v>2230</v>
      </c>
    </row>
    <row r="39" spans="1:16">
      <c r="A39" t="s">
        <v>1832</v>
      </c>
      <c r="B39" t="s">
        <v>1855</v>
      </c>
      <c r="C39">
        <v>23</v>
      </c>
      <c r="G39" t="s">
        <v>2013</v>
      </c>
      <c r="H39" t="s">
        <v>2057</v>
      </c>
      <c r="K39" t="s">
        <v>1832</v>
      </c>
      <c r="P39" t="s">
        <v>2231</v>
      </c>
    </row>
    <row r="40" spans="1:16">
      <c r="A40" t="s">
        <v>1833</v>
      </c>
      <c r="B40" t="s">
        <v>1856</v>
      </c>
      <c r="C40">
        <v>26</v>
      </c>
      <c r="G40" t="s">
        <v>2014</v>
      </c>
      <c r="H40" t="s">
        <v>2058</v>
      </c>
      <c r="K40" t="s">
        <v>1833</v>
      </c>
      <c r="P40" t="s">
        <v>2232</v>
      </c>
    </row>
    <row r="41" spans="1:16">
      <c r="A41" t="s">
        <v>1834</v>
      </c>
      <c r="B41" t="s">
        <v>1857</v>
      </c>
      <c r="C41">
        <v>23</v>
      </c>
      <c r="G41" t="s">
        <v>2015</v>
      </c>
      <c r="H41" t="s">
        <v>2059</v>
      </c>
      <c r="K41" t="s">
        <v>1834</v>
      </c>
      <c r="P41" t="s">
        <v>2233</v>
      </c>
    </row>
    <row r="42" spans="1:16">
      <c r="A42" t="s">
        <v>1835</v>
      </c>
      <c r="B42" t="s">
        <v>1858</v>
      </c>
      <c r="C42">
        <v>26</v>
      </c>
      <c r="G42" t="s">
        <v>2016</v>
      </c>
      <c r="H42" t="s">
        <v>2060</v>
      </c>
      <c r="K42" t="s">
        <v>1835</v>
      </c>
      <c r="P42" t="s">
        <v>2234</v>
      </c>
    </row>
    <row r="43" spans="1:16">
      <c r="A43" t="s">
        <v>1836</v>
      </c>
      <c r="B43" t="s">
        <v>1859</v>
      </c>
      <c r="C43">
        <v>23</v>
      </c>
      <c r="G43" t="s">
        <v>2017</v>
      </c>
      <c r="H43" t="s">
        <v>2061</v>
      </c>
      <c r="K43" t="s">
        <v>1836</v>
      </c>
      <c r="P43" t="s">
        <v>2235</v>
      </c>
    </row>
    <row r="44" spans="1:16">
      <c r="A44" t="s">
        <v>1837</v>
      </c>
      <c r="B44" t="s">
        <v>1860</v>
      </c>
      <c r="C44">
        <v>26</v>
      </c>
      <c r="G44" t="s">
        <v>2018</v>
      </c>
      <c r="H44" t="s">
        <v>2062</v>
      </c>
      <c r="K44" t="s">
        <v>1837</v>
      </c>
      <c r="P44" t="s">
        <v>2236</v>
      </c>
    </row>
    <row r="45" spans="1:16">
      <c r="A45" t="s">
        <v>1683</v>
      </c>
      <c r="B45" t="s">
        <v>1861</v>
      </c>
      <c r="G45" t="s">
        <v>2019</v>
      </c>
      <c r="H45" t="s">
        <v>2063</v>
      </c>
      <c r="K45" t="s">
        <v>1683</v>
      </c>
      <c r="P45" t="s">
        <v>2237</v>
      </c>
    </row>
    <row r="46" spans="1:16">
      <c r="A46" t="s">
        <v>1684</v>
      </c>
      <c r="B46" t="s">
        <v>1862</v>
      </c>
      <c r="G46" t="s">
        <v>2020</v>
      </c>
      <c r="H46" t="s">
        <v>2064</v>
      </c>
      <c r="K46" t="s">
        <v>1684</v>
      </c>
      <c r="P46" t="s">
        <v>2238</v>
      </c>
    </row>
    <row r="47" spans="1:16">
      <c r="A47" t="s">
        <v>1838</v>
      </c>
      <c r="B47" t="s">
        <v>1863</v>
      </c>
      <c r="G47" t="s">
        <v>2021</v>
      </c>
      <c r="H47" t="s">
        <v>2065</v>
      </c>
      <c r="K47" t="s">
        <v>1838</v>
      </c>
      <c r="P47" t="s">
        <v>2239</v>
      </c>
    </row>
    <row r="48" spans="1:16">
      <c r="A48" t="s">
        <v>1839</v>
      </c>
      <c r="B48" t="s">
        <v>1864</v>
      </c>
      <c r="C48">
        <v>26</v>
      </c>
      <c r="G48" t="s">
        <v>2022</v>
      </c>
      <c r="H48" t="s">
        <v>2066</v>
      </c>
      <c r="K48" t="s">
        <v>1839</v>
      </c>
      <c r="P48" t="s">
        <v>2240</v>
      </c>
    </row>
    <row r="49" spans="1:16">
      <c r="A49" t="s">
        <v>1840</v>
      </c>
      <c r="B49" t="s">
        <v>1865</v>
      </c>
      <c r="G49" t="s">
        <v>2023</v>
      </c>
      <c r="H49" t="s">
        <v>2067</v>
      </c>
      <c r="K49" t="s">
        <v>1840</v>
      </c>
      <c r="P49" t="s">
        <v>2241</v>
      </c>
    </row>
    <row r="50" spans="1:16">
      <c r="A50" t="s">
        <v>1841</v>
      </c>
      <c r="B50" t="s">
        <v>1866</v>
      </c>
      <c r="G50" t="s">
        <v>2024</v>
      </c>
      <c r="H50" t="s">
        <v>2068</v>
      </c>
      <c r="K50" t="s">
        <v>1841</v>
      </c>
      <c r="P50" t="s">
        <v>2242</v>
      </c>
    </row>
    <row r="51" spans="1:16">
      <c r="A51" t="s">
        <v>1686</v>
      </c>
      <c r="B51" t="s">
        <v>1867</v>
      </c>
      <c r="G51" t="s">
        <v>2025</v>
      </c>
      <c r="H51" t="s">
        <v>2069</v>
      </c>
      <c r="K51" t="s">
        <v>1686</v>
      </c>
      <c r="P51" t="s">
        <v>2243</v>
      </c>
    </row>
    <row r="52" spans="1:16">
      <c r="A52" t="s">
        <v>1687</v>
      </c>
      <c r="B52" t="s">
        <v>1868</v>
      </c>
      <c r="G52" t="s">
        <v>2026</v>
      </c>
      <c r="H52" t="s">
        <v>2070</v>
      </c>
      <c r="K52" t="s">
        <v>1687</v>
      </c>
      <c r="P52" t="s">
        <v>2244</v>
      </c>
    </row>
    <row r="53" spans="1:16">
      <c r="A53" t="s">
        <v>1689</v>
      </c>
      <c r="B53" t="s">
        <v>1869</v>
      </c>
      <c r="G53" t="s">
        <v>2027</v>
      </c>
      <c r="H53" t="s">
        <v>2071</v>
      </c>
      <c r="K53" t="s">
        <v>1689</v>
      </c>
      <c r="P53" t="s">
        <v>2245</v>
      </c>
    </row>
    <row r="54" spans="1:16">
      <c r="A54" t="s">
        <v>1690</v>
      </c>
      <c r="B54" t="s">
        <v>1870</v>
      </c>
      <c r="G54" t="s">
        <v>2028</v>
      </c>
      <c r="H54" t="s">
        <v>2072</v>
      </c>
      <c r="K54" t="s">
        <v>1690</v>
      </c>
      <c r="P54" t="s">
        <v>2246</v>
      </c>
    </row>
    <row r="55" spans="1:16">
      <c r="A55" t="s">
        <v>1955</v>
      </c>
      <c r="B55" t="s">
        <v>1890</v>
      </c>
      <c r="C55">
        <v>29</v>
      </c>
      <c r="G55" t="s">
        <v>2029</v>
      </c>
      <c r="H55" t="s">
        <v>2073</v>
      </c>
      <c r="K55" t="s">
        <v>1955</v>
      </c>
      <c r="P55" t="s">
        <v>2247</v>
      </c>
    </row>
    <row r="56" spans="1:16">
      <c r="A56" t="s">
        <v>1842</v>
      </c>
      <c r="B56" t="s">
        <v>1871</v>
      </c>
      <c r="C56">
        <v>29</v>
      </c>
      <c r="G56" t="s">
        <v>2030</v>
      </c>
      <c r="H56" t="s">
        <v>2074</v>
      </c>
      <c r="K56" t="s">
        <v>1842</v>
      </c>
      <c r="P56" t="s">
        <v>2248</v>
      </c>
    </row>
    <row r="57" spans="1:16">
      <c r="A57" t="s">
        <v>1843</v>
      </c>
      <c r="B57" t="s">
        <v>1872</v>
      </c>
      <c r="C57">
        <v>29</v>
      </c>
      <c r="G57" t="s">
        <v>2031</v>
      </c>
      <c r="H57" t="s">
        <v>2075</v>
      </c>
      <c r="K57" t="s">
        <v>1843</v>
      </c>
    </row>
    <row r="58" spans="1:16">
      <c r="A58" t="s">
        <v>1844</v>
      </c>
      <c r="B58" t="s">
        <v>1873</v>
      </c>
      <c r="C58">
        <v>29</v>
      </c>
      <c r="G58" t="s">
        <v>2032</v>
      </c>
      <c r="H58" t="s">
        <v>2076</v>
      </c>
      <c r="K58" t="s">
        <v>1844</v>
      </c>
    </row>
    <row r="59" spans="1:16">
      <c r="A59" t="s">
        <v>1685</v>
      </c>
      <c r="B59" t="s">
        <v>1874</v>
      </c>
      <c r="K59" t="s">
        <v>1685</v>
      </c>
    </row>
    <row r="60" spans="1:16">
      <c r="A60" t="s">
        <v>1845</v>
      </c>
      <c r="B60" t="s">
        <v>1875</v>
      </c>
      <c r="K60" t="s">
        <v>1845</v>
      </c>
    </row>
    <row r="61" spans="1:16">
      <c r="A61" t="s">
        <v>1846</v>
      </c>
      <c r="B61" t="s">
        <v>1876</v>
      </c>
      <c r="K61" t="s">
        <v>1846</v>
      </c>
    </row>
    <row r="62" spans="1:16">
      <c r="A62" t="s">
        <v>1688</v>
      </c>
      <c r="B62" t="s">
        <v>1877</v>
      </c>
      <c r="K62" t="s">
        <v>1688</v>
      </c>
    </row>
    <row r="63" spans="1:16">
      <c r="A63" t="s">
        <v>1691</v>
      </c>
      <c r="B63" t="s">
        <v>1878</v>
      </c>
      <c r="K63" t="s">
        <v>1691</v>
      </c>
    </row>
    <row r="64" spans="1:16">
      <c r="A64" t="s">
        <v>1847</v>
      </c>
      <c r="B64" t="s">
        <v>1809</v>
      </c>
      <c r="K64" t="s">
        <v>1847</v>
      </c>
    </row>
    <row r="65" spans="1:12">
      <c r="A65" t="s">
        <v>1848</v>
      </c>
      <c r="B65" t="s">
        <v>1783</v>
      </c>
      <c r="K65" t="s">
        <v>1848</v>
      </c>
    </row>
    <row r="66" spans="1:12">
      <c r="A66" t="s">
        <v>1849</v>
      </c>
      <c r="B66" t="s">
        <v>1784</v>
      </c>
      <c r="K66" t="s">
        <v>1849</v>
      </c>
    </row>
    <row r="67" spans="1:12">
      <c r="A67" t="s">
        <v>1850</v>
      </c>
      <c r="B67" t="s">
        <v>1810</v>
      </c>
      <c r="K67" t="s">
        <v>1850</v>
      </c>
    </row>
    <row r="68" spans="1:12">
      <c r="A68" t="s">
        <v>1851</v>
      </c>
      <c r="B68" t="s">
        <v>1785</v>
      </c>
      <c r="K68" t="s">
        <v>1851</v>
      </c>
    </row>
    <row r="69" spans="1:12">
      <c r="A69" t="s">
        <v>1852</v>
      </c>
      <c r="B69" t="s">
        <v>1786</v>
      </c>
      <c r="K69" t="s">
        <v>1852</v>
      </c>
    </row>
    <row r="70" spans="1:12">
      <c r="A70" t="s">
        <v>1923</v>
      </c>
      <c r="B70" t="s">
        <v>1925</v>
      </c>
      <c r="C70">
        <v>11.1</v>
      </c>
      <c r="K70" t="s">
        <v>1923</v>
      </c>
      <c r="L70">
        <v>20</v>
      </c>
    </row>
    <row r="71" spans="1:12">
      <c r="A71" t="s">
        <v>1956</v>
      </c>
      <c r="B71" t="s">
        <v>1926</v>
      </c>
      <c r="C71">
        <v>11.1</v>
      </c>
      <c r="K71" t="s">
        <v>1956</v>
      </c>
      <c r="L71">
        <v>20</v>
      </c>
    </row>
    <row r="72" spans="1:12">
      <c r="A72" t="s">
        <v>1740</v>
      </c>
      <c r="B72" t="s">
        <v>1791</v>
      </c>
      <c r="C72">
        <v>11.1</v>
      </c>
      <c r="K72" t="s">
        <v>2096</v>
      </c>
    </row>
    <row r="73" spans="1:12">
      <c r="A73" t="s">
        <v>1741</v>
      </c>
      <c r="B73" t="s">
        <v>1788</v>
      </c>
      <c r="K73" t="s">
        <v>2097</v>
      </c>
      <c r="L73">
        <v>20</v>
      </c>
    </row>
    <row r="74" spans="1:12">
      <c r="A74" t="s">
        <v>1742</v>
      </c>
      <c r="B74" t="s">
        <v>1787</v>
      </c>
      <c r="K74" t="s">
        <v>1741</v>
      </c>
    </row>
    <row r="75" spans="1:12">
      <c r="A75" t="s">
        <v>1743</v>
      </c>
      <c r="B75" t="s">
        <v>1792</v>
      </c>
      <c r="C75">
        <v>11.1</v>
      </c>
      <c r="K75" t="s">
        <v>1742</v>
      </c>
    </row>
    <row r="76" spans="1:12">
      <c r="A76" t="s">
        <v>1744</v>
      </c>
      <c r="B76" t="s">
        <v>1790</v>
      </c>
      <c r="K76" t="s">
        <v>2098</v>
      </c>
    </row>
    <row r="77" spans="1:12">
      <c r="A77" t="s">
        <v>1745</v>
      </c>
      <c r="B77" t="s">
        <v>1789</v>
      </c>
      <c r="K77" t="s">
        <v>2099</v>
      </c>
      <c r="L77">
        <v>20</v>
      </c>
    </row>
    <row r="78" spans="1:12">
      <c r="A78" t="s">
        <v>1957</v>
      </c>
      <c r="B78" t="s">
        <v>1968</v>
      </c>
      <c r="K78" t="s">
        <v>1744</v>
      </c>
    </row>
    <row r="79" spans="1:12">
      <c r="A79" t="s">
        <v>1958</v>
      </c>
      <c r="B79" t="s">
        <v>1969</v>
      </c>
      <c r="K79" t="s">
        <v>1745</v>
      </c>
    </row>
    <row r="80" spans="1:12">
      <c r="A80" t="s">
        <v>1959</v>
      </c>
      <c r="B80" t="s">
        <v>1970</v>
      </c>
      <c r="C80">
        <v>11.1</v>
      </c>
      <c r="K80" t="s">
        <v>1957</v>
      </c>
      <c r="L80">
        <v>20</v>
      </c>
    </row>
    <row r="81" spans="1:12">
      <c r="A81" t="s">
        <v>1960</v>
      </c>
      <c r="B81" t="s">
        <v>1971</v>
      </c>
      <c r="K81" t="s">
        <v>1958</v>
      </c>
      <c r="L81">
        <v>20</v>
      </c>
    </row>
    <row r="82" spans="1:12">
      <c r="A82" t="s">
        <v>1961</v>
      </c>
      <c r="B82" t="s">
        <v>1927</v>
      </c>
      <c r="C82">
        <v>12</v>
      </c>
      <c r="K82" t="s">
        <v>1959</v>
      </c>
      <c r="L82">
        <v>20</v>
      </c>
    </row>
    <row r="83" spans="1:12">
      <c r="A83" t="s">
        <v>1746</v>
      </c>
      <c r="B83" t="s">
        <v>1793</v>
      </c>
      <c r="C83">
        <v>12</v>
      </c>
      <c r="K83" t="s">
        <v>1960</v>
      </c>
      <c r="L83">
        <v>20</v>
      </c>
    </row>
    <row r="84" spans="1:12">
      <c r="A84" t="s">
        <v>1747</v>
      </c>
      <c r="B84" t="s">
        <v>1795</v>
      </c>
      <c r="K84" t="s">
        <v>1961</v>
      </c>
      <c r="L84">
        <v>22</v>
      </c>
    </row>
    <row r="85" spans="1:12">
      <c r="A85" t="s">
        <v>1748</v>
      </c>
      <c r="B85" t="s">
        <v>1794</v>
      </c>
      <c r="K85" t="s">
        <v>2100</v>
      </c>
    </row>
    <row r="86" spans="1:12">
      <c r="A86" t="s">
        <v>1853</v>
      </c>
      <c r="B86" t="s">
        <v>1797</v>
      </c>
      <c r="C86">
        <v>12</v>
      </c>
      <c r="K86" t="s">
        <v>2101</v>
      </c>
      <c r="L86">
        <v>22</v>
      </c>
    </row>
    <row r="87" spans="1:12">
      <c r="A87" t="s">
        <v>1749</v>
      </c>
      <c r="B87" t="s">
        <v>1796</v>
      </c>
      <c r="K87" t="s">
        <v>1747</v>
      </c>
    </row>
    <row r="88" spans="1:12">
      <c r="A88" t="s">
        <v>1924</v>
      </c>
      <c r="B88" t="s">
        <v>1928</v>
      </c>
      <c r="C88">
        <v>11</v>
      </c>
      <c r="K88" t="s">
        <v>1748</v>
      </c>
    </row>
    <row r="89" spans="1:12">
      <c r="A89" t="s">
        <v>1962</v>
      </c>
      <c r="B89" t="s">
        <v>1929</v>
      </c>
      <c r="C89">
        <v>11</v>
      </c>
      <c r="K89" t="s">
        <v>1853</v>
      </c>
      <c r="L89">
        <v>22</v>
      </c>
    </row>
    <row r="90" spans="1:12">
      <c r="A90" t="s">
        <v>1750</v>
      </c>
      <c r="B90" t="s">
        <v>1798</v>
      </c>
      <c r="C90">
        <v>11</v>
      </c>
      <c r="K90" t="s">
        <v>1749</v>
      </c>
      <c r="L90">
        <v>22</v>
      </c>
    </row>
    <row r="91" spans="1:12">
      <c r="A91" t="s">
        <v>1751</v>
      </c>
      <c r="B91" t="s">
        <v>1800</v>
      </c>
      <c r="K91" t="s">
        <v>1924</v>
      </c>
      <c r="L91">
        <v>21</v>
      </c>
    </row>
    <row r="92" spans="1:12">
      <c r="A92" t="s">
        <v>1752</v>
      </c>
      <c r="B92" t="s">
        <v>1799</v>
      </c>
      <c r="K92" t="s">
        <v>1962</v>
      </c>
      <c r="L92">
        <v>21</v>
      </c>
    </row>
    <row r="93" spans="1:12">
      <c r="A93" t="s">
        <v>1753</v>
      </c>
      <c r="B93" t="s">
        <v>1801</v>
      </c>
      <c r="C93">
        <v>11</v>
      </c>
      <c r="K93" t="s">
        <v>2102</v>
      </c>
    </row>
    <row r="94" spans="1:12">
      <c r="A94" t="s">
        <v>1754</v>
      </c>
      <c r="B94" t="s">
        <v>1803</v>
      </c>
      <c r="K94" t="s">
        <v>2103</v>
      </c>
      <c r="L94">
        <v>21</v>
      </c>
    </row>
    <row r="95" spans="1:12">
      <c r="A95" t="s">
        <v>1755</v>
      </c>
      <c r="B95" t="s">
        <v>1802</v>
      </c>
      <c r="K95" t="s">
        <v>1751</v>
      </c>
    </row>
    <row r="96" spans="1:12">
      <c r="A96" t="s">
        <v>1963</v>
      </c>
      <c r="B96" t="s">
        <v>1972</v>
      </c>
      <c r="K96" t="s">
        <v>1752</v>
      </c>
    </row>
    <row r="97" spans="1:12">
      <c r="A97" t="s">
        <v>1964</v>
      </c>
      <c r="B97" t="s">
        <v>1973</v>
      </c>
      <c r="K97" t="s">
        <v>2104</v>
      </c>
    </row>
    <row r="98" spans="1:12">
      <c r="A98" t="s">
        <v>1965</v>
      </c>
      <c r="B98" t="s">
        <v>1974</v>
      </c>
      <c r="C98">
        <v>11</v>
      </c>
      <c r="K98" t="s">
        <v>2105</v>
      </c>
      <c r="L98">
        <v>21</v>
      </c>
    </row>
    <row r="99" spans="1:12">
      <c r="A99" t="s">
        <v>1966</v>
      </c>
      <c r="B99" t="s">
        <v>1975</v>
      </c>
      <c r="K99" t="s">
        <v>1754</v>
      </c>
    </row>
    <row r="100" spans="1:12">
      <c r="A100" t="s">
        <v>1967</v>
      </c>
      <c r="B100" t="s">
        <v>1930</v>
      </c>
      <c r="C100">
        <v>13</v>
      </c>
      <c r="K100" t="s">
        <v>1755</v>
      </c>
    </row>
    <row r="101" spans="1:12">
      <c r="A101" t="s">
        <v>1756</v>
      </c>
      <c r="B101" t="s">
        <v>1804</v>
      </c>
      <c r="C101">
        <v>13</v>
      </c>
      <c r="K101" t="s">
        <v>1963</v>
      </c>
      <c r="L101">
        <v>21</v>
      </c>
    </row>
    <row r="102" spans="1:12">
      <c r="A102" t="s">
        <v>1757</v>
      </c>
      <c r="B102" t="s">
        <v>1806</v>
      </c>
      <c r="K102" t="s">
        <v>1964</v>
      </c>
      <c r="L102">
        <v>21</v>
      </c>
    </row>
    <row r="103" spans="1:12">
      <c r="A103" t="s">
        <v>1758</v>
      </c>
      <c r="B103" t="s">
        <v>1805</v>
      </c>
      <c r="K103" t="s">
        <v>1965</v>
      </c>
      <c r="L103">
        <v>21</v>
      </c>
    </row>
    <row r="104" spans="1:12">
      <c r="A104" t="s">
        <v>1854</v>
      </c>
      <c r="B104" t="s">
        <v>1807</v>
      </c>
      <c r="C104">
        <v>13</v>
      </c>
      <c r="K104" t="s">
        <v>1966</v>
      </c>
      <c r="L104">
        <v>21</v>
      </c>
    </row>
    <row r="105" spans="1:12">
      <c r="A105" t="s">
        <v>1759</v>
      </c>
      <c r="B105" t="s">
        <v>1808</v>
      </c>
      <c r="K105" t="s">
        <v>1967</v>
      </c>
      <c r="L105">
        <v>23</v>
      </c>
    </row>
    <row r="106" spans="1:12">
      <c r="K106" t="s">
        <v>2106</v>
      </c>
    </row>
    <row r="107" spans="1:12">
      <c r="K107" t="s">
        <v>2107</v>
      </c>
      <c r="L107">
        <v>23</v>
      </c>
    </row>
    <row r="108" spans="1:12">
      <c r="K108" t="s">
        <v>1757</v>
      </c>
    </row>
    <row r="109" spans="1:12">
      <c r="K109" t="s">
        <v>1758</v>
      </c>
    </row>
    <row r="110" spans="1:12">
      <c r="K110" t="s">
        <v>1854</v>
      </c>
      <c r="L110">
        <v>23</v>
      </c>
    </row>
    <row r="111" spans="1:12">
      <c r="K111" t="s">
        <v>1759</v>
      </c>
      <c r="L111">
        <v>23</v>
      </c>
    </row>
    <row r="112" spans="1:12">
      <c r="K112" t="s">
        <v>1977</v>
      </c>
    </row>
    <row r="113" spans="11:12">
      <c r="K113" t="s">
        <v>1978</v>
      </c>
    </row>
    <row r="114" spans="11:12">
      <c r="K114" t="s">
        <v>1979</v>
      </c>
    </row>
    <row r="115" spans="11:12">
      <c r="K115" t="s">
        <v>1980</v>
      </c>
    </row>
    <row r="116" spans="11:12">
      <c r="K116" t="s">
        <v>1981</v>
      </c>
    </row>
    <row r="117" spans="11:12">
      <c r="K117" t="s">
        <v>1982</v>
      </c>
    </row>
    <row r="118" spans="11:12">
      <c r="K118" t="s">
        <v>1983</v>
      </c>
    </row>
    <row r="119" spans="11:12">
      <c r="K119" t="s">
        <v>1984</v>
      </c>
    </row>
    <row r="120" spans="11:12">
      <c r="K120" t="s">
        <v>1985</v>
      </c>
    </row>
    <row r="121" spans="11:12">
      <c r="K121" t="s">
        <v>1986</v>
      </c>
      <c r="L121">
        <v>20</v>
      </c>
    </row>
    <row r="122" spans="11:12">
      <c r="K122" t="s">
        <v>1987</v>
      </c>
      <c r="L122">
        <v>20</v>
      </c>
    </row>
    <row r="123" spans="11:12">
      <c r="K123" t="s">
        <v>1988</v>
      </c>
      <c r="L123">
        <v>21</v>
      </c>
    </row>
    <row r="124" spans="11:12">
      <c r="K124" t="s">
        <v>1989</v>
      </c>
      <c r="L124">
        <v>21</v>
      </c>
    </row>
    <row r="125" spans="11:12">
      <c r="K125" t="s">
        <v>1990</v>
      </c>
    </row>
    <row r="126" spans="11:12">
      <c r="K126" t="s">
        <v>1991</v>
      </c>
    </row>
    <row r="127" spans="11:12">
      <c r="K127" t="s">
        <v>1992</v>
      </c>
    </row>
    <row r="128" spans="11:12">
      <c r="K128" t="s">
        <v>1993</v>
      </c>
    </row>
    <row r="129" spans="11:12">
      <c r="K129" t="s">
        <v>1994</v>
      </c>
      <c r="L129">
        <v>20</v>
      </c>
    </row>
    <row r="130" spans="11:12">
      <c r="K130" t="s">
        <v>1995</v>
      </c>
      <c r="L130">
        <v>20</v>
      </c>
    </row>
    <row r="131" spans="11:12">
      <c r="K131" t="s">
        <v>1996</v>
      </c>
      <c r="L131">
        <v>21</v>
      </c>
    </row>
    <row r="132" spans="11:12">
      <c r="K132" t="s">
        <v>1997</v>
      </c>
      <c r="L132">
        <v>21</v>
      </c>
    </row>
    <row r="133" spans="11:12">
      <c r="K133" t="s">
        <v>1998</v>
      </c>
    </row>
    <row r="134" spans="11:12">
      <c r="K134" t="s">
        <v>1999</v>
      </c>
    </row>
    <row r="135" spans="11:12">
      <c r="K135" t="s">
        <v>2000</v>
      </c>
    </row>
    <row r="136" spans="11:12">
      <c r="K136" t="s">
        <v>2001</v>
      </c>
    </row>
    <row r="137" spans="11:12">
      <c r="K137" t="s">
        <v>2002</v>
      </c>
      <c r="L137">
        <v>20</v>
      </c>
    </row>
    <row r="138" spans="11:12">
      <c r="K138" t="s">
        <v>2003</v>
      </c>
      <c r="L138">
        <v>20</v>
      </c>
    </row>
    <row r="139" spans="11:12">
      <c r="K139" t="s">
        <v>2004</v>
      </c>
      <c r="L139">
        <v>21</v>
      </c>
    </row>
    <row r="140" spans="11:12">
      <c r="K140" t="s">
        <v>2005</v>
      </c>
      <c r="L140">
        <v>21</v>
      </c>
    </row>
    <row r="141" spans="11:12">
      <c r="K141" t="s">
        <v>2006</v>
      </c>
    </row>
    <row r="142" spans="11:12">
      <c r="K142" t="s">
        <v>2007</v>
      </c>
    </row>
    <row r="143" spans="11:12">
      <c r="K143" t="s">
        <v>2008</v>
      </c>
    </row>
    <row r="144" spans="11:12">
      <c r="K144" t="s">
        <v>2009</v>
      </c>
    </row>
    <row r="145" spans="11:12">
      <c r="K145" t="s">
        <v>2010</v>
      </c>
      <c r="L145">
        <v>20</v>
      </c>
    </row>
    <row r="146" spans="11:12">
      <c r="K146" t="s">
        <v>2011</v>
      </c>
      <c r="L146">
        <v>21</v>
      </c>
    </row>
    <row r="147" spans="11:12">
      <c r="K147" t="s">
        <v>2108</v>
      </c>
      <c r="L147">
        <v>20</v>
      </c>
    </row>
    <row r="148" spans="11:12">
      <c r="K148" t="s">
        <v>2109</v>
      </c>
      <c r="L148">
        <v>21</v>
      </c>
    </row>
    <row r="149" spans="11:12">
      <c r="K149" t="s">
        <v>2012</v>
      </c>
    </row>
    <row r="150" spans="11:12">
      <c r="K150" t="s">
        <v>2013</v>
      </c>
    </row>
    <row r="151" spans="11:12">
      <c r="K151" t="s">
        <v>2014</v>
      </c>
    </row>
    <row r="152" spans="11:12">
      <c r="K152" t="s">
        <v>2015</v>
      </c>
    </row>
    <row r="153" spans="11:12">
      <c r="K153" t="s">
        <v>2016</v>
      </c>
    </row>
    <row r="154" spans="11:12">
      <c r="K154" t="s">
        <v>2017</v>
      </c>
    </row>
    <row r="155" spans="11:12">
      <c r="K155" t="s">
        <v>2018</v>
      </c>
    </row>
    <row r="156" spans="11:12">
      <c r="K156" t="s">
        <v>2019</v>
      </c>
      <c r="L156">
        <v>22</v>
      </c>
    </row>
    <row r="157" spans="11:12">
      <c r="K157" t="s">
        <v>2020</v>
      </c>
      <c r="L157">
        <v>23</v>
      </c>
    </row>
    <row r="158" spans="11:12">
      <c r="K158" t="s">
        <v>2021</v>
      </c>
    </row>
    <row r="159" spans="11:12">
      <c r="K159" t="s">
        <v>2022</v>
      </c>
    </row>
    <row r="160" spans="11:12">
      <c r="K160" t="s">
        <v>2023</v>
      </c>
      <c r="L160">
        <v>22</v>
      </c>
    </row>
    <row r="161" spans="11:12">
      <c r="K161" t="s">
        <v>2024</v>
      </c>
      <c r="L161">
        <v>23</v>
      </c>
    </row>
    <row r="162" spans="11:12">
      <c r="K162" t="s">
        <v>2025</v>
      </c>
    </row>
    <row r="163" spans="11:12">
      <c r="K163" t="s">
        <v>2026</v>
      </c>
    </row>
    <row r="164" spans="11:12">
      <c r="K164" t="s">
        <v>2027</v>
      </c>
      <c r="L164">
        <v>22</v>
      </c>
    </row>
    <row r="165" spans="11:12">
      <c r="K165" t="s">
        <v>2028</v>
      </c>
      <c r="L165">
        <v>23</v>
      </c>
    </row>
    <row r="166" spans="11:12">
      <c r="K166" t="s">
        <v>2029</v>
      </c>
    </row>
    <row r="167" spans="11:12">
      <c r="K167" t="s">
        <v>2030</v>
      </c>
    </row>
    <row r="168" spans="11:12">
      <c r="K168" t="s">
        <v>2031</v>
      </c>
      <c r="L168">
        <v>22</v>
      </c>
    </row>
    <row r="169" spans="11:12">
      <c r="K169" t="s">
        <v>2032</v>
      </c>
      <c r="L169">
        <v>23</v>
      </c>
    </row>
    <row r="170" spans="11:12">
      <c r="K170" t="s">
        <v>2110</v>
      </c>
    </row>
    <row r="171" spans="11:12">
      <c r="K171" t="s">
        <v>2111</v>
      </c>
    </row>
    <row r="172" spans="11:12">
      <c r="K172" t="s">
        <v>2112</v>
      </c>
    </row>
    <row r="173" spans="11:12">
      <c r="K173" t="s">
        <v>2113</v>
      </c>
    </row>
    <row r="174" spans="11:12">
      <c r="K174" t="s">
        <v>2114</v>
      </c>
    </row>
    <row r="175" spans="11:12">
      <c r="K175" t="s">
        <v>2115</v>
      </c>
    </row>
    <row r="176" spans="11:12">
      <c r="K176" t="s">
        <v>2116</v>
      </c>
    </row>
    <row r="177" spans="11:12">
      <c r="K177" t="s">
        <v>2117</v>
      </c>
    </row>
    <row r="178" spans="11:12">
      <c r="K178" t="s">
        <v>2118</v>
      </c>
    </row>
    <row r="179" spans="11:12">
      <c r="K179" t="s">
        <v>2119</v>
      </c>
      <c r="L179">
        <v>20</v>
      </c>
    </row>
    <row r="180" spans="11:12">
      <c r="K180" t="s">
        <v>2120</v>
      </c>
      <c r="L180">
        <v>20</v>
      </c>
    </row>
    <row r="181" spans="11:12">
      <c r="K181" t="s">
        <v>2121</v>
      </c>
      <c r="L181">
        <v>21</v>
      </c>
    </row>
    <row r="182" spans="11:12">
      <c r="K182" t="s">
        <v>2122</v>
      </c>
      <c r="L182">
        <v>21</v>
      </c>
    </row>
    <row r="183" spans="11:12">
      <c r="K183" t="s">
        <v>2123</v>
      </c>
    </row>
    <row r="184" spans="11:12">
      <c r="K184" t="s">
        <v>2124</v>
      </c>
    </row>
    <row r="185" spans="11:12">
      <c r="K185" t="s">
        <v>2125</v>
      </c>
    </row>
    <row r="186" spans="11:12">
      <c r="K186" t="s">
        <v>2126</v>
      </c>
    </row>
    <row r="187" spans="11:12">
      <c r="K187" t="s">
        <v>2127</v>
      </c>
      <c r="L187">
        <v>20</v>
      </c>
    </row>
    <row r="188" spans="11:12">
      <c r="K188" t="s">
        <v>2128</v>
      </c>
      <c r="L188">
        <v>20</v>
      </c>
    </row>
    <row r="189" spans="11:12">
      <c r="K189" t="s">
        <v>2129</v>
      </c>
      <c r="L189">
        <v>21</v>
      </c>
    </row>
    <row r="190" spans="11:12">
      <c r="K190" t="s">
        <v>2130</v>
      </c>
      <c r="L190">
        <v>21</v>
      </c>
    </row>
    <row r="191" spans="11:12">
      <c r="K191" t="s">
        <v>2131</v>
      </c>
    </row>
    <row r="192" spans="11:12">
      <c r="K192" t="s">
        <v>2132</v>
      </c>
    </row>
    <row r="193" spans="11:12">
      <c r="K193" t="s">
        <v>2133</v>
      </c>
    </row>
    <row r="194" spans="11:12">
      <c r="K194" t="s">
        <v>2134</v>
      </c>
    </row>
    <row r="195" spans="11:12">
      <c r="K195" t="s">
        <v>2135</v>
      </c>
      <c r="L195">
        <v>20</v>
      </c>
    </row>
    <row r="196" spans="11:12">
      <c r="K196" t="s">
        <v>2136</v>
      </c>
      <c r="L196">
        <v>20</v>
      </c>
    </row>
    <row r="197" spans="11:12">
      <c r="K197" t="s">
        <v>2137</v>
      </c>
      <c r="L197">
        <v>21</v>
      </c>
    </row>
    <row r="198" spans="11:12">
      <c r="K198" t="s">
        <v>2138</v>
      </c>
      <c r="L198">
        <v>21</v>
      </c>
    </row>
    <row r="199" spans="11:12">
      <c r="K199" t="s">
        <v>2139</v>
      </c>
    </row>
    <row r="200" spans="11:12">
      <c r="K200" t="s">
        <v>2140</v>
      </c>
    </row>
    <row r="201" spans="11:12">
      <c r="K201" t="s">
        <v>2141</v>
      </c>
    </row>
    <row r="202" spans="11:12">
      <c r="K202" t="s">
        <v>2142</v>
      </c>
    </row>
    <row r="203" spans="11:12">
      <c r="K203" t="s">
        <v>2143</v>
      </c>
      <c r="L203">
        <v>20</v>
      </c>
    </row>
    <row r="204" spans="11:12">
      <c r="K204" t="s">
        <v>2144</v>
      </c>
      <c r="L204">
        <v>21</v>
      </c>
    </row>
    <row r="205" spans="11:12">
      <c r="K205" t="s">
        <v>2145</v>
      </c>
      <c r="L205">
        <v>20</v>
      </c>
    </row>
    <row r="206" spans="11:12">
      <c r="K206" t="s">
        <v>2146</v>
      </c>
      <c r="L206">
        <v>21</v>
      </c>
    </row>
    <row r="207" spans="11:12">
      <c r="K207" t="s">
        <v>2147</v>
      </c>
    </row>
    <row r="208" spans="11:12">
      <c r="K208" t="s">
        <v>2148</v>
      </c>
    </row>
    <row r="209" spans="11:12">
      <c r="K209" t="s">
        <v>2149</v>
      </c>
    </row>
    <row r="210" spans="11:12">
      <c r="K210" t="s">
        <v>2150</v>
      </c>
    </row>
    <row r="211" spans="11:12">
      <c r="K211" t="s">
        <v>2151</v>
      </c>
    </row>
    <row r="212" spans="11:12">
      <c r="K212" t="s">
        <v>2152</v>
      </c>
    </row>
    <row r="213" spans="11:12">
      <c r="K213" t="s">
        <v>2153</v>
      </c>
    </row>
    <row r="214" spans="11:12">
      <c r="K214" t="s">
        <v>2154</v>
      </c>
      <c r="L214">
        <v>22</v>
      </c>
    </row>
    <row r="215" spans="11:12">
      <c r="K215" t="s">
        <v>2155</v>
      </c>
      <c r="L215">
        <v>23</v>
      </c>
    </row>
    <row r="216" spans="11:12">
      <c r="K216" t="s">
        <v>2156</v>
      </c>
    </row>
    <row r="217" spans="11:12">
      <c r="K217" t="s">
        <v>2157</v>
      </c>
    </row>
    <row r="218" spans="11:12">
      <c r="K218" t="s">
        <v>2158</v>
      </c>
      <c r="L218">
        <v>22</v>
      </c>
    </row>
    <row r="219" spans="11:12">
      <c r="K219" t="s">
        <v>2159</v>
      </c>
      <c r="L219">
        <v>23</v>
      </c>
    </row>
    <row r="220" spans="11:12">
      <c r="K220" t="s">
        <v>2160</v>
      </c>
    </row>
    <row r="221" spans="11:12">
      <c r="K221" t="s">
        <v>2161</v>
      </c>
    </row>
    <row r="222" spans="11:12">
      <c r="K222" t="s">
        <v>2162</v>
      </c>
      <c r="L222">
        <v>22</v>
      </c>
    </row>
    <row r="223" spans="11:12">
      <c r="K223" t="s">
        <v>2163</v>
      </c>
      <c r="L223">
        <v>23</v>
      </c>
    </row>
    <row r="224" spans="11:12">
      <c r="K224" t="s">
        <v>2164</v>
      </c>
    </row>
    <row r="225" spans="11:12">
      <c r="K225" t="s">
        <v>2165</v>
      </c>
    </row>
    <row r="226" spans="11:12">
      <c r="K226" t="s">
        <v>2166</v>
      </c>
      <c r="L226">
        <v>22</v>
      </c>
    </row>
    <row r="227" spans="11:12">
      <c r="K227" t="s">
        <v>2167</v>
      </c>
      <c r="L227">
        <v>23</v>
      </c>
    </row>
  </sheetData>
  <autoFilter ref="A1:P227" xr:uid="{E8075D8A-FD82-4A16-85AF-58FA38BF27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2D5-7AF5-4EAD-B72F-12355F127265}">
  <sheetPr codeName="Sheet12" filterMode="1"/>
  <dimension ref="A1:J59"/>
  <sheetViews>
    <sheetView tabSelected="1" topLeftCell="B1" workbookViewId="0">
      <selection activeCell="C66" sqref="C66"/>
    </sheetView>
  </sheetViews>
  <sheetFormatPr defaultRowHeight="15"/>
  <cols>
    <col min="2" max="2" width="16.28515625" customWidth="1"/>
    <col min="3" max="3" width="73.42578125" customWidth="1"/>
    <col min="4" max="4" width="25.140625" customWidth="1"/>
    <col min="5" max="5" width="29.42578125" customWidth="1"/>
    <col min="6" max="6" width="15" customWidth="1"/>
    <col min="8" max="8" width="16.5703125" style="21" customWidth="1"/>
    <col min="9" max="9" width="60.5703125" style="14" customWidth="1"/>
  </cols>
  <sheetData>
    <row r="1" spans="1:10">
      <c r="A1" t="s">
        <v>2709</v>
      </c>
      <c r="B1" t="s">
        <v>6</v>
      </c>
      <c r="C1" t="s">
        <v>2671</v>
      </c>
      <c r="D1" t="s">
        <v>2628</v>
      </c>
      <c r="E1" t="s">
        <v>2678</v>
      </c>
      <c r="F1" t="s">
        <v>2723</v>
      </c>
      <c r="G1" t="s">
        <v>2714</v>
      </c>
      <c r="H1" s="21" t="s">
        <v>2715</v>
      </c>
      <c r="I1" s="14" t="s">
        <v>2711</v>
      </c>
      <c r="J1" t="s">
        <v>2712</v>
      </c>
    </row>
    <row r="2" spans="1:10" hidden="1">
      <c r="A2" t="s">
        <v>758</v>
      </c>
      <c r="B2" t="s">
        <v>2847</v>
      </c>
      <c r="C2" t="s">
        <v>2673</v>
      </c>
      <c r="D2" t="s">
        <v>2674</v>
      </c>
      <c r="E2" s="36" t="s">
        <v>2672</v>
      </c>
      <c r="F2" s="14"/>
      <c r="H2" s="21" t="s">
        <v>2713</v>
      </c>
      <c r="I2" s="14" t="str">
        <f t="shared" ref="I2:I7" si="0">E2 &amp; F2 &amp;  "\" &amp; C2</f>
        <v>C:\Users\gina\OneDrive - sbw consulting\cpuc10\create_ciac_2018_report_data_files.py</v>
      </c>
      <c r="J2" t="str">
        <f>H2&amp;G2</f>
        <v>C:\Users\gina\OneDrive - sbw consulting\deliverables\GroupD_CIAC2018</v>
      </c>
    </row>
    <row r="3" spans="1:10" hidden="1">
      <c r="A3" t="s">
        <v>758</v>
      </c>
      <c r="B3" t="s">
        <v>2847</v>
      </c>
      <c r="C3" t="s">
        <v>2675</v>
      </c>
      <c r="D3" t="s">
        <v>2676</v>
      </c>
      <c r="E3" s="14" t="str">
        <f>$E$2</f>
        <v>C:\Users\gina\OneDrive - sbw consulting\cpuc10</v>
      </c>
      <c r="F3" s="14"/>
      <c r="H3" s="21" t="s">
        <v>2713</v>
      </c>
      <c r="I3" s="14" t="str">
        <f t="shared" si="0"/>
        <v>C:\Users\gina\OneDrive - sbw consulting\cpuc10\generate_tables.py</v>
      </c>
      <c r="J3" t="str">
        <f t="shared" ref="J3:J29" si="1">H3&amp;G3</f>
        <v>C:\Users\gina\OneDrive - sbw consulting\deliverables\GroupD_CIAC2018</v>
      </c>
    </row>
    <row r="4" spans="1:10" hidden="1">
      <c r="A4" t="s">
        <v>758</v>
      </c>
      <c r="B4" t="s">
        <v>2847</v>
      </c>
      <c r="C4" t="s">
        <v>2681</v>
      </c>
      <c r="D4" t="s">
        <v>2680</v>
      </c>
      <c r="E4" s="14" t="s">
        <v>2679</v>
      </c>
      <c r="F4" s="14"/>
      <c r="H4" s="21" t="s">
        <v>2713</v>
      </c>
      <c r="I4" s="14" t="str">
        <f t="shared" si="0"/>
        <v>Z:\Favorites\CPUC10 (Group D - Custom EM&amp;V)\4 Deliverables\11 - Draft and Final Evaluation Reports\CIAC 2018\Design\GroupD-D11.01-CIAC 2018 Ex Post Evaluation -Design.xlsx</v>
      </c>
      <c r="J4" t="str">
        <f t="shared" si="1"/>
        <v>C:\Users\gina\OneDrive - sbw consulting\deliverables\GroupD_CIAC2018</v>
      </c>
    </row>
    <row r="5" spans="1:10" hidden="1">
      <c r="A5" t="s">
        <v>758</v>
      </c>
      <c r="B5" t="s">
        <v>2847</v>
      </c>
      <c r="C5" t="s">
        <v>2688</v>
      </c>
      <c r="D5" t="s">
        <v>2687</v>
      </c>
      <c r="E5" s="14" t="s">
        <v>2679</v>
      </c>
      <c r="F5" s="14"/>
      <c r="H5" s="21" t="s">
        <v>2713</v>
      </c>
      <c r="I5" s="14" t="str">
        <f t="shared" si="0"/>
        <v>Z:\Favorites\CPUC10 (Group D - Custom EM&amp;V)\4 Deliverables\11 - Draft and Final Evaluation Reports\CIAC 2018\Design\DataSourceDef.xlsx</v>
      </c>
      <c r="J5" t="str">
        <f t="shared" si="1"/>
        <v>C:\Users\gina\OneDrive - sbw consulting\deliverables\GroupD_CIAC2018</v>
      </c>
    </row>
    <row r="6" spans="1:10" hidden="1">
      <c r="A6" t="s">
        <v>758</v>
      </c>
      <c r="B6" t="s">
        <v>2847</v>
      </c>
      <c r="C6" t="s">
        <v>2682</v>
      </c>
      <c r="D6" t="s">
        <v>2677</v>
      </c>
      <c r="E6" s="14" t="s">
        <v>2679</v>
      </c>
      <c r="F6" s="14"/>
      <c r="H6" s="21" t="s">
        <v>2713</v>
      </c>
      <c r="I6" s="14" t="str">
        <f t="shared" si="0"/>
        <v>Z:\Favorites\CPUC10 (Group D - Custom EM&amp;V)\4 Deliverables\11 - Draft and Final Evaluation Reports\CIAC 2018\Design\generate_tables_driver.xlsx</v>
      </c>
      <c r="J6" t="str">
        <f t="shared" si="1"/>
        <v>C:\Users\gina\OneDrive - sbw consulting\deliverables\GroupD_CIAC2018</v>
      </c>
    </row>
    <row r="7" spans="1:10" hidden="1">
      <c r="A7" t="s">
        <v>758</v>
      </c>
      <c r="B7" t="s">
        <v>2847</v>
      </c>
      <c r="C7" t="s">
        <v>2708</v>
      </c>
      <c r="D7" t="s">
        <v>2690</v>
      </c>
      <c r="E7" s="14" t="str">
        <f>$E$2</f>
        <v>C:\Users\gina\OneDrive - sbw consulting\cpuc10</v>
      </c>
      <c r="F7" s="14"/>
      <c r="H7" s="21" t="s">
        <v>2713</v>
      </c>
      <c r="I7" s="14" t="str">
        <f t="shared" si="0"/>
        <v>C:\Users\gina\OneDrive - sbw consulting\cpuc10\read_table_spec.py</v>
      </c>
      <c r="J7" t="str">
        <f t="shared" si="1"/>
        <v>C:\Users\gina\OneDrive - sbw consulting\deliverables\GroupD_CIAC2018</v>
      </c>
    </row>
    <row r="8" spans="1:10" hidden="1">
      <c r="A8" t="s">
        <v>758</v>
      </c>
      <c r="B8" t="s">
        <v>2847</v>
      </c>
      <c r="C8" t="s">
        <v>2719</v>
      </c>
      <c r="E8" s="14" t="str">
        <f t="shared" ref="E8:E11" si="2">$E$2</f>
        <v>C:\Users\gina\OneDrive - sbw consulting\cpuc10</v>
      </c>
      <c r="F8" s="14" t="s">
        <v>2718</v>
      </c>
      <c r="G8" t="s">
        <v>2718</v>
      </c>
      <c r="H8" s="21" t="s">
        <v>2713</v>
      </c>
      <c r="I8" s="14" t="str">
        <f>E8 &amp; F8 &amp;  "\" &amp; C8</f>
        <v>C:\Users\gina\OneDrive - sbw consulting\cpuc10\cpuc\plots.py</v>
      </c>
      <c r="J8" t="str">
        <f t="shared" si="1"/>
        <v>C:\Users\gina\OneDrive - sbw consulting\deliverables\GroupD_CIAC2018\cpuc</v>
      </c>
    </row>
    <row r="9" spans="1:10" hidden="1">
      <c r="A9" t="s">
        <v>758</v>
      </c>
      <c r="B9" t="s">
        <v>2847</v>
      </c>
      <c r="C9" t="s">
        <v>2720</v>
      </c>
      <c r="E9" s="14" t="str">
        <f t="shared" si="2"/>
        <v>C:\Users\gina\OneDrive - sbw consulting\cpuc10</v>
      </c>
      <c r="F9" s="14" t="s">
        <v>2718</v>
      </c>
      <c r="G9" t="s">
        <v>2718</v>
      </c>
      <c r="H9" s="21" t="s">
        <v>2713</v>
      </c>
      <c r="I9" s="14" t="str">
        <f t="shared" ref="I9:I11" si="3">E9 &amp; F9 &amp;  "\" &amp; C9</f>
        <v>C:\Users\gina\OneDrive - sbw consulting\cpuc10\cpuc\tables.py</v>
      </c>
      <c r="J9" t="str">
        <f t="shared" si="1"/>
        <v>C:\Users\gina\OneDrive - sbw consulting\deliverables\GroupD_CIAC2018\cpuc</v>
      </c>
    </row>
    <row r="10" spans="1:10" hidden="1">
      <c r="A10" t="s">
        <v>758</v>
      </c>
      <c r="B10" t="s">
        <v>2847</v>
      </c>
      <c r="C10" t="s">
        <v>2721</v>
      </c>
      <c r="E10" s="14" t="str">
        <f t="shared" si="2"/>
        <v>C:\Users\gina\OneDrive - sbw consulting\cpuc10</v>
      </c>
      <c r="F10" s="14" t="s">
        <v>2718</v>
      </c>
      <c r="G10" t="s">
        <v>2718</v>
      </c>
      <c r="H10" s="21" t="s">
        <v>2713</v>
      </c>
      <c r="I10" s="14" t="str">
        <f t="shared" si="3"/>
        <v>C:\Users\gina\OneDrive - sbw consulting\cpuc10\cpuc\params.py</v>
      </c>
      <c r="J10" t="str">
        <f t="shared" si="1"/>
        <v>C:\Users\gina\OneDrive - sbw consulting\deliverables\GroupD_CIAC2018\cpuc</v>
      </c>
    </row>
    <row r="11" spans="1:10" hidden="1">
      <c r="A11" t="s">
        <v>758</v>
      </c>
      <c r="B11" t="s">
        <v>2847</v>
      </c>
      <c r="C11" t="s">
        <v>2722</v>
      </c>
      <c r="E11" s="14" t="str">
        <f t="shared" si="2"/>
        <v>C:\Users\gina\OneDrive - sbw consulting\cpuc10</v>
      </c>
      <c r="F11" s="14" t="s">
        <v>2718</v>
      </c>
      <c r="G11" t="s">
        <v>2718</v>
      </c>
      <c r="H11" s="21" t="s">
        <v>2713</v>
      </c>
      <c r="I11" s="14" t="str">
        <f t="shared" si="3"/>
        <v>C:\Users\gina\OneDrive - sbw consulting\cpuc10\cpuc\utility.py</v>
      </c>
      <c r="J11" t="str">
        <f t="shared" si="1"/>
        <v>C:\Users\gina\OneDrive - sbw consulting\deliverables\GroupD_CIAC2018\cpuc</v>
      </c>
    </row>
    <row r="12" spans="1:10" hidden="1">
      <c r="A12" t="s">
        <v>758</v>
      </c>
      <c r="B12" t="s">
        <v>2847</v>
      </c>
      <c r="C12" t="s">
        <v>2685</v>
      </c>
      <c r="D12" t="s">
        <v>2683</v>
      </c>
      <c r="E12" s="14" t="s">
        <v>2724</v>
      </c>
      <c r="G12" t="s">
        <v>2716</v>
      </c>
      <c r="H12" s="21" t="s">
        <v>2713</v>
      </c>
      <c r="I12" s="14" t="str">
        <f t="shared" ref="I12:I58" si="4">E12 &amp; F12 &amp;  "\" &amp; C12</f>
        <v>Z:\Favorites\CPUC10 (Group D - Custom EM&amp;V)\4 Deliverables\09 - Ex-Post Evaluated Gross Savings Estimates\CIAC\2018 Evaluation\Extrapolation\extrapolator_gross.R</v>
      </c>
      <c r="J12" t="str">
        <f t="shared" si="1"/>
        <v>C:\Users\gina\OneDrive - sbw consulting\deliverables\GroupD_CIAC2018\rfiles</v>
      </c>
    </row>
    <row r="13" spans="1:10" hidden="1">
      <c r="A13" t="s">
        <v>758</v>
      </c>
      <c r="B13" t="s">
        <v>2847</v>
      </c>
      <c r="C13" t="s">
        <v>2686</v>
      </c>
      <c r="D13" t="s">
        <v>2684</v>
      </c>
      <c r="E13" s="14" t="s">
        <v>2724</v>
      </c>
      <c r="G13" t="s">
        <v>2716</v>
      </c>
      <c r="H13" s="21" t="s">
        <v>2713</v>
      </c>
      <c r="I13" s="14" t="str">
        <f t="shared" si="4"/>
        <v>Z:\Favorites\CPUC10 (Group D - Custom EM&amp;V)\4 Deliverables\09 - Ex-Post Evaluated Gross Savings Estimates\CIAC\2018 Evaluation\Extrapolation\extrapolator_net.R</v>
      </c>
      <c r="J13" t="str">
        <f t="shared" si="1"/>
        <v>C:\Users\gina\OneDrive - sbw consulting\deliverables\GroupD_CIAC2018\rfiles</v>
      </c>
    </row>
    <row r="14" spans="1:10" hidden="1">
      <c r="A14" t="s">
        <v>758</v>
      </c>
      <c r="B14" t="s">
        <v>2847</v>
      </c>
      <c r="C14" t="s">
        <v>2689</v>
      </c>
      <c r="D14" t="s">
        <v>2690</v>
      </c>
      <c r="E14" s="14" t="s">
        <v>2724</v>
      </c>
      <c r="G14" t="s">
        <v>2716</v>
      </c>
      <c r="H14" s="21" t="s">
        <v>2713</v>
      </c>
      <c r="I14" s="14" t="str">
        <f t="shared" si="4"/>
        <v>Z:\Favorites\CPUC10 (Group D - Custom EM&amp;V)\4 Deliverables\09 - Ex-Post Evaluated Gross Savings Estimates\CIAC\2018 Evaluation\Extrapolation\Strat_mean_estimator.R</v>
      </c>
      <c r="J14" t="str">
        <f t="shared" si="1"/>
        <v>C:\Users\gina\OneDrive - sbw consulting\deliverables\GroupD_CIAC2018\rfiles</v>
      </c>
    </row>
    <row r="15" spans="1:10" hidden="1">
      <c r="A15" t="s">
        <v>758</v>
      </c>
      <c r="B15" t="s">
        <v>2847</v>
      </c>
      <c r="C15" t="s">
        <v>2691</v>
      </c>
      <c r="D15" t="s">
        <v>2690</v>
      </c>
      <c r="E15" s="14" t="s">
        <v>2724</v>
      </c>
      <c r="G15" t="s">
        <v>2716</v>
      </c>
      <c r="H15" s="21" t="s">
        <v>2713</v>
      </c>
      <c r="I15" s="14" t="str">
        <f t="shared" si="4"/>
        <v>Z:\Favorites\CPUC10 (Group D - Custom EM&amp;V)\4 Deliverables\09 - Ex-Post Evaluated Gross Savings Estimates\CIAC\2018 Evaluation\Extrapolation\Strat_ratio_estimator.R</v>
      </c>
      <c r="J15" t="str">
        <f t="shared" si="1"/>
        <v>C:\Users\gina\OneDrive - sbw consulting\deliverables\GroupD_CIAC2018\rfiles</v>
      </c>
    </row>
    <row r="16" spans="1:10" hidden="1">
      <c r="A16" t="s">
        <v>758</v>
      </c>
      <c r="B16" t="s">
        <v>2847</v>
      </c>
      <c r="C16" t="s">
        <v>2693</v>
      </c>
      <c r="D16" t="s">
        <v>2692</v>
      </c>
      <c r="E16" t="s">
        <v>2707</v>
      </c>
      <c r="G16" t="s">
        <v>2717</v>
      </c>
      <c r="H16" s="21" t="s">
        <v>2713</v>
      </c>
      <c r="I16" s="14" t="str">
        <f t="shared" si="4"/>
        <v>Z:\Favorites\CPUC10 (Group D - Custom EM&amp;V)\4 Deliverables\10 - Ex Post Evaluated Net Savings Estimates\Data Collection and Processing\Data Processing\CIAC Basic and Standard Survey Data Cleaning_v4.do</v>
      </c>
      <c r="J16" t="str">
        <f t="shared" si="1"/>
        <v>C:\Users\gina\OneDrive - sbw consulting\deliverables\GroupD_CIAC2018\net</v>
      </c>
    </row>
    <row r="17" spans="1:10" hidden="1">
      <c r="A17" t="s">
        <v>758</v>
      </c>
      <c r="B17" t="s">
        <v>2847</v>
      </c>
      <c r="C17" t="s">
        <v>2694</v>
      </c>
      <c r="D17" t="s">
        <v>2692</v>
      </c>
      <c r="E17" t="s">
        <v>2707</v>
      </c>
      <c r="G17" t="s">
        <v>2717</v>
      </c>
      <c r="H17" s="21" t="s">
        <v>2713</v>
      </c>
      <c r="I17" s="14" t="str">
        <f t="shared" si="4"/>
        <v>Z:\Favorites\CPUC10 (Group D - Custom EM&amp;V)\4 Deliverables\10 - Ex Post Evaluated Net Savings Estimates\Data Collection and Processing\Data Processing\CIAC Basic and Standard Survey Labels.do</v>
      </c>
      <c r="J17" t="str">
        <f t="shared" si="1"/>
        <v>C:\Users\gina\OneDrive - sbw consulting\deliverables\GroupD_CIAC2018\net</v>
      </c>
    </row>
    <row r="18" spans="1:10" hidden="1">
      <c r="A18" t="s">
        <v>758</v>
      </c>
      <c r="B18" t="s">
        <v>2847</v>
      </c>
      <c r="C18" t="s">
        <v>2695</v>
      </c>
      <c r="D18" t="s">
        <v>2692</v>
      </c>
      <c r="E18" t="s">
        <v>2707</v>
      </c>
      <c r="G18" t="s">
        <v>2717</v>
      </c>
      <c r="H18" s="21" t="s">
        <v>2713</v>
      </c>
      <c r="I18" s="14" t="str">
        <f t="shared" si="4"/>
        <v>Z:\Favorites\CPUC10 (Group D - Custom EM&amp;V)\4 Deliverables\10 - Ex Post Evaluated Net Savings Estimates\Data Collection and Processing\Data Processing\CIAC Basic, Standard, and Enhanced Survey Data cleaning.do</v>
      </c>
      <c r="J18" t="str">
        <f t="shared" si="1"/>
        <v>C:\Users\gina\OneDrive - sbw consulting\deliverables\GroupD_CIAC2018\net</v>
      </c>
    </row>
    <row r="19" spans="1:10" hidden="1">
      <c r="A19" t="s">
        <v>758</v>
      </c>
      <c r="B19" t="s">
        <v>2847</v>
      </c>
      <c r="C19" t="s">
        <v>2696</v>
      </c>
      <c r="D19" t="s">
        <v>2692</v>
      </c>
      <c r="E19" t="s">
        <v>2707</v>
      </c>
      <c r="G19" t="s">
        <v>2717</v>
      </c>
      <c r="H19" s="21" t="s">
        <v>2713</v>
      </c>
      <c r="I19" s="14" t="str">
        <f t="shared" si="4"/>
        <v>Z:\Favorites\CPUC10 (Group D - Custom EM&amp;V)\4 Deliverables\10 - Ex Post Evaluated Net Savings Estimates\Data Collection and Processing\Data Processing\CIAC Enhanced Survey Data Cleaning_v3_ak_nonsbd.do</v>
      </c>
      <c r="J19" t="str">
        <f t="shared" si="1"/>
        <v>C:\Users\gina\OneDrive - sbw consulting\deliverables\GroupD_CIAC2018\net</v>
      </c>
    </row>
    <row r="20" spans="1:10" hidden="1">
      <c r="A20" t="s">
        <v>758</v>
      </c>
      <c r="B20" t="s">
        <v>2847</v>
      </c>
      <c r="C20" t="s">
        <v>2697</v>
      </c>
      <c r="D20" t="s">
        <v>2692</v>
      </c>
      <c r="E20" t="s">
        <v>2707</v>
      </c>
      <c r="G20" t="s">
        <v>2717</v>
      </c>
      <c r="H20" s="21" t="s">
        <v>2713</v>
      </c>
      <c r="I20" s="14" t="str">
        <f t="shared" si="4"/>
        <v>Z:\Favorites\CPUC10 (Group D - Custom EM&amp;V)\4 Deliverables\10 - Ex Post Evaluated Net Savings Estimates\Data Collection and Processing\Data Processing\CIAC Enhanced Survey Data Cleaning_v3_ak_sbd.do</v>
      </c>
      <c r="J20" t="str">
        <f t="shared" si="1"/>
        <v>C:\Users\gina\OneDrive - sbw consulting\deliverables\GroupD_CIAC2018\net</v>
      </c>
    </row>
    <row r="21" spans="1:10" hidden="1">
      <c r="A21" t="s">
        <v>758</v>
      </c>
      <c r="B21" t="s">
        <v>2847</v>
      </c>
      <c r="C21" t="s">
        <v>2698</v>
      </c>
      <c r="D21" t="s">
        <v>2692</v>
      </c>
      <c r="E21" t="s">
        <v>2707</v>
      </c>
      <c r="G21" t="s">
        <v>2717</v>
      </c>
      <c r="H21" s="21" t="s">
        <v>2713</v>
      </c>
      <c r="I21" s="14" t="str">
        <f t="shared" si="4"/>
        <v>Z:\Favorites\CPUC10 (Group D - Custom EM&amp;V)\4 Deliverables\10 - Ex Post Evaluated Net Savings Estimates\Data Collection and Processing\Data Processing\CIAC Enhanced Survey Labels.do</v>
      </c>
      <c r="J21" t="str">
        <f t="shared" si="1"/>
        <v>C:\Users\gina\OneDrive - sbw consulting\deliverables\GroupD_CIAC2018\net</v>
      </c>
    </row>
    <row r="22" spans="1:10" hidden="1">
      <c r="A22" t="s">
        <v>758</v>
      </c>
      <c r="B22" t="s">
        <v>2847</v>
      </c>
      <c r="C22" t="s">
        <v>2699</v>
      </c>
      <c r="D22" t="s">
        <v>2692</v>
      </c>
      <c r="E22" t="s">
        <v>2707</v>
      </c>
      <c r="G22" t="s">
        <v>2717</v>
      </c>
      <c r="H22" s="21" t="s">
        <v>2713</v>
      </c>
      <c r="I22" s="14" t="str">
        <f t="shared" si="4"/>
        <v>Z:\Favorites\CPUC10 (Group D - Custom EM&amp;V)\4 Deliverables\10 - Ex Post Evaluated Net Savings Estimates\Data Collection and Processing\Data Processing\CIAC Savings Breakdown by Complete &amp; Incomplete Projects UPDATED.do</v>
      </c>
      <c r="J22" t="str">
        <f t="shared" si="1"/>
        <v>C:\Users\gina\OneDrive - sbw consulting\deliverables\GroupD_CIAC2018\net</v>
      </c>
    </row>
    <row r="23" spans="1:10" hidden="1">
      <c r="A23" t="s">
        <v>758</v>
      </c>
      <c r="B23" t="s">
        <v>2847</v>
      </c>
      <c r="C23" t="s">
        <v>2700</v>
      </c>
      <c r="D23" t="s">
        <v>2692</v>
      </c>
      <c r="E23" t="s">
        <v>2707</v>
      </c>
      <c r="G23" t="s">
        <v>2717</v>
      </c>
      <c r="H23" s="21" t="s">
        <v>2713</v>
      </c>
      <c r="I23" s="14" t="str">
        <f t="shared" si="4"/>
        <v>Z:\Favorites\CPUC10 (Group D - Custom EM&amp;V)\4 Deliverables\10 - Ex Post Evaluated Net Savings Estimates\Data Collection and Processing\Data Processing\CIAC Savings Breakdown by Complete &amp; Incomplete Projects.do</v>
      </c>
      <c r="J23" t="str">
        <f t="shared" si="1"/>
        <v>C:\Users\gina\OneDrive - sbw consulting\deliverables\GroupD_CIAC2018\net</v>
      </c>
    </row>
    <row r="24" spans="1:10" hidden="1">
      <c r="A24" t="s">
        <v>758</v>
      </c>
      <c r="B24" t="s">
        <v>2847</v>
      </c>
      <c r="C24" t="s">
        <v>2701</v>
      </c>
      <c r="D24" t="s">
        <v>2692</v>
      </c>
      <c r="E24" t="s">
        <v>2707</v>
      </c>
      <c r="G24" t="s">
        <v>2717</v>
      </c>
      <c r="H24" s="21" t="s">
        <v>2713</v>
      </c>
      <c r="I24" s="14" t="str">
        <f t="shared" si="4"/>
        <v>Z:\Favorites\CPUC10 (Group D - Custom EM&amp;V)\4 Deliverables\10 - Ex Post Evaluated Net Savings Estimates\Data Collection and Processing\Data Processing\CIAC Unresponsive Bias.do</v>
      </c>
      <c r="J24" t="str">
        <f t="shared" si="1"/>
        <v>C:\Users\gina\OneDrive - sbw consulting\deliverables\GroupD_CIAC2018\net</v>
      </c>
    </row>
    <row r="25" spans="1:10" hidden="1">
      <c r="A25" t="s">
        <v>758</v>
      </c>
      <c r="B25" t="s">
        <v>2847</v>
      </c>
      <c r="C25" t="s">
        <v>2702</v>
      </c>
      <c r="D25" t="s">
        <v>2692</v>
      </c>
      <c r="E25" t="s">
        <v>2707</v>
      </c>
      <c r="G25" t="s">
        <v>2717</v>
      </c>
      <c r="H25" s="21" t="s">
        <v>2713</v>
      </c>
      <c r="I25" s="14" t="str">
        <f t="shared" si="4"/>
        <v>Z:\Favorites\CPUC10 (Group D - Custom EM&amp;V)\4 Deliverables\10 - Ex Post Evaluated Net Savings Estimates\Data Collection and Processing\Data Processing\CPUC CIAC ClaimId Level_wb and sys edits.do</v>
      </c>
      <c r="J25" t="str">
        <f t="shared" si="1"/>
        <v>C:\Users\gina\OneDrive - sbw consulting\deliverables\GroupD_CIAC2018\net</v>
      </c>
    </row>
    <row r="26" spans="1:10" hidden="1">
      <c r="A26" t="s">
        <v>758</v>
      </c>
      <c r="B26" t="s">
        <v>2847</v>
      </c>
      <c r="C26" t="s">
        <v>2703</v>
      </c>
      <c r="D26" t="s">
        <v>2692</v>
      </c>
      <c r="E26" t="s">
        <v>2707</v>
      </c>
      <c r="G26" t="s">
        <v>2717</v>
      </c>
      <c r="H26" s="21" t="s">
        <v>2713</v>
      </c>
      <c r="I26" s="14" t="str">
        <f t="shared" si="4"/>
        <v>Z:\Favorites\CPUC10 (Group D - Custom EM&amp;V)\4 Deliverables\10 - Ex Post Evaluated Net Savings Estimates\Data Collection and Processing\Data Processing\CPUC CIAC Process questions.do</v>
      </c>
      <c r="J26" t="str">
        <f t="shared" si="1"/>
        <v>C:\Users\gina\OneDrive - sbw consulting\deliverables\GroupD_CIAC2018\net</v>
      </c>
    </row>
    <row r="27" spans="1:10" hidden="1">
      <c r="A27" t="s">
        <v>758</v>
      </c>
      <c r="B27" t="s">
        <v>2847</v>
      </c>
      <c r="C27" t="s">
        <v>2704</v>
      </c>
      <c r="D27" t="s">
        <v>2692</v>
      </c>
      <c r="E27" t="s">
        <v>2707</v>
      </c>
      <c r="G27" t="s">
        <v>2717</v>
      </c>
      <c r="H27" s="21" t="s">
        <v>2713</v>
      </c>
      <c r="I27" s="14" t="str">
        <f t="shared" si="4"/>
        <v>Z:\Favorites\CPUC10 (Group D - Custom EM&amp;V)\4 Deliverables\10 - Ex Post Evaluated Net Savings Estimates\Data Collection and Processing\Data Processing\DriverAnalysis.do</v>
      </c>
      <c r="J27" t="str">
        <f t="shared" si="1"/>
        <v>C:\Users\gina\OneDrive - sbw consulting\deliverables\GroupD_CIAC2018\net</v>
      </c>
    </row>
    <row r="28" spans="1:10" hidden="1">
      <c r="A28" t="s">
        <v>758</v>
      </c>
      <c r="B28" t="s">
        <v>2847</v>
      </c>
      <c r="C28" t="s">
        <v>2705</v>
      </c>
      <c r="D28" t="s">
        <v>2692</v>
      </c>
      <c r="E28" t="s">
        <v>2707</v>
      </c>
      <c r="G28" t="s">
        <v>2717</v>
      </c>
      <c r="H28" s="21" t="s">
        <v>2713</v>
      </c>
      <c r="I28" s="14" t="str">
        <f t="shared" si="4"/>
        <v>Z:\Favorites\CPUC10 (Group D - Custom EM&amp;V)\4 Deliverables\10 - Ex Post Evaluated Net Savings Estimates\Data Collection and Processing\Data Processing\DriverAnalysis2.do</v>
      </c>
      <c r="J28" t="str">
        <f t="shared" si="1"/>
        <v>C:\Users\gina\OneDrive - sbw consulting\deliverables\GroupD_CIAC2018\net</v>
      </c>
    </row>
    <row r="29" spans="1:10" hidden="1">
      <c r="A29" t="s">
        <v>758</v>
      </c>
      <c r="B29" t="s">
        <v>2847</v>
      </c>
      <c r="C29" t="s">
        <v>2706</v>
      </c>
      <c r="D29" t="s">
        <v>2692</v>
      </c>
      <c r="E29" t="s">
        <v>2707</v>
      </c>
      <c r="G29" t="s">
        <v>2717</v>
      </c>
      <c r="H29" s="21" t="s">
        <v>2713</v>
      </c>
      <c r="I29" s="14" t="str">
        <f t="shared" si="4"/>
        <v>Z:\Favorites\CPUC10 (Group D - Custom EM&amp;V)\4 Deliverables\10 - Ex Post Evaluated Net Savings Estimates\Data Collection and Processing\Data Processing\ntgr_driver_2.do</v>
      </c>
      <c r="J29" t="str">
        <f t="shared" si="1"/>
        <v>C:\Users\gina\OneDrive - sbw consulting\deliverables\GroupD_CIAC2018\net</v>
      </c>
    </row>
    <row r="30" spans="1:10">
      <c r="A30" t="s">
        <v>2710</v>
      </c>
      <c r="B30" t="s">
        <v>2848</v>
      </c>
      <c r="C30" t="s">
        <v>2673</v>
      </c>
      <c r="D30" t="s">
        <v>2674</v>
      </c>
      <c r="E30" s="15" t="s">
        <v>2672</v>
      </c>
      <c r="F30" s="14"/>
      <c r="H30" s="21" t="s">
        <v>2713</v>
      </c>
      <c r="I30" s="14" t="str">
        <f t="shared" si="4"/>
        <v>C:\Users\gina\OneDrive - sbw consulting\cpuc10\create_ciac_2018_report_data_files.py</v>
      </c>
      <c r="J30" t="str">
        <f>H30 &amp; G30</f>
        <v>C:\Users\gina\OneDrive - sbw consulting\deliverables\GroupD_CIAC2018</v>
      </c>
    </row>
    <row r="31" spans="1:10">
      <c r="A31" t="s">
        <v>2710</v>
      </c>
      <c r="B31" t="s">
        <v>2848</v>
      </c>
      <c r="C31" t="s">
        <v>2675</v>
      </c>
      <c r="D31" t="s">
        <v>2676</v>
      </c>
      <c r="E31" s="14" t="s">
        <v>2672</v>
      </c>
      <c r="F31" s="14"/>
      <c r="H31" s="21" t="str">
        <f>$H$30</f>
        <v>C:\Users\gina\OneDrive - sbw consulting\deliverables\GroupD_CIAC2018</v>
      </c>
      <c r="I31" s="14" t="str">
        <f t="shared" si="4"/>
        <v>C:\Users\gina\OneDrive - sbw consulting\cpuc10\generate_tables.py</v>
      </c>
      <c r="J31" t="str">
        <f t="shared" ref="J31:J58" si="5">H31 &amp; G31</f>
        <v>C:\Users\gina\OneDrive - sbw consulting\deliverables\GroupD_CIAC2018</v>
      </c>
    </row>
    <row r="32" spans="1:10">
      <c r="A32" t="s">
        <v>2710</v>
      </c>
      <c r="B32" t="s">
        <v>2848</v>
      </c>
      <c r="C32" t="s">
        <v>2850</v>
      </c>
      <c r="D32" t="s">
        <v>2680</v>
      </c>
      <c r="E32" s="14" t="s">
        <v>2679</v>
      </c>
      <c r="F32" s="14"/>
      <c r="H32" s="21" t="str">
        <f t="shared" ref="H32:H58" si="6">$H$30</f>
        <v>C:\Users\gina\OneDrive - sbw consulting\deliverables\GroupD_CIAC2018</v>
      </c>
      <c r="I32" s="14" t="str">
        <f t="shared" si="4"/>
        <v>Z:\Favorites\CPUC10 (Group D - Custom EM&amp;V)\4 Deliverables\11 - Draft and Final Evaluation Reports\CIAC 2018\Design\GroupD-D11.01-CIAC 2018 Ex Post Evaluation -Design_Changes.xlsx</v>
      </c>
      <c r="J32" t="str">
        <f t="shared" si="5"/>
        <v>C:\Users\gina\OneDrive - sbw consulting\deliverables\GroupD_CIAC2018</v>
      </c>
    </row>
    <row r="33" spans="1:10">
      <c r="A33" t="s">
        <v>2710</v>
      </c>
      <c r="B33" t="s">
        <v>2848</v>
      </c>
      <c r="C33" t="s">
        <v>2688</v>
      </c>
      <c r="D33" t="s">
        <v>2687</v>
      </c>
      <c r="E33" s="14" t="s">
        <v>2679</v>
      </c>
      <c r="F33" s="14"/>
      <c r="H33" s="21" t="str">
        <f t="shared" si="6"/>
        <v>C:\Users\gina\OneDrive - sbw consulting\deliverables\GroupD_CIAC2018</v>
      </c>
      <c r="I33" s="14" t="str">
        <f t="shared" si="4"/>
        <v>Z:\Favorites\CPUC10 (Group D - Custom EM&amp;V)\4 Deliverables\11 - Draft and Final Evaluation Reports\CIAC 2018\Design\DataSourceDef.xlsx</v>
      </c>
      <c r="J33" t="str">
        <f t="shared" si="5"/>
        <v>C:\Users\gina\OneDrive - sbw consulting\deliverables\GroupD_CIAC2018</v>
      </c>
    </row>
    <row r="34" spans="1:10">
      <c r="A34" t="s">
        <v>2710</v>
      </c>
      <c r="B34" t="s">
        <v>2848</v>
      </c>
      <c r="C34" t="s">
        <v>2682</v>
      </c>
      <c r="D34" t="s">
        <v>2677</v>
      </c>
      <c r="E34" s="14" t="s">
        <v>2679</v>
      </c>
      <c r="F34" s="14"/>
      <c r="H34" s="21" t="str">
        <f t="shared" si="6"/>
        <v>C:\Users\gina\OneDrive - sbw consulting\deliverables\GroupD_CIAC2018</v>
      </c>
      <c r="I34" s="14" t="str">
        <f t="shared" si="4"/>
        <v>Z:\Favorites\CPUC10 (Group D - Custom EM&amp;V)\4 Deliverables\11 - Draft and Final Evaluation Reports\CIAC 2018\Design\generate_tables_driver.xlsx</v>
      </c>
      <c r="J34" t="str">
        <f t="shared" si="5"/>
        <v>C:\Users\gina\OneDrive - sbw consulting\deliverables\GroupD_CIAC2018</v>
      </c>
    </row>
    <row r="35" spans="1:10">
      <c r="A35" t="s">
        <v>2710</v>
      </c>
      <c r="B35" t="s">
        <v>2848</v>
      </c>
      <c r="C35" t="s">
        <v>2708</v>
      </c>
      <c r="D35" t="s">
        <v>2690</v>
      </c>
      <c r="E35" s="14" t="s">
        <v>2672</v>
      </c>
      <c r="F35" s="14"/>
      <c r="H35" s="21" t="str">
        <f t="shared" si="6"/>
        <v>C:\Users\gina\OneDrive - sbw consulting\deliverables\GroupD_CIAC2018</v>
      </c>
      <c r="I35" s="14" t="str">
        <f t="shared" si="4"/>
        <v>C:\Users\gina\OneDrive - sbw consulting\cpuc10\read_table_spec.py</v>
      </c>
      <c r="J35" t="str">
        <f t="shared" si="5"/>
        <v>C:\Users\gina\OneDrive - sbw consulting\deliverables\GroupD_CIAC2018</v>
      </c>
    </row>
    <row r="36" spans="1:10">
      <c r="A36" t="s">
        <v>2710</v>
      </c>
      <c r="B36" t="s">
        <v>2848</v>
      </c>
      <c r="C36" t="s">
        <v>2719</v>
      </c>
      <c r="E36" s="14" t="s">
        <v>2672</v>
      </c>
      <c r="F36" s="14" t="s">
        <v>2718</v>
      </c>
      <c r="G36" t="s">
        <v>2718</v>
      </c>
      <c r="H36" s="21" t="str">
        <f t="shared" si="6"/>
        <v>C:\Users\gina\OneDrive - sbw consulting\deliverables\GroupD_CIAC2018</v>
      </c>
      <c r="I36" s="14" t="str">
        <f t="shared" si="4"/>
        <v>C:\Users\gina\OneDrive - sbw consulting\cpuc10\cpuc\plots.py</v>
      </c>
      <c r="J36" t="str">
        <f t="shared" si="5"/>
        <v>C:\Users\gina\OneDrive - sbw consulting\deliverables\GroupD_CIAC2018\cpuc</v>
      </c>
    </row>
    <row r="37" spans="1:10">
      <c r="A37" t="s">
        <v>2710</v>
      </c>
      <c r="B37" t="s">
        <v>2848</v>
      </c>
      <c r="C37" t="s">
        <v>2720</v>
      </c>
      <c r="E37" s="14" t="s">
        <v>2672</v>
      </c>
      <c r="F37" s="14" t="s">
        <v>2718</v>
      </c>
      <c r="G37" t="s">
        <v>2718</v>
      </c>
      <c r="H37" s="21" t="str">
        <f t="shared" si="6"/>
        <v>C:\Users\gina\OneDrive - sbw consulting\deliverables\GroupD_CIAC2018</v>
      </c>
      <c r="I37" s="14" t="str">
        <f t="shared" si="4"/>
        <v>C:\Users\gina\OneDrive - sbw consulting\cpuc10\cpuc\tables.py</v>
      </c>
      <c r="J37" t="str">
        <f t="shared" si="5"/>
        <v>C:\Users\gina\OneDrive - sbw consulting\deliverables\GroupD_CIAC2018\cpuc</v>
      </c>
    </row>
    <row r="38" spans="1:10">
      <c r="A38" t="s">
        <v>2710</v>
      </c>
      <c r="B38" t="s">
        <v>2848</v>
      </c>
      <c r="C38" t="s">
        <v>2721</v>
      </c>
      <c r="E38" s="14" t="s">
        <v>2672</v>
      </c>
      <c r="F38" s="14" t="s">
        <v>2718</v>
      </c>
      <c r="G38" t="s">
        <v>2718</v>
      </c>
      <c r="H38" s="21" t="str">
        <f t="shared" si="6"/>
        <v>C:\Users\gina\OneDrive - sbw consulting\deliverables\GroupD_CIAC2018</v>
      </c>
      <c r="I38" s="14" t="str">
        <f t="shared" si="4"/>
        <v>C:\Users\gina\OneDrive - sbw consulting\cpuc10\cpuc\params.py</v>
      </c>
      <c r="J38" t="str">
        <f t="shared" si="5"/>
        <v>C:\Users\gina\OneDrive - sbw consulting\deliverables\GroupD_CIAC2018\cpuc</v>
      </c>
    </row>
    <row r="39" spans="1:10">
      <c r="A39" t="s">
        <v>2710</v>
      </c>
      <c r="B39" t="s">
        <v>2848</v>
      </c>
      <c r="C39" t="s">
        <v>2722</v>
      </c>
      <c r="E39" s="14" t="s">
        <v>2672</v>
      </c>
      <c r="F39" s="14" t="s">
        <v>2718</v>
      </c>
      <c r="G39" t="s">
        <v>2718</v>
      </c>
      <c r="H39" s="21" t="str">
        <f t="shared" si="6"/>
        <v>C:\Users\gina\OneDrive - sbw consulting\deliverables\GroupD_CIAC2018</v>
      </c>
      <c r="I39" s="14" t="str">
        <f t="shared" si="4"/>
        <v>C:\Users\gina\OneDrive - sbw consulting\cpuc10\cpuc\utility.py</v>
      </c>
      <c r="J39" t="str">
        <f t="shared" si="5"/>
        <v>C:\Users\gina\OneDrive - sbw consulting\deliverables\GroupD_CIAC2018\cpuc</v>
      </c>
    </row>
    <row r="40" spans="1:10">
      <c r="A40" t="s">
        <v>2710</v>
      </c>
      <c r="B40" t="s">
        <v>2848</v>
      </c>
      <c r="C40" t="s">
        <v>2851</v>
      </c>
      <c r="E40" s="14" t="s">
        <v>2672</v>
      </c>
      <c r="F40" s="14" t="s">
        <v>2718</v>
      </c>
      <c r="G40" t="s">
        <v>2718</v>
      </c>
      <c r="H40" s="21" t="str">
        <f t="shared" si="6"/>
        <v>C:\Users\gina\OneDrive - sbw consulting\deliverables\GroupD_CIAC2018</v>
      </c>
      <c r="I40" s="14" t="str">
        <f t="shared" si="4"/>
        <v>C:\Users\gina\OneDrive - sbw consulting\cpuc10\cpuc\util_min.py</v>
      </c>
      <c r="J40" t="str">
        <f t="shared" ref="J40" si="7">H40 &amp; G40</f>
        <v>C:\Users\gina\OneDrive - sbw consulting\deliverables\GroupD_CIAC2018\cpuc</v>
      </c>
    </row>
    <row r="41" spans="1:10">
      <c r="A41" t="s">
        <v>2710</v>
      </c>
      <c r="B41" t="s">
        <v>2848</v>
      </c>
      <c r="C41" t="s">
        <v>2685</v>
      </c>
      <c r="D41" t="s">
        <v>2683</v>
      </c>
      <c r="E41" s="14" t="s">
        <v>2724</v>
      </c>
      <c r="G41" t="s">
        <v>2716</v>
      </c>
      <c r="H41" s="21" t="str">
        <f t="shared" si="6"/>
        <v>C:\Users\gina\OneDrive - sbw consulting\deliverables\GroupD_CIAC2018</v>
      </c>
      <c r="I41" s="14" t="str">
        <f t="shared" si="4"/>
        <v>Z:\Favorites\CPUC10 (Group D - Custom EM&amp;V)\4 Deliverables\09 - Ex-Post Evaluated Gross Savings Estimates\CIAC\2018 Evaluation\Extrapolation\extrapolator_gross.R</v>
      </c>
      <c r="J41" t="str">
        <f t="shared" si="5"/>
        <v>C:\Users\gina\OneDrive - sbw consulting\deliverables\GroupD_CIAC2018\rfiles</v>
      </c>
    </row>
    <row r="42" spans="1:10">
      <c r="A42" t="s">
        <v>2710</v>
      </c>
      <c r="B42" t="s">
        <v>2848</v>
      </c>
      <c r="C42" t="s">
        <v>2686</v>
      </c>
      <c r="D42" t="s">
        <v>2684</v>
      </c>
      <c r="E42" s="14" t="s">
        <v>2724</v>
      </c>
      <c r="G42" t="s">
        <v>2716</v>
      </c>
      <c r="H42" s="21" t="str">
        <f t="shared" si="6"/>
        <v>C:\Users\gina\OneDrive - sbw consulting\deliverables\GroupD_CIAC2018</v>
      </c>
      <c r="I42" s="14" t="str">
        <f t="shared" si="4"/>
        <v>Z:\Favorites\CPUC10 (Group D - Custom EM&amp;V)\4 Deliverables\09 - Ex-Post Evaluated Gross Savings Estimates\CIAC\2018 Evaluation\Extrapolation\extrapolator_net.R</v>
      </c>
      <c r="J42" t="str">
        <f t="shared" si="5"/>
        <v>C:\Users\gina\OneDrive - sbw consulting\deliverables\GroupD_CIAC2018\rfiles</v>
      </c>
    </row>
    <row r="43" spans="1:10">
      <c r="A43" t="s">
        <v>2710</v>
      </c>
      <c r="B43" t="s">
        <v>2848</v>
      </c>
      <c r="C43" t="s">
        <v>2689</v>
      </c>
      <c r="D43" t="s">
        <v>2690</v>
      </c>
      <c r="E43" s="14" t="s">
        <v>2724</v>
      </c>
      <c r="G43" t="s">
        <v>2716</v>
      </c>
      <c r="H43" s="21" t="str">
        <f t="shared" si="6"/>
        <v>C:\Users\gina\OneDrive - sbw consulting\deliverables\GroupD_CIAC2018</v>
      </c>
      <c r="I43" s="14" t="str">
        <f t="shared" si="4"/>
        <v>Z:\Favorites\CPUC10 (Group D - Custom EM&amp;V)\4 Deliverables\09 - Ex-Post Evaluated Gross Savings Estimates\CIAC\2018 Evaluation\Extrapolation\Strat_mean_estimator.R</v>
      </c>
      <c r="J43" t="str">
        <f t="shared" si="5"/>
        <v>C:\Users\gina\OneDrive - sbw consulting\deliverables\GroupD_CIAC2018\rfiles</v>
      </c>
    </row>
    <row r="44" spans="1:10">
      <c r="A44" t="s">
        <v>2710</v>
      </c>
      <c r="B44" t="s">
        <v>2848</v>
      </c>
      <c r="C44" t="s">
        <v>2691</v>
      </c>
      <c r="D44" t="s">
        <v>2690</v>
      </c>
      <c r="E44" s="14" t="s">
        <v>2724</v>
      </c>
      <c r="G44" t="s">
        <v>2716</v>
      </c>
      <c r="H44" s="21" t="str">
        <f t="shared" si="6"/>
        <v>C:\Users\gina\OneDrive - sbw consulting\deliverables\GroupD_CIAC2018</v>
      </c>
      <c r="I44" s="14" t="str">
        <f t="shared" si="4"/>
        <v>Z:\Favorites\CPUC10 (Group D - Custom EM&amp;V)\4 Deliverables\09 - Ex-Post Evaluated Gross Savings Estimates\CIAC\2018 Evaluation\Extrapolation\Strat_ratio_estimator.R</v>
      </c>
      <c r="J44" t="str">
        <f t="shared" si="5"/>
        <v>C:\Users\gina\OneDrive - sbw consulting\deliverables\GroupD_CIAC2018\rfiles</v>
      </c>
    </row>
    <row r="45" spans="1:10">
      <c r="A45" t="s">
        <v>2710</v>
      </c>
      <c r="B45" t="s">
        <v>2848</v>
      </c>
      <c r="C45" t="s">
        <v>2693</v>
      </c>
      <c r="D45" t="s">
        <v>2692</v>
      </c>
      <c r="E45" t="s">
        <v>2707</v>
      </c>
      <c r="G45" t="s">
        <v>2717</v>
      </c>
      <c r="H45" s="21" t="str">
        <f t="shared" si="6"/>
        <v>C:\Users\gina\OneDrive - sbw consulting\deliverables\GroupD_CIAC2018</v>
      </c>
      <c r="I45" s="14" t="str">
        <f t="shared" si="4"/>
        <v>Z:\Favorites\CPUC10 (Group D - Custom EM&amp;V)\4 Deliverables\10 - Ex Post Evaluated Net Savings Estimates\Data Collection and Processing\Data Processing\CIAC Basic and Standard Survey Data Cleaning_v4.do</v>
      </c>
      <c r="J45" t="str">
        <f t="shared" si="5"/>
        <v>C:\Users\gina\OneDrive - sbw consulting\deliverables\GroupD_CIAC2018\net</v>
      </c>
    </row>
    <row r="46" spans="1:10">
      <c r="A46" t="s">
        <v>2710</v>
      </c>
      <c r="B46" t="s">
        <v>2848</v>
      </c>
      <c r="C46" t="s">
        <v>2694</v>
      </c>
      <c r="D46" t="s">
        <v>2692</v>
      </c>
      <c r="E46" t="s">
        <v>2707</v>
      </c>
      <c r="G46" t="s">
        <v>2717</v>
      </c>
      <c r="H46" s="21" t="str">
        <f t="shared" si="6"/>
        <v>C:\Users\gina\OneDrive - sbw consulting\deliverables\GroupD_CIAC2018</v>
      </c>
      <c r="I46" s="14" t="str">
        <f t="shared" si="4"/>
        <v>Z:\Favorites\CPUC10 (Group D - Custom EM&amp;V)\4 Deliverables\10 - Ex Post Evaluated Net Savings Estimates\Data Collection and Processing\Data Processing\CIAC Basic and Standard Survey Labels.do</v>
      </c>
      <c r="J46" t="str">
        <f t="shared" si="5"/>
        <v>C:\Users\gina\OneDrive - sbw consulting\deliverables\GroupD_CIAC2018\net</v>
      </c>
    </row>
    <row r="47" spans="1:10">
      <c r="A47" t="s">
        <v>2710</v>
      </c>
      <c r="B47" t="s">
        <v>2848</v>
      </c>
      <c r="C47" t="s">
        <v>2695</v>
      </c>
      <c r="D47" t="s">
        <v>2692</v>
      </c>
      <c r="E47" t="s">
        <v>2707</v>
      </c>
      <c r="G47" t="s">
        <v>2717</v>
      </c>
      <c r="H47" s="21" t="str">
        <f t="shared" si="6"/>
        <v>C:\Users\gina\OneDrive - sbw consulting\deliverables\GroupD_CIAC2018</v>
      </c>
      <c r="I47" s="14" t="str">
        <f t="shared" si="4"/>
        <v>Z:\Favorites\CPUC10 (Group D - Custom EM&amp;V)\4 Deliverables\10 - Ex Post Evaluated Net Savings Estimates\Data Collection and Processing\Data Processing\CIAC Basic, Standard, and Enhanced Survey Data cleaning.do</v>
      </c>
      <c r="J47" t="str">
        <f t="shared" si="5"/>
        <v>C:\Users\gina\OneDrive - sbw consulting\deliverables\GroupD_CIAC2018\net</v>
      </c>
    </row>
    <row r="48" spans="1:10">
      <c r="A48" t="s">
        <v>2710</v>
      </c>
      <c r="B48" t="s">
        <v>2848</v>
      </c>
      <c r="C48" t="s">
        <v>2696</v>
      </c>
      <c r="D48" t="s">
        <v>2692</v>
      </c>
      <c r="E48" t="s">
        <v>2707</v>
      </c>
      <c r="G48" t="s">
        <v>2717</v>
      </c>
      <c r="H48" s="21" t="str">
        <f t="shared" si="6"/>
        <v>C:\Users\gina\OneDrive - sbw consulting\deliverables\GroupD_CIAC2018</v>
      </c>
      <c r="I48" s="14" t="str">
        <f t="shared" si="4"/>
        <v>Z:\Favorites\CPUC10 (Group D - Custom EM&amp;V)\4 Deliverables\10 - Ex Post Evaluated Net Savings Estimates\Data Collection and Processing\Data Processing\CIAC Enhanced Survey Data Cleaning_v3_ak_nonsbd.do</v>
      </c>
      <c r="J48" t="str">
        <f t="shared" si="5"/>
        <v>C:\Users\gina\OneDrive - sbw consulting\deliverables\GroupD_CIAC2018\net</v>
      </c>
    </row>
    <row r="49" spans="1:10">
      <c r="A49" t="s">
        <v>2710</v>
      </c>
      <c r="B49" t="s">
        <v>2848</v>
      </c>
      <c r="C49" t="s">
        <v>2697</v>
      </c>
      <c r="D49" t="s">
        <v>2692</v>
      </c>
      <c r="E49" t="s">
        <v>2707</v>
      </c>
      <c r="G49" t="s">
        <v>2717</v>
      </c>
      <c r="H49" s="21" t="str">
        <f t="shared" si="6"/>
        <v>C:\Users\gina\OneDrive - sbw consulting\deliverables\GroupD_CIAC2018</v>
      </c>
      <c r="I49" s="14" t="str">
        <f t="shared" si="4"/>
        <v>Z:\Favorites\CPUC10 (Group D - Custom EM&amp;V)\4 Deliverables\10 - Ex Post Evaluated Net Savings Estimates\Data Collection and Processing\Data Processing\CIAC Enhanced Survey Data Cleaning_v3_ak_sbd.do</v>
      </c>
      <c r="J49" t="str">
        <f t="shared" si="5"/>
        <v>C:\Users\gina\OneDrive - sbw consulting\deliverables\GroupD_CIAC2018\net</v>
      </c>
    </row>
    <row r="50" spans="1:10">
      <c r="A50" t="s">
        <v>2710</v>
      </c>
      <c r="B50" t="s">
        <v>2848</v>
      </c>
      <c r="C50" t="s">
        <v>2698</v>
      </c>
      <c r="D50" t="s">
        <v>2692</v>
      </c>
      <c r="E50" t="s">
        <v>2707</v>
      </c>
      <c r="G50" t="s">
        <v>2717</v>
      </c>
      <c r="H50" s="21" t="str">
        <f t="shared" si="6"/>
        <v>C:\Users\gina\OneDrive - sbw consulting\deliverables\GroupD_CIAC2018</v>
      </c>
      <c r="I50" s="14" t="str">
        <f t="shared" si="4"/>
        <v>Z:\Favorites\CPUC10 (Group D - Custom EM&amp;V)\4 Deliverables\10 - Ex Post Evaluated Net Savings Estimates\Data Collection and Processing\Data Processing\CIAC Enhanced Survey Labels.do</v>
      </c>
      <c r="J50" t="str">
        <f t="shared" si="5"/>
        <v>C:\Users\gina\OneDrive - sbw consulting\deliverables\GroupD_CIAC2018\net</v>
      </c>
    </row>
    <row r="51" spans="1:10">
      <c r="A51" t="s">
        <v>2710</v>
      </c>
      <c r="B51" t="s">
        <v>2848</v>
      </c>
      <c r="C51" t="s">
        <v>2699</v>
      </c>
      <c r="D51" t="s">
        <v>2692</v>
      </c>
      <c r="E51" t="s">
        <v>2707</v>
      </c>
      <c r="G51" t="s">
        <v>2717</v>
      </c>
      <c r="H51" s="21" t="str">
        <f t="shared" si="6"/>
        <v>C:\Users\gina\OneDrive - sbw consulting\deliverables\GroupD_CIAC2018</v>
      </c>
      <c r="I51" s="14" t="str">
        <f t="shared" si="4"/>
        <v>Z:\Favorites\CPUC10 (Group D - Custom EM&amp;V)\4 Deliverables\10 - Ex Post Evaluated Net Savings Estimates\Data Collection and Processing\Data Processing\CIAC Savings Breakdown by Complete &amp; Incomplete Projects UPDATED.do</v>
      </c>
      <c r="J51" t="str">
        <f t="shared" si="5"/>
        <v>C:\Users\gina\OneDrive - sbw consulting\deliverables\GroupD_CIAC2018\net</v>
      </c>
    </row>
    <row r="52" spans="1:10">
      <c r="A52" t="s">
        <v>2710</v>
      </c>
      <c r="B52" t="s">
        <v>2848</v>
      </c>
      <c r="C52" t="s">
        <v>2700</v>
      </c>
      <c r="D52" t="s">
        <v>2692</v>
      </c>
      <c r="E52" t="s">
        <v>2707</v>
      </c>
      <c r="G52" t="s">
        <v>2717</v>
      </c>
      <c r="H52" s="21" t="str">
        <f t="shared" si="6"/>
        <v>C:\Users\gina\OneDrive - sbw consulting\deliverables\GroupD_CIAC2018</v>
      </c>
      <c r="I52" s="14" t="str">
        <f t="shared" si="4"/>
        <v>Z:\Favorites\CPUC10 (Group D - Custom EM&amp;V)\4 Deliverables\10 - Ex Post Evaluated Net Savings Estimates\Data Collection and Processing\Data Processing\CIAC Savings Breakdown by Complete &amp; Incomplete Projects.do</v>
      </c>
      <c r="J52" t="str">
        <f t="shared" si="5"/>
        <v>C:\Users\gina\OneDrive - sbw consulting\deliverables\GroupD_CIAC2018\net</v>
      </c>
    </row>
    <row r="53" spans="1:10">
      <c r="A53" t="s">
        <v>2710</v>
      </c>
      <c r="B53" t="s">
        <v>2848</v>
      </c>
      <c r="C53" t="s">
        <v>2701</v>
      </c>
      <c r="D53" t="s">
        <v>2692</v>
      </c>
      <c r="E53" t="s">
        <v>2707</v>
      </c>
      <c r="G53" t="s">
        <v>2717</v>
      </c>
      <c r="H53" s="21" t="str">
        <f t="shared" si="6"/>
        <v>C:\Users\gina\OneDrive - sbw consulting\deliverables\GroupD_CIAC2018</v>
      </c>
      <c r="I53" s="14" t="str">
        <f t="shared" si="4"/>
        <v>Z:\Favorites\CPUC10 (Group D - Custom EM&amp;V)\4 Deliverables\10 - Ex Post Evaluated Net Savings Estimates\Data Collection and Processing\Data Processing\CIAC Unresponsive Bias.do</v>
      </c>
      <c r="J53" t="str">
        <f t="shared" si="5"/>
        <v>C:\Users\gina\OneDrive - sbw consulting\deliverables\GroupD_CIAC2018\net</v>
      </c>
    </row>
    <row r="54" spans="1:10">
      <c r="A54" t="s">
        <v>2710</v>
      </c>
      <c r="B54" t="s">
        <v>2848</v>
      </c>
      <c r="C54" t="s">
        <v>2702</v>
      </c>
      <c r="D54" t="s">
        <v>2692</v>
      </c>
      <c r="E54" t="s">
        <v>2707</v>
      </c>
      <c r="G54" t="s">
        <v>2717</v>
      </c>
      <c r="H54" s="21" t="str">
        <f t="shared" si="6"/>
        <v>C:\Users\gina\OneDrive - sbw consulting\deliverables\GroupD_CIAC2018</v>
      </c>
      <c r="I54" s="14" t="str">
        <f t="shared" si="4"/>
        <v>Z:\Favorites\CPUC10 (Group D - Custom EM&amp;V)\4 Deliverables\10 - Ex Post Evaluated Net Savings Estimates\Data Collection and Processing\Data Processing\CPUC CIAC ClaimId Level_wb and sys edits.do</v>
      </c>
      <c r="J54" t="str">
        <f t="shared" si="5"/>
        <v>C:\Users\gina\OneDrive - sbw consulting\deliverables\GroupD_CIAC2018\net</v>
      </c>
    </row>
    <row r="55" spans="1:10">
      <c r="A55" t="s">
        <v>2710</v>
      </c>
      <c r="B55" t="s">
        <v>2848</v>
      </c>
      <c r="C55" t="s">
        <v>2703</v>
      </c>
      <c r="D55" t="s">
        <v>2692</v>
      </c>
      <c r="E55" t="s">
        <v>2707</v>
      </c>
      <c r="G55" t="s">
        <v>2717</v>
      </c>
      <c r="H55" s="21" t="str">
        <f t="shared" si="6"/>
        <v>C:\Users\gina\OneDrive - sbw consulting\deliverables\GroupD_CIAC2018</v>
      </c>
      <c r="I55" s="14" t="str">
        <f t="shared" si="4"/>
        <v>Z:\Favorites\CPUC10 (Group D - Custom EM&amp;V)\4 Deliverables\10 - Ex Post Evaluated Net Savings Estimates\Data Collection and Processing\Data Processing\CPUC CIAC Process questions.do</v>
      </c>
      <c r="J55" t="str">
        <f t="shared" si="5"/>
        <v>C:\Users\gina\OneDrive - sbw consulting\deliverables\GroupD_CIAC2018\net</v>
      </c>
    </row>
    <row r="56" spans="1:10">
      <c r="A56" t="s">
        <v>2710</v>
      </c>
      <c r="B56" t="s">
        <v>2848</v>
      </c>
      <c r="C56" t="s">
        <v>2704</v>
      </c>
      <c r="D56" t="s">
        <v>2692</v>
      </c>
      <c r="E56" t="s">
        <v>2707</v>
      </c>
      <c r="G56" t="s">
        <v>2717</v>
      </c>
      <c r="H56" s="21" t="str">
        <f t="shared" si="6"/>
        <v>C:\Users\gina\OneDrive - sbw consulting\deliverables\GroupD_CIAC2018</v>
      </c>
      <c r="I56" s="14" t="str">
        <f t="shared" si="4"/>
        <v>Z:\Favorites\CPUC10 (Group D - Custom EM&amp;V)\4 Deliverables\10 - Ex Post Evaluated Net Savings Estimates\Data Collection and Processing\Data Processing\DriverAnalysis.do</v>
      </c>
      <c r="J56" t="str">
        <f t="shared" si="5"/>
        <v>C:\Users\gina\OneDrive - sbw consulting\deliverables\GroupD_CIAC2018\net</v>
      </c>
    </row>
    <row r="57" spans="1:10">
      <c r="A57" t="s">
        <v>2710</v>
      </c>
      <c r="B57" t="s">
        <v>2848</v>
      </c>
      <c r="C57" t="s">
        <v>2705</v>
      </c>
      <c r="D57" t="s">
        <v>2692</v>
      </c>
      <c r="E57" t="s">
        <v>2707</v>
      </c>
      <c r="G57" t="s">
        <v>2717</v>
      </c>
      <c r="H57" s="21" t="str">
        <f t="shared" si="6"/>
        <v>C:\Users\gina\OneDrive - sbw consulting\deliverables\GroupD_CIAC2018</v>
      </c>
      <c r="I57" s="14" t="str">
        <f t="shared" si="4"/>
        <v>Z:\Favorites\CPUC10 (Group D - Custom EM&amp;V)\4 Deliverables\10 - Ex Post Evaluated Net Savings Estimates\Data Collection and Processing\Data Processing\DriverAnalysis2.do</v>
      </c>
      <c r="J57" t="str">
        <f t="shared" si="5"/>
        <v>C:\Users\gina\OneDrive - sbw consulting\deliverables\GroupD_CIAC2018\net</v>
      </c>
    </row>
    <row r="58" spans="1:10">
      <c r="A58" t="s">
        <v>2710</v>
      </c>
      <c r="B58" t="s">
        <v>2848</v>
      </c>
      <c r="C58" t="s">
        <v>2706</v>
      </c>
      <c r="D58" t="s">
        <v>2692</v>
      </c>
      <c r="E58" t="s">
        <v>2707</v>
      </c>
      <c r="G58" t="s">
        <v>2717</v>
      </c>
      <c r="H58" s="21" t="str">
        <f t="shared" si="6"/>
        <v>C:\Users\gina\OneDrive - sbw consulting\deliverables\GroupD_CIAC2018</v>
      </c>
      <c r="I58" s="14" t="str">
        <f t="shared" si="4"/>
        <v>Z:\Favorites\CPUC10 (Group D - Custom EM&amp;V)\4 Deliverables\10 - Ex Post Evaluated Net Savings Estimates\Data Collection and Processing\Data Processing\ntgr_driver_2.do</v>
      </c>
      <c r="J58" t="str">
        <f t="shared" si="5"/>
        <v>C:\Users\gina\OneDrive - sbw consulting\deliverables\GroupD_CIAC2018\net</v>
      </c>
    </row>
    <row r="59" spans="1:10">
      <c r="H59" s="21" t="s">
        <v>2849</v>
      </c>
    </row>
  </sheetData>
  <autoFilter ref="A1:J58" xr:uid="{3C92574F-F9BF-4CF9-B14F-546973B5CCF8}">
    <filterColumn colId="1">
      <filters>
        <filter val="9-15 version"/>
      </filters>
    </filterColumn>
  </autoFilter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7F26-E8E0-4495-8B6A-50E59245A712}">
  <sheetPr codeName="Sheet1"/>
  <dimension ref="A1:K85"/>
  <sheetViews>
    <sheetView workbookViewId="0">
      <pane ySplit="1" topLeftCell="A54" activePane="bottomLeft" state="frozen"/>
      <selection pane="bottomLeft" activeCell="C90" sqref="C90"/>
    </sheetView>
  </sheetViews>
  <sheetFormatPr defaultColWidth="8.85546875" defaultRowHeight="15"/>
  <cols>
    <col min="1" max="1" width="40.85546875" customWidth="1"/>
    <col min="3" max="3" width="172" customWidth="1"/>
    <col min="4" max="4" width="16.140625" customWidth="1"/>
    <col min="5" max="5" width="21.42578125" customWidth="1"/>
    <col min="6" max="6" width="19.7109375" customWidth="1"/>
    <col min="7" max="7" width="16.140625" customWidth="1"/>
  </cols>
  <sheetData>
    <row r="1" spans="1:11">
      <c r="A1" t="s">
        <v>65</v>
      </c>
      <c r="B1" t="s">
        <v>66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84</v>
      </c>
      <c r="J1" t="s">
        <v>1606</v>
      </c>
      <c r="K1" t="s">
        <v>6</v>
      </c>
    </row>
    <row r="2" spans="1:11">
      <c r="A2" t="s">
        <v>85</v>
      </c>
      <c r="B2" t="s">
        <v>67</v>
      </c>
      <c r="C2" s="14" t="s">
        <v>2449</v>
      </c>
      <c r="D2" s="2"/>
      <c r="G2" t="s">
        <v>74</v>
      </c>
      <c r="H2">
        <v>5</v>
      </c>
    </row>
    <row r="3" spans="1:11">
      <c r="A3" t="s">
        <v>75</v>
      </c>
      <c r="B3" t="s">
        <v>67</v>
      </c>
      <c r="C3" s="14" t="s">
        <v>1601</v>
      </c>
      <c r="D3" t="s">
        <v>9</v>
      </c>
    </row>
    <row r="4" spans="1:11">
      <c r="A4" t="s">
        <v>76</v>
      </c>
      <c r="B4" t="s">
        <v>67</v>
      </c>
      <c r="C4" s="14" t="s">
        <v>1602</v>
      </c>
      <c r="D4" t="s">
        <v>9</v>
      </c>
    </row>
    <row r="5" spans="1:11">
      <c r="A5" t="s">
        <v>88</v>
      </c>
      <c r="B5" t="s">
        <v>67</v>
      </c>
      <c r="C5" s="14" t="s">
        <v>560</v>
      </c>
      <c r="D5" t="s">
        <v>9</v>
      </c>
      <c r="K5" t="s">
        <v>559</v>
      </c>
    </row>
    <row r="6" spans="1:11">
      <c r="A6" t="s">
        <v>86</v>
      </c>
      <c r="B6" t="s">
        <v>67</v>
      </c>
      <c r="C6" s="14" t="s">
        <v>1767</v>
      </c>
      <c r="D6" t="s">
        <v>9</v>
      </c>
    </row>
    <row r="7" spans="1:11">
      <c r="A7" t="s">
        <v>77</v>
      </c>
      <c r="B7" t="s">
        <v>67</v>
      </c>
      <c r="C7" s="14" t="s">
        <v>1535</v>
      </c>
      <c r="D7" t="s">
        <v>9</v>
      </c>
      <c r="G7" t="s">
        <v>79</v>
      </c>
      <c r="H7">
        <v>4</v>
      </c>
      <c r="J7" t="s">
        <v>1608</v>
      </c>
    </row>
    <row r="8" spans="1:11">
      <c r="A8" t="s">
        <v>78</v>
      </c>
      <c r="B8" t="s">
        <v>67</v>
      </c>
      <c r="C8" s="14" t="s">
        <v>1534</v>
      </c>
      <c r="D8" t="s">
        <v>63</v>
      </c>
      <c r="G8" t="s">
        <v>80</v>
      </c>
      <c r="H8">
        <v>4</v>
      </c>
      <c r="J8" t="s">
        <v>1607</v>
      </c>
    </row>
    <row r="9" spans="1:11">
      <c r="A9" t="s">
        <v>81</v>
      </c>
      <c r="B9" t="s">
        <v>67</v>
      </c>
      <c r="C9" s="14" t="s">
        <v>82</v>
      </c>
      <c r="D9" t="s">
        <v>83</v>
      </c>
      <c r="I9" t="s">
        <v>9</v>
      </c>
    </row>
    <row r="10" spans="1:11">
      <c r="A10" t="s">
        <v>87</v>
      </c>
      <c r="B10" t="s">
        <v>67</v>
      </c>
      <c r="C10" s="15" t="s">
        <v>1609</v>
      </c>
      <c r="D10" t="s">
        <v>83</v>
      </c>
    </row>
    <row r="11" spans="1:11">
      <c r="A11" s="7" t="s">
        <v>557</v>
      </c>
      <c r="B11" t="s">
        <v>67</v>
      </c>
      <c r="C11" s="14" t="s">
        <v>558</v>
      </c>
      <c r="D11" t="s">
        <v>9</v>
      </c>
    </row>
    <row r="12" spans="1:11">
      <c r="A12" s="7" t="s">
        <v>583</v>
      </c>
      <c r="B12" t="s">
        <v>67</v>
      </c>
      <c r="C12" s="14" t="s">
        <v>2278</v>
      </c>
      <c r="D12" t="s">
        <v>9</v>
      </c>
    </row>
    <row r="13" spans="1:11">
      <c r="A13" s="7" t="s">
        <v>630</v>
      </c>
      <c r="B13" t="s">
        <v>67</v>
      </c>
      <c r="C13" s="14" t="s">
        <v>631</v>
      </c>
      <c r="D13" t="s">
        <v>63</v>
      </c>
    </row>
    <row r="14" spans="1:11">
      <c r="A14" s="7" t="s">
        <v>742</v>
      </c>
      <c r="B14" t="s">
        <v>67</v>
      </c>
      <c r="C14" s="14" t="s">
        <v>743</v>
      </c>
      <c r="D14" t="s">
        <v>9</v>
      </c>
    </row>
    <row r="15" spans="1:11">
      <c r="A15" s="7" t="s">
        <v>744</v>
      </c>
      <c r="B15" t="s">
        <v>67</v>
      </c>
      <c r="C15" s="14" t="s">
        <v>745</v>
      </c>
      <c r="D15" t="s">
        <v>63</v>
      </c>
    </row>
    <row r="16" spans="1:11">
      <c r="A16" s="7" t="s">
        <v>755</v>
      </c>
      <c r="B16" t="s">
        <v>67</v>
      </c>
      <c r="C16" s="14" t="s">
        <v>754</v>
      </c>
      <c r="D16" t="s">
        <v>769</v>
      </c>
    </row>
    <row r="17" spans="1:11">
      <c r="A17" s="7" t="s">
        <v>763</v>
      </c>
      <c r="B17" t="s">
        <v>67</v>
      </c>
      <c r="C17" s="14" t="s">
        <v>764</v>
      </c>
      <c r="D17" t="s">
        <v>769</v>
      </c>
      <c r="F17" t="s">
        <v>767</v>
      </c>
      <c r="K17" t="s">
        <v>1776</v>
      </c>
    </row>
    <row r="18" spans="1:11">
      <c r="A18" s="7" t="s">
        <v>765</v>
      </c>
      <c r="B18" t="s">
        <v>67</v>
      </c>
      <c r="C18" s="14" t="s">
        <v>766</v>
      </c>
      <c r="D18" t="s">
        <v>769</v>
      </c>
      <c r="F18" t="s">
        <v>768</v>
      </c>
      <c r="K18" t="s">
        <v>1776</v>
      </c>
    </row>
    <row r="19" spans="1:11">
      <c r="A19" s="7" t="s">
        <v>770</v>
      </c>
      <c r="B19" t="s">
        <v>67</v>
      </c>
      <c r="C19" s="14" t="s">
        <v>2450</v>
      </c>
      <c r="D19" t="s">
        <v>771</v>
      </c>
      <c r="G19" t="s">
        <v>1605</v>
      </c>
      <c r="H19">
        <v>1</v>
      </c>
    </row>
    <row r="20" spans="1:11">
      <c r="A20" s="7" t="s">
        <v>1536</v>
      </c>
      <c r="B20" t="s">
        <v>67</v>
      </c>
      <c r="C20" s="14" t="s">
        <v>1639</v>
      </c>
      <c r="D20" t="s">
        <v>181</v>
      </c>
      <c r="K20" t="s">
        <v>1640</v>
      </c>
    </row>
    <row r="21" spans="1:11">
      <c r="A21" s="7" t="s">
        <v>1537</v>
      </c>
      <c r="B21" t="s">
        <v>67</v>
      </c>
      <c r="C21" s="14" t="s">
        <v>2302</v>
      </c>
      <c r="D21" t="s">
        <v>11</v>
      </c>
      <c r="K21" t="s">
        <v>1640</v>
      </c>
    </row>
    <row r="22" spans="1:11">
      <c r="A22" t="str">
        <f>A11&amp; "_raw"</f>
        <v>ClaimPop_raw</v>
      </c>
      <c r="B22" t="s">
        <v>67</v>
      </c>
      <c r="C22" s="14" t="s">
        <v>1544</v>
      </c>
      <c r="D22" t="s">
        <v>9</v>
      </c>
    </row>
    <row r="23" spans="1:11">
      <c r="A23" t="s">
        <v>1545</v>
      </c>
      <c r="B23" t="s">
        <v>67</v>
      </c>
      <c r="C23" s="14" t="s">
        <v>1546</v>
      </c>
      <c r="D23" t="s">
        <v>771</v>
      </c>
    </row>
    <row r="24" spans="1:11">
      <c r="A24" t="s">
        <v>1575</v>
      </c>
      <c r="B24" t="s">
        <v>67</v>
      </c>
      <c r="C24" s="14" t="s">
        <v>1576</v>
      </c>
      <c r="D24" t="s">
        <v>9</v>
      </c>
    </row>
    <row r="25" spans="1:11">
      <c r="A25" t="s">
        <v>1578</v>
      </c>
      <c r="B25" t="s">
        <v>2759</v>
      </c>
      <c r="C25" t="s">
        <v>1579</v>
      </c>
      <c r="D25" t="s">
        <v>9</v>
      </c>
      <c r="G25" t="s">
        <v>1580</v>
      </c>
      <c r="H25">
        <v>1</v>
      </c>
    </row>
    <row r="26" spans="1:11">
      <c r="A26" t="s">
        <v>2397</v>
      </c>
      <c r="B26" t="s">
        <v>67</v>
      </c>
      <c r="C26" s="14" t="s">
        <v>2398</v>
      </c>
      <c r="D26" t="s">
        <v>769</v>
      </c>
      <c r="K26" t="s">
        <v>1775</v>
      </c>
    </row>
    <row r="27" spans="1:11">
      <c r="A27" t="s">
        <v>1915</v>
      </c>
      <c r="B27" t="s">
        <v>67</v>
      </c>
      <c r="C27" s="14" t="s">
        <v>1921</v>
      </c>
      <c r="K27" t="s">
        <v>2221</v>
      </c>
    </row>
    <row r="28" spans="1:11">
      <c r="A28" t="s">
        <v>2081</v>
      </c>
      <c r="B28" t="s">
        <v>2082</v>
      </c>
      <c r="C28" t="s">
        <v>2667</v>
      </c>
      <c r="F28" t="s">
        <v>2083</v>
      </c>
      <c r="K28" t="s">
        <v>2220</v>
      </c>
    </row>
    <row r="29" spans="1:11">
      <c r="A29" t="s">
        <v>2084</v>
      </c>
      <c r="B29" t="s">
        <v>2082</v>
      </c>
      <c r="C29" t="s">
        <v>2474</v>
      </c>
      <c r="F29" t="s">
        <v>2083</v>
      </c>
      <c r="K29" t="s">
        <v>2220</v>
      </c>
    </row>
    <row r="30" spans="1:11">
      <c r="A30" t="s">
        <v>2085</v>
      </c>
      <c r="B30" t="s">
        <v>2082</v>
      </c>
      <c r="F30" t="s">
        <v>2083</v>
      </c>
      <c r="K30" t="s">
        <v>2220</v>
      </c>
    </row>
    <row r="31" spans="1:11">
      <c r="A31" t="s">
        <v>2091</v>
      </c>
      <c r="B31" t="s">
        <v>67</v>
      </c>
      <c r="C31" t="s">
        <v>2301</v>
      </c>
      <c r="K31" t="s">
        <v>2219</v>
      </c>
    </row>
    <row r="32" spans="1:11">
      <c r="A32" t="s">
        <v>2093</v>
      </c>
      <c r="B32" t="s">
        <v>67</v>
      </c>
      <c r="C32" t="s">
        <v>2092</v>
      </c>
      <c r="K32" t="s">
        <v>1775</v>
      </c>
    </row>
    <row r="33" spans="1:11">
      <c r="A33" t="s">
        <v>2202</v>
      </c>
      <c r="B33" t="s">
        <v>67</v>
      </c>
      <c r="C33" s="14" t="s">
        <v>2204</v>
      </c>
      <c r="D33" t="s">
        <v>9</v>
      </c>
    </row>
    <row r="34" spans="1:11">
      <c r="A34" t="s">
        <v>2203</v>
      </c>
      <c r="B34" t="s">
        <v>67</v>
      </c>
      <c r="C34" s="14" t="s">
        <v>2205</v>
      </c>
      <c r="D34" t="s">
        <v>9</v>
      </c>
    </row>
    <row r="35" spans="1:11">
      <c r="A35" t="s">
        <v>2218</v>
      </c>
      <c r="B35" t="s">
        <v>67</v>
      </c>
      <c r="C35" s="26" t="s">
        <v>2217</v>
      </c>
      <c r="D35" t="s">
        <v>180</v>
      </c>
      <c r="K35" t="s">
        <v>2219</v>
      </c>
    </row>
    <row r="36" spans="1:11">
      <c r="A36" t="s">
        <v>2275</v>
      </c>
      <c r="B36" t="s">
        <v>67</v>
      </c>
      <c r="C36" s="26" t="s">
        <v>2274</v>
      </c>
    </row>
    <row r="37" spans="1:11">
      <c r="A37" t="s">
        <v>2300</v>
      </c>
      <c r="B37" t="s">
        <v>67</v>
      </c>
      <c r="C37" t="s">
        <v>2299</v>
      </c>
      <c r="D37" t="s">
        <v>9</v>
      </c>
    </row>
    <row r="38" spans="1:11">
      <c r="A38" t="s">
        <v>2305</v>
      </c>
      <c r="B38" t="s">
        <v>67</v>
      </c>
      <c r="C38" t="s">
        <v>2306</v>
      </c>
    </row>
    <row r="39" spans="1:11">
      <c r="A39" t="s">
        <v>2354</v>
      </c>
      <c r="B39" t="s">
        <v>67</v>
      </c>
      <c r="C39" t="s">
        <v>2355</v>
      </c>
    </row>
    <row r="40" spans="1:11">
      <c r="A40" t="s">
        <v>2357</v>
      </c>
      <c r="B40" t="s">
        <v>2082</v>
      </c>
      <c r="C40" t="s">
        <v>2356</v>
      </c>
    </row>
    <row r="41" spans="1:11">
      <c r="A41" t="s">
        <v>2359</v>
      </c>
      <c r="B41" t="s">
        <v>2082</v>
      </c>
      <c r="C41" t="s">
        <v>2644</v>
      </c>
    </row>
    <row r="42" spans="1:11">
      <c r="A42" t="s">
        <v>2393</v>
      </c>
      <c r="B42" t="s">
        <v>67</v>
      </c>
      <c r="C42" t="s">
        <v>2396</v>
      </c>
    </row>
    <row r="43" spans="1:11">
      <c r="A43" t="s">
        <v>2394</v>
      </c>
      <c r="B43" t="s">
        <v>67</v>
      </c>
    </row>
    <row r="44" spans="1:11">
      <c r="A44" t="s">
        <v>2395</v>
      </c>
      <c r="B44" t="s">
        <v>67</v>
      </c>
    </row>
    <row r="45" spans="1:11">
      <c r="A45" t="s">
        <v>2416</v>
      </c>
      <c r="B45" t="s">
        <v>67</v>
      </c>
      <c r="C45" t="s">
        <v>2415</v>
      </c>
    </row>
    <row r="46" spans="1:11">
      <c r="A46" t="s">
        <v>2417</v>
      </c>
      <c r="B46" t="s">
        <v>67</v>
      </c>
      <c r="C46" t="s">
        <v>2418</v>
      </c>
    </row>
    <row r="47" spans="1:11">
      <c r="A47" t="s">
        <v>2427</v>
      </c>
      <c r="B47" t="s">
        <v>2082</v>
      </c>
      <c r="C47" t="s">
        <v>2668</v>
      </c>
    </row>
    <row r="48" spans="1:11">
      <c r="A48" t="s">
        <v>2475</v>
      </c>
      <c r="B48" t="s">
        <v>67</v>
      </c>
      <c r="C48" t="s">
        <v>2484</v>
      </c>
      <c r="D48" t="s">
        <v>9</v>
      </c>
    </row>
    <row r="49" spans="1:8">
      <c r="A49" t="s">
        <v>2545</v>
      </c>
      <c r="B49" t="s">
        <v>67</v>
      </c>
      <c r="C49" t="s">
        <v>2547</v>
      </c>
      <c r="D49" t="s">
        <v>9</v>
      </c>
    </row>
    <row r="50" spans="1:8">
      <c r="A50" t="s">
        <v>2546</v>
      </c>
      <c r="B50" t="s">
        <v>67</v>
      </c>
      <c r="C50" t="s">
        <v>2485</v>
      </c>
      <c r="D50" t="s">
        <v>9</v>
      </c>
    </row>
    <row r="51" spans="1:8">
      <c r="A51" t="s">
        <v>2640</v>
      </c>
      <c r="B51" t="s">
        <v>2082</v>
      </c>
      <c r="C51" t="s">
        <v>2643</v>
      </c>
    </row>
    <row r="52" spans="1:8">
      <c r="A52" t="s">
        <v>2641</v>
      </c>
      <c r="B52" t="s">
        <v>2082</v>
      </c>
      <c r="C52" t="s">
        <v>2642</v>
      </c>
    </row>
    <row r="53" spans="1:8">
      <c r="A53" t="s">
        <v>2755</v>
      </c>
      <c r="B53" t="s">
        <v>67</v>
      </c>
      <c r="C53" t="s">
        <v>2760</v>
      </c>
    </row>
    <row r="54" spans="1:8">
      <c r="A54" t="s">
        <v>2762</v>
      </c>
      <c r="B54" t="s">
        <v>2759</v>
      </c>
      <c r="C54" t="s">
        <v>2756</v>
      </c>
      <c r="G54" t="s">
        <v>2757</v>
      </c>
      <c r="H54">
        <v>1</v>
      </c>
    </row>
    <row r="55" spans="1:8">
      <c r="A55" t="s">
        <v>2758</v>
      </c>
      <c r="B55" t="s">
        <v>2759</v>
      </c>
      <c r="C55" t="s">
        <v>2761</v>
      </c>
      <c r="G55" t="s">
        <v>2763</v>
      </c>
      <c r="H55">
        <v>1</v>
      </c>
    </row>
    <row r="56" spans="1:8">
      <c r="A56" t="s">
        <v>2765</v>
      </c>
      <c r="B56" t="s">
        <v>67</v>
      </c>
      <c r="C56" t="s">
        <v>2764</v>
      </c>
    </row>
    <row r="57" spans="1:8">
      <c r="A57" t="s">
        <v>2766</v>
      </c>
      <c r="B57" t="s">
        <v>67</v>
      </c>
      <c r="C57" t="s">
        <v>2767</v>
      </c>
    </row>
    <row r="58" spans="1:8">
      <c r="A58" t="s">
        <v>2774</v>
      </c>
      <c r="B58" t="s">
        <v>67</v>
      </c>
      <c r="C58" t="s">
        <v>2768</v>
      </c>
    </row>
    <row r="59" spans="1:8">
      <c r="A59" t="s">
        <v>2773</v>
      </c>
      <c r="B59" t="s">
        <v>67</v>
      </c>
      <c r="C59" t="s">
        <v>2769</v>
      </c>
    </row>
    <row r="60" spans="1:8">
      <c r="A60" t="s">
        <v>2771</v>
      </c>
      <c r="B60" t="s">
        <v>67</v>
      </c>
      <c r="C60" t="s">
        <v>2772</v>
      </c>
    </row>
    <row r="61" spans="1:8">
      <c r="A61" t="s">
        <v>2770</v>
      </c>
      <c r="B61" t="s">
        <v>67</v>
      </c>
      <c r="C61" t="s">
        <v>2775</v>
      </c>
    </row>
    <row r="62" spans="1:8">
      <c r="A62" t="s">
        <v>2776</v>
      </c>
      <c r="B62" t="str">
        <f>SourceDef!B61</f>
        <v>csv</v>
      </c>
      <c r="C62" t="s">
        <v>2777</v>
      </c>
    </row>
    <row r="63" spans="1:8">
      <c r="A63" t="s">
        <v>2778</v>
      </c>
      <c r="B63" t="s">
        <v>67</v>
      </c>
      <c r="C63" t="s">
        <v>2779</v>
      </c>
    </row>
    <row r="64" spans="1:8">
      <c r="A64" t="s">
        <v>2806</v>
      </c>
      <c r="B64" t="s">
        <v>67</v>
      </c>
      <c r="C64" t="s">
        <v>2838</v>
      </c>
    </row>
    <row r="65" spans="1:3">
      <c r="A65" t="s">
        <v>2807</v>
      </c>
      <c r="B65" t="s">
        <v>67</v>
      </c>
      <c r="C65" t="s">
        <v>2808</v>
      </c>
    </row>
    <row r="66" spans="1:3">
      <c r="A66" t="s">
        <v>2809</v>
      </c>
      <c r="B66" t="s">
        <v>67</v>
      </c>
      <c r="C66" t="s">
        <v>2810</v>
      </c>
    </row>
    <row r="67" spans="1:3">
      <c r="A67" t="s">
        <v>2811</v>
      </c>
      <c r="B67" t="s">
        <v>67</v>
      </c>
      <c r="C67" t="s">
        <v>2812</v>
      </c>
    </row>
    <row r="68" spans="1:3">
      <c r="A68" t="s">
        <v>2813</v>
      </c>
      <c r="B68" t="s">
        <v>67</v>
      </c>
      <c r="C68" t="s">
        <v>2814</v>
      </c>
    </row>
    <row r="69" spans="1:3">
      <c r="A69" t="s">
        <v>2815</v>
      </c>
      <c r="B69" t="s">
        <v>67</v>
      </c>
      <c r="C69" t="s">
        <v>2816</v>
      </c>
    </row>
    <row r="70" spans="1:3">
      <c r="A70" t="s">
        <v>2817</v>
      </c>
      <c r="B70" t="s">
        <v>67</v>
      </c>
      <c r="C70" t="s">
        <v>2818</v>
      </c>
    </row>
    <row r="71" spans="1:3">
      <c r="A71" t="s">
        <v>2819</v>
      </c>
      <c r="B71" t="s">
        <v>2759</v>
      </c>
      <c r="C71" t="s">
        <v>2852</v>
      </c>
    </row>
    <row r="72" spans="1:3">
      <c r="A72" t="s">
        <v>2820</v>
      </c>
      <c r="B72" t="s">
        <v>2759</v>
      </c>
      <c r="C72" t="s">
        <v>2853</v>
      </c>
    </row>
    <row r="73" spans="1:3">
      <c r="A73" t="s">
        <v>2821</v>
      </c>
      <c r="B73" t="s">
        <v>2759</v>
      </c>
      <c r="C73" t="s">
        <v>2854</v>
      </c>
    </row>
    <row r="74" spans="1:3">
      <c r="A74" t="s">
        <v>2822</v>
      </c>
      <c r="B74" t="s">
        <v>67</v>
      </c>
      <c r="C74" t="s">
        <v>2828</v>
      </c>
    </row>
    <row r="75" spans="1:3">
      <c r="A75" t="s">
        <v>2823</v>
      </c>
      <c r="B75" t="s">
        <v>67</v>
      </c>
      <c r="C75" t="s">
        <v>2829</v>
      </c>
    </row>
    <row r="76" spans="1:3">
      <c r="A76" t="s">
        <v>2824</v>
      </c>
      <c r="B76" t="s">
        <v>67</v>
      </c>
      <c r="C76" t="s">
        <v>2830</v>
      </c>
    </row>
    <row r="77" spans="1:3">
      <c r="A77" t="s">
        <v>2825</v>
      </c>
      <c r="B77" t="s">
        <v>67</v>
      </c>
      <c r="C77" t="s">
        <v>2831</v>
      </c>
    </row>
    <row r="78" spans="1:3">
      <c r="A78" t="s">
        <v>2826</v>
      </c>
      <c r="B78" t="s">
        <v>67</v>
      </c>
      <c r="C78" t="s">
        <v>2832</v>
      </c>
    </row>
    <row r="79" spans="1:3">
      <c r="A79" t="s">
        <v>2827</v>
      </c>
      <c r="B79" t="s">
        <v>67</v>
      </c>
      <c r="C79" t="s">
        <v>2833</v>
      </c>
    </row>
    <row r="80" spans="1:3">
      <c r="A80" t="s">
        <v>2834</v>
      </c>
      <c r="B80" t="s">
        <v>67</v>
      </c>
      <c r="C80" t="s">
        <v>2836</v>
      </c>
    </row>
    <row r="81" spans="1:3">
      <c r="A81" t="s">
        <v>2835</v>
      </c>
      <c r="B81" t="s">
        <v>67</v>
      </c>
      <c r="C81" t="s">
        <v>2837</v>
      </c>
    </row>
    <row r="82" spans="1:3">
      <c r="A82" t="s">
        <v>2839</v>
      </c>
      <c r="B82" t="s">
        <v>67</v>
      </c>
      <c r="C82" t="s">
        <v>2840</v>
      </c>
    </row>
    <row r="83" spans="1:3">
      <c r="A83" t="s">
        <v>2842</v>
      </c>
      <c r="B83" t="s">
        <v>67</v>
      </c>
      <c r="C83" t="s">
        <v>2841</v>
      </c>
    </row>
    <row r="84" spans="1:3">
      <c r="A84" t="s">
        <v>2845</v>
      </c>
      <c r="B84" t="s">
        <v>67</v>
      </c>
      <c r="C84" t="s">
        <v>2843</v>
      </c>
    </row>
    <row r="85" spans="1:3">
      <c r="A85" t="s">
        <v>2846</v>
      </c>
      <c r="B85" t="s">
        <v>67</v>
      </c>
      <c r="C85" t="s">
        <v>2844</v>
      </c>
    </row>
  </sheetData>
  <autoFilter ref="A1:K64" xr:uid="{0609251A-A5E4-4D71-86EA-46583344712D}"/>
  <dataValidations disablePrompts="1" count="1">
    <dataValidation showInputMessage="1" showErrorMessage="1" sqref="A2:A10 A80" xr:uid="{13D0B247-B646-441C-8D8E-E77C06AB3050}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48A1-B21C-4739-866A-6009C7042760}">
  <sheetPr codeName="Sheet2"/>
  <dimension ref="A1:AK643"/>
  <sheetViews>
    <sheetView zoomScaleNormal="100" workbookViewId="0">
      <pane xSplit="1" ySplit="1" topLeftCell="B378" activePane="bottomRight" state="frozen"/>
      <selection pane="topRight" activeCell="B1" sqref="B1"/>
      <selection pane="bottomLeft" activeCell="A2" sqref="A2"/>
      <selection pane="bottomRight" activeCell="B378" sqref="B378"/>
    </sheetView>
  </sheetViews>
  <sheetFormatPr defaultColWidth="8.85546875" defaultRowHeight="15" outlineLevelCol="1"/>
  <cols>
    <col min="1" max="1" width="79.7109375" customWidth="1"/>
    <col min="2" max="2" width="32.7109375" customWidth="1"/>
    <col min="3" max="3" width="21.85546875" hidden="1" customWidth="1" outlineLevel="1"/>
    <col min="4" max="4" width="19.140625" hidden="1" customWidth="1" outlineLevel="1"/>
    <col min="5" max="5" width="21.140625" hidden="1" customWidth="1" outlineLevel="1"/>
    <col min="6" max="6" width="23.7109375" hidden="1" customWidth="1" outlineLevel="1"/>
    <col min="7" max="7" width="18.42578125" hidden="1" customWidth="1" outlineLevel="1"/>
    <col min="8" max="8" width="13" hidden="1" customWidth="1" outlineLevel="1"/>
    <col min="9" max="9" width="11.85546875" hidden="1" customWidth="1" outlineLevel="1"/>
    <col min="10" max="11" width="15" hidden="1" customWidth="1" outlineLevel="1"/>
    <col min="12" max="12" width="5.85546875" customWidth="1" collapsed="1"/>
    <col min="13" max="13" width="5.85546875" customWidth="1"/>
    <col min="14" max="14" width="7.28515625" customWidth="1"/>
    <col min="15" max="15" width="9.7109375" customWidth="1"/>
    <col min="16" max="16" width="38.7109375" customWidth="1"/>
    <col min="17" max="17" width="32.42578125" customWidth="1" outlineLevel="1"/>
    <col min="18" max="18" width="79.28515625" customWidth="1" outlineLevel="1"/>
    <col min="19" max="19" width="88.5703125" customWidth="1" outlineLevel="1"/>
    <col min="20" max="21" width="12.42578125" customWidth="1" outlineLevel="1"/>
    <col min="22" max="22" width="30.5703125" customWidth="1" outlineLevel="1"/>
    <col min="23" max="23" width="8.28515625" customWidth="1" outlineLevel="1"/>
    <col min="24" max="24" width="10.42578125" customWidth="1"/>
    <col min="25" max="25" width="74.28515625" customWidth="1"/>
    <col min="26" max="26" width="122.85546875" customWidth="1" outlineLevel="1"/>
    <col min="27" max="27" width="57.42578125" customWidth="1" outlineLevel="1"/>
    <col min="28" max="28" width="50.42578125" customWidth="1" outlineLevel="1"/>
    <col min="29" max="29" width="14.42578125" customWidth="1"/>
    <col min="30" max="30" width="10.140625" customWidth="1"/>
    <col min="31" max="32" width="9.7109375" customWidth="1"/>
    <col min="33" max="33" width="29.7109375" customWidth="1"/>
    <col min="34" max="34" width="22.42578125" customWidth="1"/>
    <col min="35" max="35" width="31.42578125" customWidth="1"/>
  </cols>
  <sheetData>
    <row r="1" spans="1:36">
      <c r="A1" s="6" t="str">
        <f>"out_" &amp; SourceDef!A33</f>
        <v>out_gross_claim</v>
      </c>
      <c r="B1" t="s">
        <v>1718</v>
      </c>
      <c r="C1" s="6" t="str">
        <f>"src_" &amp; SourceDef!A5</f>
        <v>src_cedars_custom_claim</v>
      </c>
      <c r="D1" s="6" t="str">
        <f>"src_" &amp; SourceDef!A6</f>
        <v>src_SampleControl</v>
      </c>
      <c r="E1" s="6" t="str">
        <f>"src_" &amp; SourceDef!A9</f>
        <v>src_evalclaim</v>
      </c>
      <c r="F1" s="6" t="str">
        <f>"src_" &amp; SourceDef!A10</f>
        <v>src_net_site_wkb</v>
      </c>
      <c r="G1" s="6" t="str">
        <f>"src_" &amp; SourceDef!A8</f>
        <v>src_projecttracker</v>
      </c>
      <c r="H1" s="6" t="str">
        <f>"src_" &amp; SourceDef!A12</f>
        <v>src_subsample</v>
      </c>
      <c r="I1" s="6" t="str">
        <f>"src_" &amp; SourceDef!A7</f>
        <v>src_claimtracker</v>
      </c>
      <c r="J1" s="6" t="str">
        <f>"src_" &amp; SourceDef!A19</f>
        <v>src_netcompletes</v>
      </c>
      <c r="K1" s="6" t="str">
        <f>"src_" &amp; SourceDef!A23</f>
        <v>src_netdispo</v>
      </c>
      <c r="L1" s="6" t="s">
        <v>652</v>
      </c>
      <c r="M1" s="6" t="s">
        <v>657</v>
      </c>
      <c r="N1" t="s">
        <v>0</v>
      </c>
      <c r="O1" t="s">
        <v>616</v>
      </c>
      <c r="P1" t="s">
        <v>602</v>
      </c>
      <c r="Q1" t="s">
        <v>610</v>
      </c>
      <c r="R1" t="s">
        <v>611</v>
      </c>
      <c r="S1" t="s">
        <v>612</v>
      </c>
      <c r="T1" t="s">
        <v>624</v>
      </c>
      <c r="U1" t="s">
        <v>628</v>
      </c>
      <c r="V1" t="s">
        <v>677</v>
      </c>
      <c r="W1" t="s">
        <v>678</v>
      </c>
      <c r="X1" t="s">
        <v>613</v>
      </c>
      <c r="Y1" t="s">
        <v>617</v>
      </c>
      <c r="Z1" t="s">
        <v>1</v>
      </c>
      <c r="AA1" t="s">
        <v>2</v>
      </c>
      <c r="AB1" t="s">
        <v>3</v>
      </c>
      <c r="AC1" t="s">
        <v>595</v>
      </c>
      <c r="AD1" t="s">
        <v>4</v>
      </c>
      <c r="AE1" t="s">
        <v>5</v>
      </c>
      <c r="AF1" t="s">
        <v>720</v>
      </c>
      <c r="AG1" t="s">
        <v>6</v>
      </c>
      <c r="AH1" t="s">
        <v>7</v>
      </c>
      <c r="AI1" t="s">
        <v>8</v>
      </c>
      <c r="AJ1" t="s">
        <v>2169</v>
      </c>
    </row>
    <row r="2" spans="1:36">
      <c r="A2" s="5" t="s">
        <v>9</v>
      </c>
      <c r="B2" t="s">
        <v>1719</v>
      </c>
      <c r="C2" s="5" t="s">
        <v>9</v>
      </c>
      <c r="D2" t="s">
        <v>9</v>
      </c>
      <c r="E2" t="s">
        <v>83</v>
      </c>
      <c r="F2" t="s">
        <v>83</v>
      </c>
      <c r="H2" t="s">
        <v>9</v>
      </c>
      <c r="I2" t="s">
        <v>9</v>
      </c>
      <c r="AE2" t="b">
        <f t="shared" ref="AE2:AE65" si="0">IF(NOT(ISBLANK(A2)), LEN(_xlfn.CONCAT(C2:AD2))&gt;0, "")</f>
        <v>1</v>
      </c>
      <c r="AF2" t="b">
        <f t="shared" ref="AF2:AF65" si="1">AND(ISNUMBER(SEARCH("kw",_xlfn.CONCAT(O2:AD2))), ISNUMBER(SEARCH("thm",_xlfn.CONCAT(O2:AD2))))</f>
        <v>0</v>
      </c>
    </row>
    <row r="3" spans="1:36">
      <c r="A3" s="5" t="s">
        <v>89</v>
      </c>
      <c r="B3" t="s">
        <v>1719</v>
      </c>
      <c r="C3" s="5" t="s">
        <v>89</v>
      </c>
      <c r="AE3" t="b">
        <f t="shared" si="0"/>
        <v>1</v>
      </c>
      <c r="AF3" t="b">
        <f t="shared" si="1"/>
        <v>0</v>
      </c>
    </row>
    <row r="4" spans="1:36">
      <c r="A4" s="5" t="s">
        <v>12</v>
      </c>
      <c r="B4" t="s">
        <v>1719</v>
      </c>
      <c r="C4" s="5" t="s">
        <v>12</v>
      </c>
      <c r="AE4" t="b">
        <f t="shared" si="0"/>
        <v>1</v>
      </c>
      <c r="AF4" t="b">
        <f t="shared" si="1"/>
        <v>0</v>
      </c>
    </row>
    <row r="5" spans="1:36">
      <c r="A5" s="5" t="s">
        <v>90</v>
      </c>
      <c r="B5" t="s">
        <v>1719</v>
      </c>
      <c r="C5" s="5" t="s">
        <v>90</v>
      </c>
      <c r="AE5" t="b">
        <f t="shared" si="0"/>
        <v>1</v>
      </c>
      <c r="AF5" t="b">
        <f t="shared" si="1"/>
        <v>0</v>
      </c>
    </row>
    <row r="6" spans="1:36">
      <c r="A6" s="5" t="s">
        <v>91</v>
      </c>
      <c r="B6" t="s">
        <v>1719</v>
      </c>
      <c r="C6" s="5" t="s">
        <v>91</v>
      </c>
      <c r="AE6" t="b">
        <f t="shared" si="0"/>
        <v>1</v>
      </c>
      <c r="AF6" t="b">
        <f t="shared" si="1"/>
        <v>0</v>
      </c>
    </row>
    <row r="7" spans="1:36">
      <c r="A7" s="5" t="s">
        <v>92</v>
      </c>
      <c r="B7" t="s">
        <v>1719</v>
      </c>
      <c r="C7" s="5" t="s">
        <v>92</v>
      </c>
      <c r="AE7" t="b">
        <f t="shared" si="0"/>
        <v>1</v>
      </c>
      <c r="AF7" t="b">
        <f t="shared" si="1"/>
        <v>0</v>
      </c>
    </row>
    <row r="8" spans="1:36">
      <c r="A8" s="5" t="s">
        <v>93</v>
      </c>
      <c r="B8" t="s">
        <v>1719</v>
      </c>
      <c r="C8" s="5" t="s">
        <v>93</v>
      </c>
      <c r="AE8" t="b">
        <f t="shared" si="0"/>
        <v>1</v>
      </c>
      <c r="AF8" t="b">
        <f t="shared" si="1"/>
        <v>0</v>
      </c>
    </row>
    <row r="9" spans="1:36">
      <c r="A9" s="5" t="s">
        <v>94</v>
      </c>
      <c r="B9" t="s">
        <v>1719</v>
      </c>
      <c r="C9" s="5" t="s">
        <v>94</v>
      </c>
      <c r="AE9" t="b">
        <f t="shared" si="0"/>
        <v>1</v>
      </c>
      <c r="AF9" t="b">
        <f t="shared" si="1"/>
        <v>0</v>
      </c>
    </row>
    <row r="10" spans="1:36">
      <c r="A10" s="5" t="s">
        <v>95</v>
      </c>
      <c r="B10" t="s">
        <v>1719</v>
      </c>
      <c r="C10" s="5" t="s">
        <v>95</v>
      </c>
      <c r="AE10" t="b">
        <f t="shared" si="0"/>
        <v>1</v>
      </c>
      <c r="AF10" t="b">
        <f t="shared" si="1"/>
        <v>0</v>
      </c>
    </row>
    <row r="11" spans="1:36">
      <c r="A11" s="5" t="s">
        <v>27</v>
      </c>
      <c r="B11" t="s">
        <v>1719</v>
      </c>
      <c r="C11" s="5" t="s">
        <v>27</v>
      </c>
      <c r="AE11" t="b">
        <f t="shared" si="0"/>
        <v>1</v>
      </c>
      <c r="AF11" t="b">
        <f t="shared" si="1"/>
        <v>0</v>
      </c>
    </row>
    <row r="12" spans="1:36">
      <c r="A12" s="5" t="s">
        <v>96</v>
      </c>
      <c r="B12" t="s">
        <v>1719</v>
      </c>
      <c r="C12" s="5" t="s">
        <v>96</v>
      </c>
      <c r="AE12" t="b">
        <f t="shared" si="0"/>
        <v>1</v>
      </c>
      <c r="AF12" t="b">
        <f t="shared" si="1"/>
        <v>0</v>
      </c>
    </row>
    <row r="13" spans="1:36">
      <c r="A13" s="5" t="s">
        <v>17</v>
      </c>
      <c r="B13" t="s">
        <v>1719</v>
      </c>
      <c r="C13" s="5" t="s">
        <v>17</v>
      </c>
      <c r="AE13" t="b">
        <f t="shared" si="0"/>
        <v>1</v>
      </c>
      <c r="AF13" t="b">
        <f t="shared" si="1"/>
        <v>0</v>
      </c>
    </row>
    <row r="14" spans="1:36">
      <c r="A14" s="5" t="s">
        <v>97</v>
      </c>
      <c r="B14" t="s">
        <v>1719</v>
      </c>
      <c r="C14" s="5" t="s">
        <v>97</v>
      </c>
      <c r="AE14" t="b">
        <f t="shared" si="0"/>
        <v>1</v>
      </c>
      <c r="AF14" t="b">
        <f t="shared" si="1"/>
        <v>0</v>
      </c>
    </row>
    <row r="15" spans="1:36">
      <c r="A15" s="5" t="s">
        <v>98</v>
      </c>
      <c r="B15" t="s">
        <v>1719</v>
      </c>
      <c r="C15" s="5" t="s">
        <v>98</v>
      </c>
      <c r="AE15" t="b">
        <f t="shared" si="0"/>
        <v>1</v>
      </c>
      <c r="AF15" t="b">
        <f t="shared" si="1"/>
        <v>0</v>
      </c>
    </row>
    <row r="16" spans="1:36">
      <c r="A16" s="5" t="s">
        <v>99</v>
      </c>
      <c r="B16" t="s">
        <v>1719</v>
      </c>
      <c r="C16" s="5" t="s">
        <v>99</v>
      </c>
      <c r="AE16" t="b">
        <f t="shared" si="0"/>
        <v>1</v>
      </c>
      <c r="AF16" t="b">
        <f t="shared" si="1"/>
        <v>0</v>
      </c>
    </row>
    <row r="17" spans="1:33">
      <c r="A17" s="5" t="s">
        <v>100</v>
      </c>
      <c r="B17" t="s">
        <v>1719</v>
      </c>
      <c r="C17" s="5" t="s">
        <v>100</v>
      </c>
      <c r="AE17" t="b">
        <f t="shared" si="0"/>
        <v>1</v>
      </c>
      <c r="AF17" t="b">
        <f t="shared" si="1"/>
        <v>0</v>
      </c>
    </row>
    <row r="18" spans="1:33">
      <c r="A18" s="5" t="s">
        <v>101</v>
      </c>
      <c r="B18" t="s">
        <v>1719</v>
      </c>
      <c r="C18" s="5" t="s">
        <v>101</v>
      </c>
      <c r="AE18" t="b">
        <f t="shared" si="0"/>
        <v>1</v>
      </c>
      <c r="AF18" t="b">
        <f t="shared" si="1"/>
        <v>0</v>
      </c>
    </row>
    <row r="19" spans="1:33">
      <c r="A19" s="5" t="s">
        <v>102</v>
      </c>
      <c r="B19" t="s">
        <v>1719</v>
      </c>
      <c r="C19" s="5" t="s">
        <v>102</v>
      </c>
      <c r="AE19" t="b">
        <f t="shared" si="0"/>
        <v>1</v>
      </c>
      <c r="AF19" t="b">
        <f t="shared" si="1"/>
        <v>0</v>
      </c>
      <c r="AG19" s="1"/>
    </row>
    <row r="20" spans="1:33">
      <c r="A20" s="5" t="s">
        <v>103</v>
      </c>
      <c r="B20" t="s">
        <v>1719</v>
      </c>
      <c r="C20" s="5" t="s">
        <v>103</v>
      </c>
      <c r="AE20" t="b">
        <f t="shared" si="0"/>
        <v>1</v>
      </c>
      <c r="AF20" t="b">
        <f t="shared" si="1"/>
        <v>0</v>
      </c>
    </row>
    <row r="21" spans="1:33">
      <c r="A21" s="5" t="s">
        <v>104</v>
      </c>
      <c r="B21" t="s">
        <v>1719</v>
      </c>
      <c r="C21" s="5" t="s">
        <v>104</v>
      </c>
      <c r="AE21" t="b">
        <f t="shared" si="0"/>
        <v>1</v>
      </c>
      <c r="AF21" t="b">
        <f t="shared" si="1"/>
        <v>0</v>
      </c>
    </row>
    <row r="22" spans="1:33">
      <c r="A22" s="5" t="s">
        <v>105</v>
      </c>
      <c r="B22" t="s">
        <v>1719</v>
      </c>
      <c r="C22" s="5" t="s">
        <v>105</v>
      </c>
      <c r="AE22" t="b">
        <f t="shared" si="0"/>
        <v>1</v>
      </c>
      <c r="AF22" t="b">
        <f t="shared" si="1"/>
        <v>0</v>
      </c>
    </row>
    <row r="23" spans="1:33">
      <c r="A23" s="5" t="s">
        <v>29</v>
      </c>
      <c r="B23" t="s">
        <v>1719</v>
      </c>
      <c r="C23" s="5" t="s">
        <v>29</v>
      </c>
      <c r="AE23" t="b">
        <f t="shared" si="0"/>
        <v>1</v>
      </c>
      <c r="AF23" t="b">
        <f t="shared" si="1"/>
        <v>0</v>
      </c>
    </row>
    <row r="24" spans="1:33">
      <c r="A24" s="5" t="s">
        <v>106</v>
      </c>
      <c r="B24" t="s">
        <v>1719</v>
      </c>
      <c r="C24" s="5" t="s">
        <v>106</v>
      </c>
      <c r="AE24" t="b">
        <f t="shared" si="0"/>
        <v>1</v>
      </c>
      <c r="AF24" t="b">
        <f t="shared" si="1"/>
        <v>0</v>
      </c>
    </row>
    <row r="25" spans="1:33">
      <c r="A25" s="5" t="s">
        <v>107</v>
      </c>
      <c r="B25" t="s">
        <v>1719</v>
      </c>
      <c r="C25" s="5" t="s">
        <v>107</v>
      </c>
      <c r="AE25" t="b">
        <f t="shared" si="0"/>
        <v>1</v>
      </c>
      <c r="AF25" t="b">
        <f t="shared" si="1"/>
        <v>0</v>
      </c>
    </row>
    <row r="26" spans="1:33">
      <c r="A26" s="5" t="s">
        <v>108</v>
      </c>
      <c r="B26" t="s">
        <v>1719</v>
      </c>
      <c r="C26" s="5" t="s">
        <v>108</v>
      </c>
      <c r="AE26" t="b">
        <f t="shared" si="0"/>
        <v>1</v>
      </c>
      <c r="AF26" t="b">
        <f t="shared" si="1"/>
        <v>0</v>
      </c>
    </row>
    <row r="27" spans="1:33">
      <c r="A27" s="5" t="s">
        <v>42</v>
      </c>
      <c r="B27" t="s">
        <v>1719</v>
      </c>
      <c r="C27" s="5" t="s">
        <v>42</v>
      </c>
      <c r="AE27" t="b">
        <f t="shared" si="0"/>
        <v>1</v>
      </c>
      <c r="AF27" t="b">
        <f t="shared" si="1"/>
        <v>0</v>
      </c>
    </row>
    <row r="28" spans="1:33">
      <c r="A28" s="5" t="s">
        <v>43</v>
      </c>
      <c r="B28" t="s">
        <v>1719</v>
      </c>
      <c r="C28" s="5" t="s">
        <v>43</v>
      </c>
      <c r="AE28" t="b">
        <f t="shared" si="0"/>
        <v>1</v>
      </c>
      <c r="AF28" t="b">
        <f t="shared" si="1"/>
        <v>0</v>
      </c>
    </row>
    <row r="29" spans="1:33">
      <c r="A29" s="5" t="s">
        <v>44</v>
      </c>
      <c r="B29" t="s">
        <v>1719</v>
      </c>
      <c r="C29" s="5" t="s">
        <v>44</v>
      </c>
      <c r="AE29" t="b">
        <f t="shared" si="0"/>
        <v>1</v>
      </c>
      <c r="AF29" t="b">
        <f t="shared" si="1"/>
        <v>0</v>
      </c>
    </row>
    <row r="30" spans="1:33">
      <c r="A30" s="5" t="s">
        <v>45</v>
      </c>
      <c r="B30" t="s">
        <v>1719</v>
      </c>
      <c r="C30" s="5" t="s">
        <v>45</v>
      </c>
      <c r="AE30" t="b">
        <f t="shared" si="0"/>
        <v>1</v>
      </c>
      <c r="AF30" t="b">
        <f t="shared" si="1"/>
        <v>0</v>
      </c>
    </row>
    <row r="31" spans="1:33">
      <c r="A31" s="5" t="s">
        <v>23</v>
      </c>
      <c r="B31" t="s">
        <v>1719</v>
      </c>
      <c r="C31" s="5" t="s">
        <v>23</v>
      </c>
      <c r="AE31" t="b">
        <f t="shared" si="0"/>
        <v>1</v>
      </c>
      <c r="AF31" t="b">
        <f t="shared" si="1"/>
        <v>0</v>
      </c>
    </row>
    <row r="32" spans="1:33">
      <c r="A32" s="10" t="s">
        <v>109</v>
      </c>
      <c r="B32" t="s">
        <v>1719</v>
      </c>
      <c r="C32" s="5" t="s">
        <v>109</v>
      </c>
      <c r="AE32" t="b">
        <f t="shared" si="0"/>
        <v>1</v>
      </c>
      <c r="AF32" t="b">
        <f t="shared" si="1"/>
        <v>0</v>
      </c>
    </row>
    <row r="33" spans="1:32">
      <c r="A33" s="10" t="s">
        <v>110</v>
      </c>
      <c r="B33" t="s">
        <v>1719</v>
      </c>
      <c r="C33" s="5" t="s">
        <v>110</v>
      </c>
      <c r="AE33" t="b">
        <f t="shared" si="0"/>
        <v>1</v>
      </c>
      <c r="AF33" t="b">
        <f t="shared" si="1"/>
        <v>0</v>
      </c>
    </row>
    <row r="34" spans="1:32">
      <c r="A34" s="10" t="s">
        <v>111</v>
      </c>
      <c r="B34" t="s">
        <v>1719</v>
      </c>
      <c r="C34" s="5" t="s">
        <v>111</v>
      </c>
      <c r="AE34" t="b">
        <f t="shared" si="0"/>
        <v>1</v>
      </c>
      <c r="AF34" t="b">
        <f t="shared" si="1"/>
        <v>0</v>
      </c>
    </row>
    <row r="35" spans="1:32">
      <c r="A35" s="10" t="s">
        <v>112</v>
      </c>
      <c r="B35" t="s">
        <v>1719</v>
      </c>
      <c r="C35" s="5" t="s">
        <v>112</v>
      </c>
      <c r="AE35" t="b">
        <f t="shared" si="0"/>
        <v>1</v>
      </c>
      <c r="AF35" t="b">
        <f t="shared" si="1"/>
        <v>0</v>
      </c>
    </row>
    <row r="36" spans="1:32">
      <c r="A36" s="10" t="s">
        <v>113</v>
      </c>
      <c r="B36" t="s">
        <v>1719</v>
      </c>
      <c r="C36" s="5" t="s">
        <v>113</v>
      </c>
      <c r="AE36" t="b">
        <f t="shared" si="0"/>
        <v>1</v>
      </c>
      <c r="AF36" t="b">
        <f t="shared" si="1"/>
        <v>0</v>
      </c>
    </row>
    <row r="37" spans="1:32">
      <c r="A37" s="10" t="s">
        <v>114</v>
      </c>
      <c r="B37" t="s">
        <v>1719</v>
      </c>
      <c r="C37" s="5" t="s">
        <v>114</v>
      </c>
      <c r="AE37" t="b">
        <f t="shared" si="0"/>
        <v>1</v>
      </c>
      <c r="AF37" t="b">
        <f t="shared" si="1"/>
        <v>0</v>
      </c>
    </row>
    <row r="38" spans="1:32">
      <c r="A38" s="10" t="s">
        <v>115</v>
      </c>
      <c r="B38" t="s">
        <v>1719</v>
      </c>
      <c r="C38" s="5" t="s">
        <v>115</v>
      </c>
      <c r="AE38" t="b">
        <f t="shared" si="0"/>
        <v>1</v>
      </c>
      <c r="AF38" t="b">
        <f t="shared" si="1"/>
        <v>0</v>
      </c>
    </row>
    <row r="39" spans="1:32">
      <c r="A39" s="10" t="s">
        <v>116</v>
      </c>
      <c r="B39" t="s">
        <v>1719</v>
      </c>
      <c r="C39" s="5" t="s">
        <v>116</v>
      </c>
      <c r="AE39" t="b">
        <f t="shared" si="0"/>
        <v>1</v>
      </c>
      <c r="AF39" t="b">
        <f t="shared" si="1"/>
        <v>0</v>
      </c>
    </row>
    <row r="40" spans="1:32">
      <c r="A40" s="10" t="s">
        <v>117</v>
      </c>
      <c r="B40" t="s">
        <v>1719</v>
      </c>
      <c r="C40" s="5" t="s">
        <v>117</v>
      </c>
      <c r="AE40" t="b">
        <f t="shared" si="0"/>
        <v>1</v>
      </c>
      <c r="AF40" t="b">
        <f t="shared" si="1"/>
        <v>0</v>
      </c>
    </row>
    <row r="41" spans="1:32">
      <c r="A41" s="10" t="s">
        <v>118</v>
      </c>
      <c r="B41" t="s">
        <v>1719</v>
      </c>
      <c r="C41" s="5" t="s">
        <v>118</v>
      </c>
      <c r="AE41" t="b">
        <f t="shared" si="0"/>
        <v>1</v>
      </c>
      <c r="AF41" t="b">
        <f t="shared" si="1"/>
        <v>0</v>
      </c>
    </row>
    <row r="42" spans="1:32">
      <c r="A42" s="10" t="s">
        <v>119</v>
      </c>
      <c r="B42" t="s">
        <v>1719</v>
      </c>
      <c r="C42" s="5" t="s">
        <v>119</v>
      </c>
      <c r="AE42" t="b">
        <f t="shared" si="0"/>
        <v>1</v>
      </c>
      <c r="AF42" t="b">
        <f t="shared" si="1"/>
        <v>0</v>
      </c>
    </row>
    <row r="43" spans="1:32">
      <c r="A43" s="10" t="s">
        <v>120</v>
      </c>
      <c r="B43" t="s">
        <v>1719</v>
      </c>
      <c r="C43" s="5" t="s">
        <v>120</v>
      </c>
      <c r="AE43" t="b">
        <f t="shared" si="0"/>
        <v>1</v>
      </c>
      <c r="AF43" t="b">
        <f t="shared" si="1"/>
        <v>0</v>
      </c>
    </row>
    <row r="44" spans="1:32">
      <c r="A44" t="str">
        <f t="shared" ref="A44:A59" si="2">C44</f>
        <v>ExAnteFirstYearGrosskW</v>
      </c>
      <c r="B44" t="s">
        <v>1719</v>
      </c>
      <c r="C44" s="5" t="s">
        <v>48</v>
      </c>
      <c r="AE44" t="b">
        <f t="shared" si="0"/>
        <v>1</v>
      </c>
      <c r="AF44" t="b">
        <f t="shared" si="1"/>
        <v>0</v>
      </c>
    </row>
    <row r="45" spans="1:32">
      <c r="A45" t="str">
        <f t="shared" si="2"/>
        <v>ExAnteFirstYearGrosskWh</v>
      </c>
      <c r="B45" t="s">
        <v>1719</v>
      </c>
      <c r="C45" s="5" t="s">
        <v>49</v>
      </c>
      <c r="AE45" t="b">
        <f t="shared" si="0"/>
        <v>1</v>
      </c>
      <c r="AF45" t="b">
        <f t="shared" si="1"/>
        <v>0</v>
      </c>
    </row>
    <row r="46" spans="1:32">
      <c r="A46" t="str">
        <f t="shared" si="2"/>
        <v>ExAnteFirstYearGrossTherm</v>
      </c>
      <c r="B46" t="s">
        <v>1719</v>
      </c>
      <c r="C46" s="5" t="s">
        <v>50</v>
      </c>
      <c r="AE46" t="b">
        <f t="shared" si="0"/>
        <v>1</v>
      </c>
      <c r="AF46" t="b">
        <f t="shared" si="1"/>
        <v>0</v>
      </c>
    </row>
    <row r="47" spans="1:32">
      <c r="A47" t="str">
        <f t="shared" si="2"/>
        <v>ExAnteFirstYearNetkW</v>
      </c>
      <c r="B47" t="s">
        <v>1719</v>
      </c>
      <c r="C47" s="5" t="s">
        <v>51</v>
      </c>
      <c r="AE47" t="b">
        <f t="shared" si="0"/>
        <v>1</v>
      </c>
      <c r="AF47" t="b">
        <f t="shared" si="1"/>
        <v>0</v>
      </c>
    </row>
    <row r="48" spans="1:32">
      <c r="A48" t="str">
        <f t="shared" si="2"/>
        <v>ExAnteFirstYearNetkWh</v>
      </c>
      <c r="B48" t="s">
        <v>1719</v>
      </c>
      <c r="C48" s="5" t="s">
        <v>52</v>
      </c>
      <c r="AE48" t="b">
        <f t="shared" si="0"/>
        <v>1</v>
      </c>
      <c r="AF48" t="b">
        <f t="shared" si="1"/>
        <v>0</v>
      </c>
    </row>
    <row r="49" spans="1:32">
      <c r="A49" t="str">
        <f t="shared" si="2"/>
        <v>ExAnteFirstYearNetTherm</v>
      </c>
      <c r="B49" t="s">
        <v>1719</v>
      </c>
      <c r="C49" s="5" t="s">
        <v>53</v>
      </c>
      <c r="AE49" t="b">
        <f t="shared" si="0"/>
        <v>1</v>
      </c>
      <c r="AF49" t="b">
        <f t="shared" si="1"/>
        <v>0</v>
      </c>
    </row>
    <row r="50" spans="1:32">
      <c r="A50" t="str">
        <f t="shared" si="2"/>
        <v>ExAnteLifecycleGrosskW</v>
      </c>
      <c r="B50" t="s">
        <v>1719</v>
      </c>
      <c r="C50" s="5" t="s">
        <v>54</v>
      </c>
      <c r="AE50" t="b">
        <f t="shared" si="0"/>
        <v>1</v>
      </c>
      <c r="AF50" t="b">
        <f t="shared" si="1"/>
        <v>0</v>
      </c>
    </row>
    <row r="51" spans="1:32">
      <c r="A51" t="str">
        <f t="shared" si="2"/>
        <v>ExAnteLifecycleGrosskWh</v>
      </c>
      <c r="B51" t="s">
        <v>1719</v>
      </c>
      <c r="C51" s="5" t="s">
        <v>55</v>
      </c>
      <c r="AE51" t="b">
        <f t="shared" si="0"/>
        <v>1</v>
      </c>
      <c r="AF51" t="b">
        <f t="shared" si="1"/>
        <v>0</v>
      </c>
    </row>
    <row r="52" spans="1:32">
      <c r="A52" t="str">
        <f t="shared" si="2"/>
        <v>ExAnteLifecycleGrossTherm</v>
      </c>
      <c r="B52" t="s">
        <v>1719</v>
      </c>
      <c r="C52" s="5" t="s">
        <v>56</v>
      </c>
      <c r="AE52" t="b">
        <f t="shared" si="0"/>
        <v>1</v>
      </c>
      <c r="AF52" t="b">
        <f t="shared" si="1"/>
        <v>0</v>
      </c>
    </row>
    <row r="53" spans="1:32">
      <c r="A53" t="str">
        <f t="shared" si="2"/>
        <v>ExAnteLifecycleNetkW</v>
      </c>
      <c r="B53" t="s">
        <v>1719</v>
      </c>
      <c r="C53" s="5" t="s">
        <v>57</v>
      </c>
      <c r="AE53" t="b">
        <f t="shared" si="0"/>
        <v>1</v>
      </c>
      <c r="AF53" t="b">
        <f t="shared" si="1"/>
        <v>0</v>
      </c>
    </row>
    <row r="54" spans="1:32">
      <c r="A54" t="str">
        <f t="shared" si="2"/>
        <v>ExAnteLifecycleNetkWh</v>
      </c>
      <c r="B54" t="s">
        <v>1719</v>
      </c>
      <c r="C54" s="5" t="s">
        <v>58</v>
      </c>
      <c r="AE54" t="b">
        <f t="shared" si="0"/>
        <v>1</v>
      </c>
      <c r="AF54" t="b">
        <f t="shared" si="1"/>
        <v>0</v>
      </c>
    </row>
    <row r="55" spans="1:32">
      <c r="A55" t="str">
        <f t="shared" si="2"/>
        <v>ExAnteLifecycleNetTherm</v>
      </c>
      <c r="B55" t="s">
        <v>1719</v>
      </c>
      <c r="C55" s="5" t="s">
        <v>59</v>
      </c>
      <c r="AE55" t="b">
        <f t="shared" si="0"/>
        <v>1</v>
      </c>
      <c r="AF55" t="b">
        <f t="shared" si="1"/>
        <v>0</v>
      </c>
    </row>
    <row r="56" spans="1:32">
      <c r="A56" t="str">
        <f t="shared" si="2"/>
        <v>ExAnteFirstYearGrossBTU</v>
      </c>
      <c r="B56" t="s">
        <v>1719</v>
      </c>
      <c r="C56" s="5" t="s">
        <v>143</v>
      </c>
      <c r="AE56" t="b">
        <f t="shared" si="0"/>
        <v>1</v>
      </c>
      <c r="AF56" t="b">
        <f t="shared" si="1"/>
        <v>0</v>
      </c>
    </row>
    <row r="57" spans="1:32">
      <c r="A57" t="str">
        <f t="shared" si="2"/>
        <v>ExAnteGrossMeasureCost</v>
      </c>
      <c r="B57" t="s">
        <v>1719</v>
      </c>
      <c r="C57" s="5" t="s">
        <v>144</v>
      </c>
      <c r="AE57" t="b">
        <f t="shared" si="0"/>
        <v>1</v>
      </c>
      <c r="AF57" t="b">
        <f t="shared" si="1"/>
        <v>0</v>
      </c>
    </row>
    <row r="58" spans="1:32">
      <c r="A58" t="str">
        <f t="shared" si="2"/>
        <v>ExAnteGrossMeasureCost_ER</v>
      </c>
      <c r="B58" t="s">
        <v>1719</v>
      </c>
      <c r="C58" s="5" t="s">
        <v>145</v>
      </c>
      <c r="AE58" t="b">
        <f t="shared" si="0"/>
        <v>1</v>
      </c>
      <c r="AF58" t="b">
        <f t="shared" si="1"/>
        <v>0</v>
      </c>
    </row>
    <row r="59" spans="1:32">
      <c r="A59" t="str">
        <f t="shared" si="2"/>
        <v>ExAnteGrossIncentive</v>
      </c>
      <c r="B59" t="s">
        <v>1719</v>
      </c>
      <c r="C59" s="5" t="s">
        <v>146</v>
      </c>
      <c r="AE59" t="b">
        <f t="shared" si="0"/>
        <v>1</v>
      </c>
      <c r="AF59" t="b">
        <f t="shared" si="1"/>
        <v>0</v>
      </c>
    </row>
    <row r="60" spans="1:32">
      <c r="A60" t="s">
        <v>596</v>
      </c>
      <c r="P60" t="str">
        <f t="shared" ref="P60:P65" si="3">A97 &amp; " * " &amp; $A$23</f>
        <v>UnitkW1stBaseline * NumUnits</v>
      </c>
      <c r="AE60" t="b">
        <f t="shared" si="0"/>
        <v>1</v>
      </c>
      <c r="AF60" t="b">
        <f t="shared" si="1"/>
        <v>0</v>
      </c>
    </row>
    <row r="61" spans="1:32">
      <c r="A61" t="s">
        <v>597</v>
      </c>
      <c r="P61" t="str">
        <f t="shared" si="3"/>
        <v>UnitkWh1stBaseline * NumUnits</v>
      </c>
      <c r="AE61" t="b">
        <f t="shared" si="0"/>
        <v>1</v>
      </c>
      <c r="AF61" t="b">
        <f t="shared" si="1"/>
        <v>0</v>
      </c>
    </row>
    <row r="62" spans="1:32">
      <c r="A62" t="s">
        <v>598</v>
      </c>
      <c r="P62" t="str">
        <f t="shared" si="3"/>
        <v>UnitTherm1stBaseline * NumUnits</v>
      </c>
      <c r="AE62" t="b">
        <f t="shared" si="0"/>
        <v>1</v>
      </c>
      <c r="AF62" t="b">
        <f t="shared" si="1"/>
        <v>0</v>
      </c>
    </row>
    <row r="63" spans="1:32">
      <c r="A63" t="s">
        <v>599</v>
      </c>
      <c r="P63" t="str">
        <f t="shared" si="3"/>
        <v>UnitkW2ndBaseline * NumUnits</v>
      </c>
      <c r="AE63" t="b">
        <f t="shared" si="0"/>
        <v>1</v>
      </c>
      <c r="AF63" t="b">
        <f t="shared" si="1"/>
        <v>0</v>
      </c>
    </row>
    <row r="64" spans="1:32">
      <c r="A64" t="s">
        <v>600</v>
      </c>
      <c r="P64" t="str">
        <f t="shared" si="3"/>
        <v>UnitkWh2ndBaseline * NumUnits</v>
      </c>
      <c r="AE64" t="b">
        <f t="shared" si="0"/>
        <v>1</v>
      </c>
      <c r="AF64" t="b">
        <f t="shared" si="1"/>
        <v>0</v>
      </c>
    </row>
    <row r="65" spans="1:36">
      <c r="A65" t="s">
        <v>601</v>
      </c>
      <c r="P65" t="str">
        <f t="shared" si="3"/>
        <v>UnitTherm2ndBaseline * NumUnits</v>
      </c>
      <c r="AE65" t="b">
        <f t="shared" si="0"/>
        <v>1</v>
      </c>
      <c r="AF65" t="b">
        <f t="shared" si="1"/>
        <v>0</v>
      </c>
    </row>
    <row r="66" spans="1:36">
      <c r="A66" t="s">
        <v>1633</v>
      </c>
      <c r="P66" t="str">
        <f>A50 &amp; "  / " &amp; A105</f>
        <v>ExAnteLifecycleGrosskW  / RealizationRatekW</v>
      </c>
      <c r="AE66" t="b">
        <f t="shared" ref="AE66:AE132" si="4">IF(NOT(ISBLANK(A66)), LEN(_xlfn.CONCAT(C66:AD66))&gt;0, "")</f>
        <v>1</v>
      </c>
      <c r="AF66" t="b">
        <f t="shared" ref="AF66:AF132" si="5">AND(ISNUMBER(SEARCH("kw",_xlfn.CONCAT(O66:AD66))), ISNUMBER(SEARCH("thm",_xlfn.CONCAT(O66:AD66))))</f>
        <v>0</v>
      </c>
      <c r="AJ66">
        <v>24</v>
      </c>
    </row>
    <row r="67" spans="1:36">
      <c r="A67" t="s">
        <v>1634</v>
      </c>
      <c r="P67" t="str">
        <f>A51 &amp; "  / " &amp; A106</f>
        <v>ExAnteLifecycleGrosskWh  / RealizationRatekWh</v>
      </c>
      <c r="AE67" t="b">
        <f t="shared" si="4"/>
        <v>1</v>
      </c>
      <c r="AF67" t="b">
        <f t="shared" si="5"/>
        <v>0</v>
      </c>
      <c r="AJ67">
        <v>24</v>
      </c>
    </row>
    <row r="68" spans="1:36">
      <c r="A68" t="s">
        <v>1635</v>
      </c>
      <c r="P68" t="str">
        <f>A52 &amp; "  / " &amp; A107</f>
        <v>ExAnteLifecycleGrossTherm  / RealizationRateTherm</v>
      </c>
      <c r="AE68" t="b">
        <f t="shared" si="4"/>
        <v>1</v>
      </c>
      <c r="AF68" t="b">
        <f t="shared" si="5"/>
        <v>0</v>
      </c>
      <c r="AJ68">
        <v>24</v>
      </c>
    </row>
    <row r="69" spans="1:36">
      <c r="A69" t="s">
        <v>1657</v>
      </c>
      <c r="P69" t="str">
        <f>A53 &amp; " /  " &amp; A105</f>
        <v>ExAnteLifecycleNetkW /  RealizationRatekW</v>
      </c>
      <c r="AE69" t="b">
        <f t="shared" si="4"/>
        <v>1</v>
      </c>
      <c r="AF69" t="b">
        <f t="shared" si="5"/>
        <v>0</v>
      </c>
      <c r="AJ69">
        <v>24</v>
      </c>
    </row>
    <row r="70" spans="1:36">
      <c r="A70" t="s">
        <v>1658</v>
      </c>
      <c r="P70" t="str">
        <f>A54 &amp; " /  " &amp; A106</f>
        <v>ExAnteLifecycleNetkWh /  RealizationRatekWh</v>
      </c>
      <c r="AE70" t="b">
        <f t="shared" si="4"/>
        <v>1</v>
      </c>
      <c r="AF70" t="b">
        <f t="shared" si="5"/>
        <v>0</v>
      </c>
      <c r="AJ70">
        <v>24</v>
      </c>
    </row>
    <row r="71" spans="1:36">
      <c r="A71" t="s">
        <v>1659</v>
      </c>
      <c r="P71" t="str">
        <f>A55 &amp; " /  " &amp; A107</f>
        <v>ExAnteLifecycleNetTherm /  RealizationRateTherm</v>
      </c>
      <c r="AE71" t="b">
        <f t="shared" si="4"/>
        <v>1</v>
      </c>
      <c r="AF71" t="b">
        <f t="shared" si="5"/>
        <v>0</v>
      </c>
      <c r="AJ71">
        <v>24</v>
      </c>
    </row>
    <row r="72" spans="1:36">
      <c r="A72" t="s">
        <v>2743</v>
      </c>
      <c r="P72" t="str">
        <f>A44 &amp; "  / " &amp; A105</f>
        <v>ExAnteFirstYearGrosskW  / RealizationRatekW</v>
      </c>
      <c r="AE72" t="b">
        <f t="shared" ref="AE72:AE74" si="6">IF(NOT(ISBLANK(A72)), LEN(_xlfn.CONCAT(C72:AD72))&gt;0, "")</f>
        <v>1</v>
      </c>
      <c r="AF72" t="b">
        <f t="shared" ref="AF72:AF74" si="7">AND(ISNUMBER(SEARCH("kw",_xlfn.CONCAT(O72:AD72))), ISNUMBER(SEARCH("thm",_xlfn.CONCAT(O72:AD72))))</f>
        <v>0</v>
      </c>
    </row>
    <row r="73" spans="1:36">
      <c r="A73" t="s">
        <v>2744</v>
      </c>
      <c r="P73" t="str">
        <f>A45 &amp; "  / " &amp; A106</f>
        <v>ExAnteFirstYearGrosskWh  / RealizationRatekWh</v>
      </c>
      <c r="AE73" t="b">
        <f t="shared" si="6"/>
        <v>1</v>
      </c>
      <c r="AF73" t="b">
        <f t="shared" si="7"/>
        <v>0</v>
      </c>
    </row>
    <row r="74" spans="1:36">
      <c r="A74" t="s">
        <v>2745</v>
      </c>
      <c r="P74" t="str">
        <f>A46 &amp; "  / " &amp; A107</f>
        <v>ExAnteFirstYearGrossTherm  / RealizationRateTherm</v>
      </c>
      <c r="AE74" t="b">
        <f t="shared" si="6"/>
        <v>1</v>
      </c>
      <c r="AF74" t="b">
        <f t="shared" si="7"/>
        <v>0</v>
      </c>
    </row>
    <row r="75" spans="1:36">
      <c r="A75" t="s">
        <v>662</v>
      </c>
      <c r="P75" t="str">
        <f>A50 &amp; " / " &amp; $A$103 &amp; " / " &amp; A105</f>
        <v>ExAnteLifecycleGrosskW / EUL_Yrs / RealizationRatekW</v>
      </c>
      <c r="AE75" t="b">
        <f t="shared" si="4"/>
        <v>1</v>
      </c>
      <c r="AF75" t="b">
        <f t="shared" si="5"/>
        <v>0</v>
      </c>
    </row>
    <row r="76" spans="1:36">
      <c r="A76" t="s">
        <v>664</v>
      </c>
      <c r="P76" t="str">
        <f>A51 &amp; " / " &amp; $A$103 &amp; " / " &amp; A106</f>
        <v>ExAnteLifecycleGrosskWh / EUL_Yrs / RealizationRatekWh</v>
      </c>
      <c r="AE76" t="b">
        <f t="shared" si="4"/>
        <v>1</v>
      </c>
      <c r="AF76" t="b">
        <f t="shared" si="5"/>
        <v>0</v>
      </c>
    </row>
    <row r="77" spans="1:36">
      <c r="A77" t="s">
        <v>663</v>
      </c>
      <c r="P77" t="str">
        <f>A52 &amp; " / " &amp; $A$103 &amp; " / " &amp; A107</f>
        <v>ExAnteLifecycleGrossTherm / EUL_Yrs / RealizationRateTherm</v>
      </c>
      <c r="AE77" t="b">
        <f t="shared" si="4"/>
        <v>1</v>
      </c>
      <c r="AF77" t="b">
        <f t="shared" si="5"/>
        <v>0</v>
      </c>
    </row>
    <row r="78" spans="1:36">
      <c r="A78" t="s">
        <v>747</v>
      </c>
      <c r="P78" t="str">
        <f t="shared" ref="P78:P83" si="8">A50 &amp; " / " &amp; $A$103</f>
        <v>ExAnteLifecycleGrosskW / EUL_Yrs</v>
      </c>
      <c r="AE78" t="b">
        <f t="shared" si="4"/>
        <v>1</v>
      </c>
      <c r="AF78" t="b">
        <f t="shared" si="5"/>
        <v>0</v>
      </c>
    </row>
    <row r="79" spans="1:36">
      <c r="A79" t="s">
        <v>748</v>
      </c>
      <c r="P79" t="str">
        <f t="shared" si="8"/>
        <v>ExAnteLifecycleGrosskWh / EUL_Yrs</v>
      </c>
      <c r="AE79" t="b">
        <f t="shared" si="4"/>
        <v>1</v>
      </c>
      <c r="AF79" t="b">
        <f t="shared" si="5"/>
        <v>0</v>
      </c>
    </row>
    <row r="80" spans="1:36">
      <c r="A80" t="s">
        <v>749</v>
      </c>
      <c r="P80" t="str">
        <f t="shared" si="8"/>
        <v>ExAnteLifecycleGrossTherm / EUL_Yrs</v>
      </c>
      <c r="AE80" t="b">
        <f t="shared" si="4"/>
        <v>1</v>
      </c>
      <c r="AF80" t="b">
        <f t="shared" si="5"/>
        <v>0</v>
      </c>
    </row>
    <row r="81" spans="1:32">
      <c r="A81" t="s">
        <v>750</v>
      </c>
      <c r="P81" t="str">
        <f t="shared" si="8"/>
        <v>ExAnteLifecycleNetkW / EUL_Yrs</v>
      </c>
      <c r="AE81" t="b">
        <f t="shared" si="4"/>
        <v>1</v>
      </c>
      <c r="AF81" t="b">
        <f t="shared" si="5"/>
        <v>0</v>
      </c>
    </row>
    <row r="82" spans="1:32">
      <c r="A82" t="s">
        <v>751</v>
      </c>
      <c r="P82" t="str">
        <f t="shared" si="8"/>
        <v>ExAnteLifecycleNetkWh / EUL_Yrs</v>
      </c>
      <c r="AE82" t="b">
        <f t="shared" si="4"/>
        <v>1</v>
      </c>
      <c r="AF82" t="b">
        <f t="shared" si="5"/>
        <v>0</v>
      </c>
    </row>
    <row r="83" spans="1:32">
      <c r="A83" t="s">
        <v>752</v>
      </c>
      <c r="P83" t="str">
        <f t="shared" si="8"/>
        <v>ExAnteLifecycleNetTherm / EUL_Yrs</v>
      </c>
      <c r="AE83" t="b">
        <f t="shared" si="4"/>
        <v>1</v>
      </c>
      <c r="AF83" t="b">
        <f t="shared" si="5"/>
        <v>0</v>
      </c>
    </row>
    <row r="84" spans="1:32">
      <c r="A84" t="s">
        <v>1654</v>
      </c>
      <c r="P84" t="str">
        <f>A53 &amp; " / " &amp; $A$103 &amp; " / " &amp; A105</f>
        <v>ExAnteLifecycleNetkW / EUL_Yrs / RealizationRatekW</v>
      </c>
      <c r="AE84" t="b">
        <f t="shared" si="4"/>
        <v>1</v>
      </c>
      <c r="AF84" t="b">
        <f t="shared" si="5"/>
        <v>0</v>
      </c>
    </row>
    <row r="85" spans="1:32">
      <c r="A85" t="s">
        <v>1656</v>
      </c>
      <c r="P85" t="str">
        <f>A54 &amp; " / " &amp; $A$103 &amp; " / " &amp; A106</f>
        <v>ExAnteLifecycleNetkWh / EUL_Yrs / RealizationRatekWh</v>
      </c>
      <c r="AE85" t="b">
        <f t="shared" si="4"/>
        <v>1</v>
      </c>
      <c r="AF85" t="b">
        <f t="shared" si="5"/>
        <v>0</v>
      </c>
    </row>
    <row r="86" spans="1:32">
      <c r="A86" t="s">
        <v>1655</v>
      </c>
      <c r="P86" t="str">
        <f>A55 &amp; " / " &amp; $A$103 &amp; " / " &amp; A107</f>
        <v>ExAnteLifecycleNetTherm / EUL_Yrs / RealizationRateTherm</v>
      </c>
      <c r="AE86" t="b">
        <f t="shared" si="4"/>
        <v>1</v>
      </c>
      <c r="AF86" t="b">
        <f t="shared" si="5"/>
        <v>0</v>
      </c>
    </row>
    <row r="87" spans="1:32">
      <c r="A87" t="str">
        <f t="shared" ref="A87:A116" si="9">C87</f>
        <v>MeasImpactType</v>
      </c>
      <c r="B87" t="s">
        <v>1719</v>
      </c>
      <c r="C87" s="5" t="s">
        <v>147</v>
      </c>
      <c r="AE87" t="b">
        <f t="shared" si="4"/>
        <v>1</v>
      </c>
      <c r="AF87" t="b">
        <f t="shared" si="5"/>
        <v>0</v>
      </c>
    </row>
    <row r="88" spans="1:32">
      <c r="A88" t="str">
        <f t="shared" si="9"/>
        <v>MarketEffectsBenefits</v>
      </c>
      <c r="B88" t="s">
        <v>1719</v>
      </c>
      <c r="C88" s="5" t="s">
        <v>28</v>
      </c>
      <c r="AE88" t="b">
        <f t="shared" si="4"/>
        <v>1</v>
      </c>
      <c r="AF88" t="b">
        <f t="shared" si="5"/>
        <v>0</v>
      </c>
    </row>
    <row r="89" spans="1:32">
      <c r="A89" t="str">
        <f t="shared" si="9"/>
        <v>MarketEffectsCosts</v>
      </c>
      <c r="B89" t="s">
        <v>1719</v>
      </c>
      <c r="C89" s="5" t="s">
        <v>150</v>
      </c>
      <c r="AE89" t="b">
        <f t="shared" si="4"/>
        <v>1</v>
      </c>
      <c r="AF89" t="b">
        <f t="shared" si="5"/>
        <v>0</v>
      </c>
    </row>
    <row r="90" spans="1:32">
      <c r="A90" t="str">
        <f t="shared" si="9"/>
        <v>RateScheduleElec</v>
      </c>
      <c r="B90" t="s">
        <v>1719</v>
      </c>
      <c r="C90" s="5" t="s">
        <v>151</v>
      </c>
      <c r="AE90" t="b">
        <f t="shared" si="4"/>
        <v>1</v>
      </c>
      <c r="AF90" t="b">
        <f t="shared" si="5"/>
        <v>0</v>
      </c>
    </row>
    <row r="91" spans="1:32">
      <c r="A91" t="str">
        <f t="shared" si="9"/>
        <v>RateScheduleGas</v>
      </c>
      <c r="B91" t="s">
        <v>1719</v>
      </c>
      <c r="C91" s="5" t="s">
        <v>152</v>
      </c>
      <c r="AE91" t="b">
        <f t="shared" si="4"/>
        <v>1</v>
      </c>
      <c r="AF91" t="b">
        <f t="shared" si="5"/>
        <v>0</v>
      </c>
    </row>
    <row r="92" spans="1:32">
      <c r="A92" t="str">
        <f t="shared" si="9"/>
        <v>MeasCode</v>
      </c>
      <c r="B92" t="s">
        <v>1719</v>
      </c>
      <c r="C92" s="5" t="s">
        <v>14</v>
      </c>
      <c r="AE92" t="b">
        <f t="shared" si="4"/>
        <v>1</v>
      </c>
      <c r="AF92" t="b">
        <f t="shared" si="5"/>
        <v>0</v>
      </c>
    </row>
    <row r="93" spans="1:32">
      <c r="A93" t="str">
        <f t="shared" si="9"/>
        <v>MeasAppType</v>
      </c>
      <c r="B93" t="s">
        <v>1719</v>
      </c>
      <c r="C93" s="5" t="s">
        <v>16</v>
      </c>
      <c r="AE93" t="b">
        <f t="shared" si="4"/>
        <v>1</v>
      </c>
      <c r="AF93" t="b">
        <f t="shared" si="5"/>
        <v>0</v>
      </c>
    </row>
    <row r="94" spans="1:32">
      <c r="A94" t="str">
        <f t="shared" si="9"/>
        <v>MeasDescription</v>
      </c>
      <c r="B94" t="s">
        <v>1719</v>
      </c>
      <c r="C94" s="5" t="s">
        <v>15</v>
      </c>
      <c r="AE94" t="b">
        <f t="shared" si="4"/>
        <v>1</v>
      </c>
      <c r="AF94" t="b">
        <f t="shared" si="5"/>
        <v>0</v>
      </c>
    </row>
    <row r="95" spans="1:32">
      <c r="A95" t="str">
        <f t="shared" si="9"/>
        <v>UseSubCategory</v>
      </c>
      <c r="B95" t="s">
        <v>1719</v>
      </c>
      <c r="C95" s="5" t="s">
        <v>153</v>
      </c>
      <c r="AE95" t="b">
        <f t="shared" si="4"/>
        <v>1</v>
      </c>
      <c r="AF95" t="b">
        <f t="shared" si="5"/>
        <v>0</v>
      </c>
    </row>
    <row r="96" spans="1:32">
      <c r="A96" t="str">
        <f t="shared" si="9"/>
        <v>TechType</v>
      </c>
      <c r="B96" t="s">
        <v>1719</v>
      </c>
      <c r="C96" s="5" t="s">
        <v>154</v>
      </c>
      <c r="AE96" t="b">
        <f t="shared" si="4"/>
        <v>1</v>
      </c>
      <c r="AF96" t="b">
        <f t="shared" si="5"/>
        <v>0</v>
      </c>
    </row>
    <row r="97" spans="1:35">
      <c r="A97" t="str">
        <f t="shared" si="9"/>
        <v>UnitkW1stBaseline</v>
      </c>
      <c r="B97" t="s">
        <v>1719</v>
      </c>
      <c r="C97" s="5" t="s">
        <v>30</v>
      </c>
      <c r="AE97" t="b">
        <f t="shared" si="4"/>
        <v>1</v>
      </c>
      <c r="AF97" t="b">
        <f t="shared" si="5"/>
        <v>0</v>
      </c>
    </row>
    <row r="98" spans="1:35">
      <c r="A98" t="str">
        <f t="shared" si="9"/>
        <v>UnitkWh1stBaseline</v>
      </c>
      <c r="B98" t="s">
        <v>1719</v>
      </c>
      <c r="C98" s="5" t="s">
        <v>31</v>
      </c>
      <c r="AE98" t="b">
        <f t="shared" si="4"/>
        <v>1</v>
      </c>
      <c r="AF98" t="b">
        <f t="shared" si="5"/>
        <v>0</v>
      </c>
    </row>
    <row r="99" spans="1:35">
      <c r="A99" t="str">
        <f t="shared" si="9"/>
        <v>UnitTherm1stBaseline</v>
      </c>
      <c r="B99" t="s">
        <v>1719</v>
      </c>
      <c r="C99" s="5" t="s">
        <v>32</v>
      </c>
      <c r="AE99" t="b">
        <f t="shared" si="4"/>
        <v>1</v>
      </c>
      <c r="AF99" t="b">
        <f t="shared" si="5"/>
        <v>0</v>
      </c>
    </row>
    <row r="100" spans="1:35">
      <c r="A100" t="str">
        <f t="shared" si="9"/>
        <v>UnitkW2ndBaseline</v>
      </c>
      <c r="B100" t="s">
        <v>1719</v>
      </c>
      <c r="C100" s="5" t="s">
        <v>33</v>
      </c>
      <c r="AE100" t="b">
        <f t="shared" si="4"/>
        <v>1</v>
      </c>
      <c r="AF100" t="b">
        <f t="shared" si="5"/>
        <v>0</v>
      </c>
    </row>
    <row r="101" spans="1:35">
      <c r="A101" t="str">
        <f t="shared" si="9"/>
        <v>UnitkWh2ndBaseline</v>
      </c>
      <c r="B101" t="s">
        <v>1719</v>
      </c>
      <c r="C101" s="5" t="s">
        <v>34</v>
      </c>
      <c r="AE101" t="b">
        <f t="shared" si="4"/>
        <v>1</v>
      </c>
      <c r="AF101" t="b">
        <f t="shared" si="5"/>
        <v>0</v>
      </c>
    </row>
    <row r="102" spans="1:35">
      <c r="A102" t="str">
        <f t="shared" si="9"/>
        <v>UnitTherm2ndBaseline</v>
      </c>
      <c r="B102" t="s">
        <v>1719</v>
      </c>
      <c r="C102" s="5" t="s">
        <v>35</v>
      </c>
      <c r="AA102" s="3"/>
      <c r="AE102" t="b">
        <f t="shared" si="4"/>
        <v>1</v>
      </c>
      <c r="AF102" t="b">
        <f t="shared" si="5"/>
        <v>0</v>
      </c>
      <c r="AI102" s="3"/>
    </row>
    <row r="103" spans="1:35">
      <c r="A103" t="str">
        <f t="shared" si="9"/>
        <v>EUL_Yrs</v>
      </c>
      <c r="B103" t="s">
        <v>1719</v>
      </c>
      <c r="C103" s="5" t="s">
        <v>46</v>
      </c>
      <c r="AA103" s="3"/>
      <c r="AE103" t="b">
        <f t="shared" si="4"/>
        <v>1</v>
      </c>
      <c r="AF103" t="b">
        <f t="shared" si="5"/>
        <v>0</v>
      </c>
      <c r="AI103" s="3"/>
    </row>
    <row r="104" spans="1:35">
      <c r="A104" t="str">
        <f t="shared" si="9"/>
        <v>RUL_Yrs</v>
      </c>
      <c r="B104" t="s">
        <v>1719</v>
      </c>
      <c r="C104" s="5" t="s">
        <v>47</v>
      </c>
      <c r="AA104" s="3"/>
      <c r="AE104" t="b">
        <f t="shared" si="4"/>
        <v>1</v>
      </c>
      <c r="AF104" t="b">
        <f t="shared" si="5"/>
        <v>0</v>
      </c>
      <c r="AI104" s="3"/>
    </row>
    <row r="105" spans="1:35">
      <c r="A105" t="str">
        <f t="shared" si="9"/>
        <v>RealizationRatekW</v>
      </c>
      <c r="B105" t="s">
        <v>1719</v>
      </c>
      <c r="C105" s="5" t="s">
        <v>39</v>
      </c>
      <c r="AE105" t="b">
        <f t="shared" si="4"/>
        <v>1</v>
      </c>
      <c r="AF105" t="b">
        <f t="shared" si="5"/>
        <v>0</v>
      </c>
    </row>
    <row r="106" spans="1:35">
      <c r="A106" t="str">
        <f t="shared" si="9"/>
        <v>RealizationRatekWh</v>
      </c>
      <c r="B106" t="s">
        <v>1719</v>
      </c>
      <c r="C106" s="5" t="s">
        <v>40</v>
      </c>
      <c r="AE106" t="b">
        <f t="shared" si="4"/>
        <v>1</v>
      </c>
      <c r="AF106" t="b">
        <f t="shared" si="5"/>
        <v>0</v>
      </c>
    </row>
    <row r="107" spans="1:35">
      <c r="A107" t="str">
        <f t="shared" si="9"/>
        <v>RealizationRateTherm</v>
      </c>
      <c r="B107" t="s">
        <v>1719</v>
      </c>
      <c r="C107" s="5" t="s">
        <v>41</v>
      </c>
      <c r="AE107" t="b">
        <f t="shared" si="4"/>
        <v>1</v>
      </c>
      <c r="AF107" t="b">
        <f t="shared" si="5"/>
        <v>0</v>
      </c>
    </row>
    <row r="108" spans="1:35">
      <c r="A108" t="str">
        <f t="shared" si="9"/>
        <v>UseCategory</v>
      </c>
      <c r="B108" t="s">
        <v>1719</v>
      </c>
      <c r="C108" s="5" t="s">
        <v>158</v>
      </c>
      <c r="AE108" t="b">
        <f t="shared" si="4"/>
        <v>1</v>
      </c>
      <c r="AF108" t="b">
        <f t="shared" si="5"/>
        <v>0</v>
      </c>
    </row>
    <row r="109" spans="1:35">
      <c r="A109" t="str">
        <f t="shared" si="9"/>
        <v>TechGroup</v>
      </c>
      <c r="B109" t="s">
        <v>1719</v>
      </c>
      <c r="C109" s="5" t="s">
        <v>159</v>
      </c>
      <c r="AE109" t="b">
        <f t="shared" si="4"/>
        <v>1</v>
      </c>
      <c r="AF109" t="b">
        <f t="shared" si="5"/>
        <v>0</v>
      </c>
    </row>
    <row r="110" spans="1:35">
      <c r="A110" t="str">
        <f t="shared" si="9"/>
        <v>PreDesc</v>
      </c>
      <c r="B110" t="s">
        <v>1719</v>
      </c>
      <c r="C110" s="5" t="s">
        <v>160</v>
      </c>
      <c r="AE110" t="b">
        <f t="shared" si="4"/>
        <v>1</v>
      </c>
      <c r="AF110" t="b">
        <f t="shared" si="5"/>
        <v>0</v>
      </c>
    </row>
    <row r="111" spans="1:35">
      <c r="A111" t="str">
        <f t="shared" si="9"/>
        <v>TotalGrossMeasureCost</v>
      </c>
      <c r="B111" t="s">
        <v>1719</v>
      </c>
      <c r="C111" s="5" t="s">
        <v>121</v>
      </c>
      <c r="AE111" t="b">
        <f t="shared" si="4"/>
        <v>1</v>
      </c>
      <c r="AF111" t="b">
        <f t="shared" si="5"/>
        <v>0</v>
      </c>
      <c r="AI111" s="4"/>
    </row>
    <row r="112" spans="1:35">
      <c r="A112" t="str">
        <f t="shared" si="9"/>
        <v>TotalGrossMeasureCost_ER</v>
      </c>
      <c r="B112" t="s">
        <v>1719</v>
      </c>
      <c r="C112" s="5" t="s">
        <v>122</v>
      </c>
      <c r="AE112" t="b">
        <f t="shared" si="4"/>
        <v>1</v>
      </c>
      <c r="AF112" t="b">
        <f t="shared" si="5"/>
        <v>0</v>
      </c>
      <c r="AI112" s="4"/>
    </row>
    <row r="113" spans="1:33">
      <c r="A113" t="str">
        <f t="shared" si="9"/>
        <v>TotalGrossIncentive</v>
      </c>
      <c r="B113" t="s">
        <v>1719</v>
      </c>
      <c r="C113" s="5" t="s">
        <v>123</v>
      </c>
      <c r="AE113" t="b">
        <f t="shared" si="4"/>
        <v>1</v>
      </c>
      <c r="AF113" t="b">
        <f t="shared" si="5"/>
        <v>0</v>
      </c>
    </row>
    <row r="114" spans="1:33">
      <c r="A114" t="str">
        <f t="shared" si="9"/>
        <v>UnitIncentiveToOthers</v>
      </c>
      <c r="B114" t="s">
        <v>1719</v>
      </c>
      <c r="C114" s="5" t="s">
        <v>125</v>
      </c>
      <c r="AE114" t="b">
        <f t="shared" si="4"/>
        <v>1</v>
      </c>
      <c r="AF114" t="b">
        <f t="shared" si="5"/>
        <v>0</v>
      </c>
      <c r="AG114" s="3"/>
    </row>
    <row r="115" spans="1:33">
      <c r="A115" t="str">
        <f t="shared" si="9"/>
        <v>InstallationDate</v>
      </c>
      <c r="B115" t="s">
        <v>1719</v>
      </c>
      <c r="C115" s="5" t="s">
        <v>24</v>
      </c>
      <c r="AE115" t="b">
        <f t="shared" si="4"/>
        <v>1</v>
      </c>
      <c r="AF115" t="b">
        <f t="shared" si="5"/>
        <v>0</v>
      </c>
    </row>
    <row r="116" spans="1:33">
      <c r="A116" t="str">
        <f t="shared" si="9"/>
        <v>CustomerAgreementDate</v>
      </c>
      <c r="B116" t="s">
        <v>1719</v>
      </c>
      <c r="C116" s="5" t="s">
        <v>140</v>
      </c>
      <c r="AE116" t="b">
        <f t="shared" si="4"/>
        <v>1</v>
      </c>
      <c r="AF116" t="b">
        <f t="shared" si="5"/>
        <v>0</v>
      </c>
    </row>
    <row r="117" spans="1:33">
      <c r="A117" t="str">
        <f t="shared" ref="A117:A148" si="10">D117</f>
        <v>PA</v>
      </c>
      <c r="B117" t="s">
        <v>1719</v>
      </c>
      <c r="D117" t="s">
        <v>11</v>
      </c>
      <c r="AE117" t="b">
        <f t="shared" si="4"/>
        <v>1</v>
      </c>
      <c r="AF117" t="b">
        <f t="shared" si="5"/>
        <v>0</v>
      </c>
    </row>
    <row r="118" spans="1:33">
      <c r="A118" t="str">
        <f t="shared" si="10"/>
        <v>ProgramName</v>
      </c>
      <c r="B118" t="s">
        <v>1719</v>
      </c>
      <c r="D118" t="s">
        <v>13</v>
      </c>
      <c r="AE118" t="b">
        <f t="shared" si="4"/>
        <v>1</v>
      </c>
      <c r="AF118" t="b">
        <f t="shared" si="5"/>
        <v>0</v>
      </c>
    </row>
    <row r="119" spans="1:33">
      <c r="A119" t="str">
        <f t="shared" si="10"/>
        <v>PrimarySector</v>
      </c>
      <c r="B119" t="s">
        <v>1719</v>
      </c>
      <c r="D119" t="s">
        <v>197</v>
      </c>
      <c r="AE119" t="b">
        <f t="shared" si="4"/>
        <v>1</v>
      </c>
      <c r="AF119" t="b">
        <f t="shared" si="5"/>
        <v>0</v>
      </c>
    </row>
    <row r="120" spans="1:33">
      <c r="A120" t="str">
        <f t="shared" si="10"/>
        <v>Prg_Sector</v>
      </c>
      <c r="D120" t="s">
        <v>198</v>
      </c>
      <c r="AE120" t="b">
        <f t="shared" si="4"/>
        <v>1</v>
      </c>
      <c r="AF120" t="b">
        <f t="shared" si="5"/>
        <v>0</v>
      </c>
    </row>
    <row r="121" spans="1:33">
      <c r="A121" t="str">
        <f t="shared" si="10"/>
        <v>ProgramImplementer</v>
      </c>
      <c r="B121" t="s">
        <v>1719</v>
      </c>
      <c r="D121" t="s">
        <v>199</v>
      </c>
      <c r="AE121" t="b">
        <f t="shared" si="4"/>
        <v>1</v>
      </c>
      <c r="AF121" t="b">
        <f t="shared" si="5"/>
        <v>0</v>
      </c>
    </row>
    <row r="122" spans="1:33">
      <c r="A122" t="str">
        <f t="shared" si="10"/>
        <v>ProgramCategory</v>
      </c>
      <c r="B122" t="s">
        <v>1719</v>
      </c>
      <c r="D122" t="s">
        <v>200</v>
      </c>
      <c r="AE122" t="b">
        <f t="shared" si="4"/>
        <v>1</v>
      </c>
      <c r="AF122" t="b">
        <f t="shared" si="5"/>
        <v>0</v>
      </c>
    </row>
    <row r="123" spans="1:33">
      <c r="A123" t="str">
        <f t="shared" si="10"/>
        <v>StatewideProgram</v>
      </c>
      <c r="B123" t="s">
        <v>1719</v>
      </c>
      <c r="D123" t="s">
        <v>201</v>
      </c>
      <c r="AE123" t="b">
        <f t="shared" si="4"/>
        <v>1</v>
      </c>
      <c r="AF123" t="b">
        <f t="shared" si="5"/>
        <v>0</v>
      </c>
    </row>
    <row r="124" spans="1:33">
      <c r="A124" t="str">
        <f t="shared" si="10"/>
        <v>ImplementationContractor</v>
      </c>
      <c r="B124" t="s">
        <v>1719</v>
      </c>
      <c r="D124" t="s">
        <v>202</v>
      </c>
      <c r="AE124" t="b">
        <f t="shared" si="4"/>
        <v>1</v>
      </c>
      <c r="AF124" t="b">
        <f t="shared" si="5"/>
        <v>0</v>
      </c>
    </row>
    <row r="125" spans="1:33">
      <c r="A125" t="str">
        <f t="shared" si="10"/>
        <v>ProgramManager</v>
      </c>
      <c r="B125" t="s">
        <v>1719</v>
      </c>
      <c r="D125" t="s">
        <v>203</v>
      </c>
      <c r="AE125" t="b">
        <f t="shared" si="4"/>
        <v>1</v>
      </c>
      <c r="AF125" t="b">
        <f t="shared" si="5"/>
        <v>0</v>
      </c>
    </row>
    <row r="126" spans="1:33">
      <c r="A126" t="str">
        <f t="shared" si="10"/>
        <v>StartYear</v>
      </c>
      <c r="B126" t="s">
        <v>1719</v>
      </c>
      <c r="D126" t="s">
        <v>204</v>
      </c>
      <c r="AE126" t="b">
        <f t="shared" si="4"/>
        <v>1</v>
      </c>
      <c r="AF126" t="b">
        <f t="shared" si="5"/>
        <v>0</v>
      </c>
    </row>
    <row r="127" spans="1:33">
      <c r="A127" t="str">
        <f t="shared" si="10"/>
        <v>EndYear</v>
      </c>
      <c r="B127" t="s">
        <v>1719</v>
      </c>
      <c r="D127" t="s">
        <v>205</v>
      </c>
      <c r="AE127" t="b">
        <f t="shared" si="4"/>
        <v>1</v>
      </c>
      <c r="AF127" t="b">
        <f t="shared" si="5"/>
        <v>0</v>
      </c>
    </row>
    <row r="128" spans="1:33">
      <c r="A128" t="str">
        <f t="shared" si="10"/>
        <v>Resource_Flag</v>
      </c>
      <c r="B128" t="s">
        <v>1719</v>
      </c>
      <c r="D128" t="s">
        <v>206</v>
      </c>
      <c r="AE128" t="b">
        <f t="shared" si="4"/>
        <v>1</v>
      </c>
      <c r="AF128" t="b">
        <f t="shared" si="5"/>
        <v>0</v>
      </c>
    </row>
    <row r="129" spans="1:32">
      <c r="A129" t="str">
        <f t="shared" si="10"/>
        <v>NonResource_Flag</v>
      </c>
      <c r="B129" t="s">
        <v>1719</v>
      </c>
      <c r="D129" t="s">
        <v>207</v>
      </c>
      <c r="AE129" t="b">
        <f t="shared" si="4"/>
        <v>1</v>
      </c>
      <c r="AF129" t="b">
        <f t="shared" si="5"/>
        <v>0</v>
      </c>
    </row>
    <row r="130" spans="1:32">
      <c r="A130" t="str">
        <f t="shared" si="10"/>
        <v>Deemed_Flag</v>
      </c>
      <c r="B130" t="s">
        <v>1719</v>
      </c>
      <c r="D130" t="s">
        <v>208</v>
      </c>
      <c r="AE130" t="b">
        <f t="shared" si="4"/>
        <v>1</v>
      </c>
      <c r="AF130" t="b">
        <f t="shared" si="5"/>
        <v>0</v>
      </c>
    </row>
    <row r="131" spans="1:32">
      <c r="A131" t="str">
        <f t="shared" si="10"/>
        <v>Custom_Flag</v>
      </c>
      <c r="B131" t="s">
        <v>1719</v>
      </c>
      <c r="D131" t="s">
        <v>209</v>
      </c>
      <c r="AE131" t="b">
        <f t="shared" si="4"/>
        <v>1</v>
      </c>
      <c r="AF131" t="b">
        <f t="shared" si="5"/>
        <v>0</v>
      </c>
    </row>
    <row r="132" spans="1:32">
      <c r="A132" t="str">
        <f t="shared" si="10"/>
        <v>Prg_Upstream_Flag</v>
      </c>
      <c r="D132" t="s">
        <v>210</v>
      </c>
      <c r="AE132" t="b">
        <f t="shared" si="4"/>
        <v>1</v>
      </c>
      <c r="AF132" t="b">
        <f t="shared" si="5"/>
        <v>0</v>
      </c>
    </row>
    <row r="133" spans="1:32">
      <c r="A133" t="str">
        <f t="shared" si="10"/>
        <v>Midstream_Flag</v>
      </c>
      <c r="B133" t="s">
        <v>1719</v>
      </c>
      <c r="D133" t="s">
        <v>211</v>
      </c>
      <c r="AE133" t="b">
        <f t="shared" ref="AE133:AE196" si="11">IF(NOT(ISBLANK(A133)), LEN(_xlfn.CONCAT(C133:AD133))&gt;0, "")</f>
        <v>1</v>
      </c>
      <c r="AF133" t="b">
        <f t="shared" ref="AF133:AF196" si="12">AND(ISNUMBER(SEARCH("kw",_xlfn.CONCAT(O133:AD133))), ISNUMBER(SEARCH("thm",_xlfn.CONCAT(O133:AD133))))</f>
        <v>0</v>
      </c>
    </row>
    <row r="134" spans="1:32">
      <c r="A134" t="str">
        <f t="shared" si="10"/>
        <v>Downstream_Flag</v>
      </c>
      <c r="B134" t="s">
        <v>1719</v>
      </c>
      <c r="D134" t="s">
        <v>212</v>
      </c>
      <c r="AE134" t="b">
        <f t="shared" si="11"/>
        <v>1</v>
      </c>
      <c r="AF134" t="b">
        <f t="shared" si="12"/>
        <v>0</v>
      </c>
    </row>
    <row r="135" spans="1:32">
      <c r="A135" t="str">
        <f t="shared" si="10"/>
        <v>DirectInstall</v>
      </c>
      <c r="B135" t="s">
        <v>1719</v>
      </c>
      <c r="D135" t="s">
        <v>213</v>
      </c>
      <c r="AE135" t="b">
        <f t="shared" si="11"/>
        <v>1</v>
      </c>
      <c r="AF135" t="b">
        <f t="shared" si="12"/>
        <v>0</v>
      </c>
    </row>
    <row r="136" spans="1:32">
      <c r="A136" t="str">
        <f t="shared" si="10"/>
        <v>Audit_Flag</v>
      </c>
      <c r="B136" t="s">
        <v>1719</v>
      </c>
      <c r="D136" t="s">
        <v>214</v>
      </c>
      <c r="AE136" t="b">
        <f t="shared" si="11"/>
        <v>1</v>
      </c>
      <c r="AF136" t="b">
        <f t="shared" si="12"/>
        <v>0</v>
      </c>
    </row>
    <row r="137" spans="1:32">
      <c r="A137" t="str">
        <f t="shared" si="10"/>
        <v>Financing</v>
      </c>
      <c r="B137" t="s">
        <v>1719</v>
      </c>
      <c r="D137" t="s">
        <v>215</v>
      </c>
      <c r="AE137" t="b">
        <f t="shared" si="11"/>
        <v>1</v>
      </c>
      <c r="AF137" t="b">
        <f t="shared" si="12"/>
        <v>0</v>
      </c>
    </row>
    <row r="138" spans="1:32">
      <c r="A138" t="str">
        <f t="shared" si="10"/>
        <v>ParentProgram</v>
      </c>
      <c r="B138" t="s">
        <v>1719</v>
      </c>
      <c r="D138" t="s">
        <v>216</v>
      </c>
      <c r="AE138" t="b">
        <f t="shared" si="11"/>
        <v>1</v>
      </c>
      <c r="AF138" t="b">
        <f t="shared" si="12"/>
        <v>0</v>
      </c>
    </row>
    <row r="139" spans="1:32">
      <c r="A139" t="str">
        <f t="shared" si="10"/>
        <v>Exclude_From_Budget</v>
      </c>
      <c r="B139" t="s">
        <v>1719</v>
      </c>
      <c r="D139" t="s">
        <v>217</v>
      </c>
      <c r="AE139" t="b">
        <f t="shared" si="11"/>
        <v>1</v>
      </c>
      <c r="AF139" t="b">
        <f t="shared" si="12"/>
        <v>0</v>
      </c>
    </row>
    <row r="140" spans="1:32">
      <c r="A140" t="str">
        <f t="shared" si="10"/>
        <v>Exclude_From_CE</v>
      </c>
      <c r="B140" t="s">
        <v>1719</v>
      </c>
      <c r="D140" t="s">
        <v>218</v>
      </c>
      <c r="AE140" t="b">
        <f t="shared" si="11"/>
        <v>1</v>
      </c>
      <c r="AF140" t="b">
        <f t="shared" si="12"/>
        <v>0</v>
      </c>
    </row>
    <row r="141" spans="1:32">
      <c r="A141" t="str">
        <f t="shared" si="10"/>
        <v>SBW_Sector</v>
      </c>
      <c r="D141" t="s">
        <v>219</v>
      </c>
      <c r="AE141" t="b">
        <f t="shared" si="11"/>
        <v>1</v>
      </c>
      <c r="AF141" t="b">
        <f t="shared" si="12"/>
        <v>0</v>
      </c>
    </row>
    <row r="142" spans="1:32">
      <c r="A142" t="str">
        <f t="shared" si="10"/>
        <v>SBW_InstallYr</v>
      </c>
      <c r="D142" t="s">
        <v>220</v>
      </c>
      <c r="AE142" t="b">
        <f t="shared" si="11"/>
        <v>1</v>
      </c>
      <c r="AF142" t="b">
        <f t="shared" si="12"/>
        <v>0</v>
      </c>
    </row>
    <row r="143" spans="1:32">
      <c r="A143" t="str">
        <f t="shared" si="10"/>
        <v>SBW_InstallInClaimYr</v>
      </c>
      <c r="D143" t="s">
        <v>221</v>
      </c>
      <c r="AE143" t="b">
        <f t="shared" si="11"/>
        <v>1</v>
      </c>
      <c r="AF143" t="b">
        <f t="shared" si="12"/>
        <v>0</v>
      </c>
    </row>
    <row r="144" spans="1:32">
      <c r="A144" t="str">
        <f t="shared" si="10"/>
        <v>SBW_ImpactType</v>
      </c>
      <c r="D144" t="s">
        <v>222</v>
      </c>
      <c r="AE144" t="b">
        <f t="shared" si="11"/>
        <v>1</v>
      </c>
      <c r="AF144" t="b">
        <f t="shared" si="12"/>
        <v>0</v>
      </c>
    </row>
    <row r="145" spans="1:32">
      <c r="A145" t="str">
        <f t="shared" si="10"/>
        <v>Study</v>
      </c>
      <c r="D145" t="s">
        <v>223</v>
      </c>
      <c r="AE145" t="b">
        <f t="shared" si="11"/>
        <v>1</v>
      </c>
      <c r="AF145" t="b">
        <f t="shared" si="12"/>
        <v>0</v>
      </c>
    </row>
    <row r="146" spans="1:32">
      <c r="A146" t="str">
        <f t="shared" si="10"/>
        <v>Sampled</v>
      </c>
      <c r="D146" t="s">
        <v>224</v>
      </c>
      <c r="AE146" t="b">
        <f t="shared" si="11"/>
        <v>1</v>
      </c>
      <c r="AF146" t="b">
        <f t="shared" si="12"/>
        <v>0</v>
      </c>
    </row>
    <row r="147" spans="1:32">
      <c r="A147" t="str">
        <f t="shared" si="10"/>
        <v>SampleOrder</v>
      </c>
      <c r="D147" t="s">
        <v>225</v>
      </c>
      <c r="AE147" t="b">
        <f t="shared" si="11"/>
        <v>1</v>
      </c>
      <c r="AF147" t="b">
        <f t="shared" si="12"/>
        <v>0</v>
      </c>
    </row>
    <row r="148" spans="1:32">
      <c r="A148" t="str">
        <f t="shared" si="10"/>
        <v>Treatment</v>
      </c>
      <c r="D148" t="s">
        <v>226</v>
      </c>
      <c r="AE148" t="b">
        <f t="shared" si="11"/>
        <v>1</v>
      </c>
      <c r="AF148" t="b">
        <f t="shared" si="12"/>
        <v>0</v>
      </c>
    </row>
    <row r="149" spans="1:32">
      <c r="A149" t="str">
        <f t="shared" ref="A149:A165" si="13">D149</f>
        <v>Pretest</v>
      </c>
      <c r="D149" t="s">
        <v>227</v>
      </c>
      <c r="AE149" t="b">
        <f t="shared" si="11"/>
        <v>1</v>
      </c>
      <c r="AF149" t="b">
        <f t="shared" si="12"/>
        <v>0</v>
      </c>
    </row>
    <row r="150" spans="1:32">
      <c r="A150" t="str">
        <f t="shared" si="13"/>
        <v>ExAnteWaterGallons</v>
      </c>
      <c r="B150" t="s">
        <v>1719</v>
      </c>
      <c r="D150" t="s">
        <v>191</v>
      </c>
      <c r="AE150" t="b">
        <f t="shared" si="11"/>
        <v>1</v>
      </c>
      <c r="AF150" t="b">
        <f t="shared" si="12"/>
        <v>0</v>
      </c>
    </row>
    <row r="151" spans="1:32">
      <c r="A151" t="str">
        <f t="shared" si="13"/>
        <v>ExAnteWaterTherm</v>
      </c>
      <c r="B151" t="s">
        <v>1719</v>
      </c>
      <c r="D151" t="s">
        <v>192</v>
      </c>
      <c r="AE151" t="b">
        <f t="shared" si="11"/>
        <v>1</v>
      </c>
      <c r="AF151" t="b">
        <f t="shared" si="12"/>
        <v>0</v>
      </c>
    </row>
    <row r="152" spans="1:32">
      <c r="A152" t="str">
        <f t="shared" si="13"/>
        <v>ExAnteWaterIouKwh</v>
      </c>
      <c r="B152" t="s">
        <v>1719</v>
      </c>
      <c r="D152" t="s">
        <v>193</v>
      </c>
      <c r="AE152" t="b">
        <f t="shared" si="11"/>
        <v>1</v>
      </c>
      <c r="AF152" t="b">
        <f t="shared" si="12"/>
        <v>0</v>
      </c>
    </row>
    <row r="153" spans="1:32">
      <c r="A153" t="str">
        <f t="shared" si="13"/>
        <v>ExAnteWaterNonIouKwh</v>
      </c>
      <c r="B153" t="s">
        <v>1719</v>
      </c>
      <c r="D153" t="s">
        <v>194</v>
      </c>
      <c r="AE153" t="b">
        <f t="shared" si="11"/>
        <v>1</v>
      </c>
      <c r="AF153" t="b">
        <f t="shared" si="12"/>
        <v>0</v>
      </c>
    </row>
    <row r="154" spans="1:32">
      <c r="A154" t="str">
        <f t="shared" si="13"/>
        <v>SBW_ProjID</v>
      </c>
      <c r="D154" t="s">
        <v>180</v>
      </c>
      <c r="AE154" t="b">
        <f t="shared" si="11"/>
        <v>1</v>
      </c>
      <c r="AF154" t="b">
        <f t="shared" si="12"/>
        <v>0</v>
      </c>
    </row>
    <row r="155" spans="1:32">
      <c r="A155" t="str">
        <f t="shared" si="13"/>
        <v>domain</v>
      </c>
      <c r="D155" t="s">
        <v>181</v>
      </c>
      <c r="AE155" t="b">
        <f t="shared" si="11"/>
        <v>1</v>
      </c>
      <c r="AF155" t="b">
        <f t="shared" si="12"/>
        <v>0</v>
      </c>
    </row>
    <row r="156" spans="1:32">
      <c r="A156" t="str">
        <f t="shared" si="13"/>
        <v>stratum_kWh</v>
      </c>
      <c r="D156" t="s">
        <v>182</v>
      </c>
      <c r="AE156" t="b">
        <f t="shared" si="11"/>
        <v>1</v>
      </c>
      <c r="AF156" t="b">
        <f t="shared" si="12"/>
        <v>0</v>
      </c>
    </row>
    <row r="157" spans="1:32">
      <c r="A157" t="str">
        <f t="shared" si="13"/>
        <v>stratum_thm</v>
      </c>
      <c r="D157" t="s">
        <v>183</v>
      </c>
      <c r="AE157" t="b">
        <f t="shared" si="11"/>
        <v>1</v>
      </c>
      <c r="AF157" t="b">
        <f t="shared" si="12"/>
        <v>0</v>
      </c>
    </row>
    <row r="158" spans="1:32">
      <c r="A158" t="str">
        <f t="shared" si="13"/>
        <v>sampled_kWh</v>
      </c>
      <c r="D158" t="s">
        <v>184</v>
      </c>
      <c r="AE158" t="b">
        <f t="shared" si="11"/>
        <v>1</v>
      </c>
      <c r="AF158" t="b">
        <f t="shared" si="12"/>
        <v>0</v>
      </c>
    </row>
    <row r="159" spans="1:32">
      <c r="A159" t="str">
        <f t="shared" si="13"/>
        <v>sampled_thm</v>
      </c>
      <c r="D159" t="s">
        <v>185</v>
      </c>
      <c r="AE159" t="b">
        <f t="shared" si="11"/>
        <v>1</v>
      </c>
      <c r="AF159" t="b">
        <f t="shared" si="12"/>
        <v>0</v>
      </c>
    </row>
    <row r="160" spans="1:32">
      <c r="A160" t="str">
        <f t="shared" si="13"/>
        <v>smpld_primary</v>
      </c>
      <c r="D160" t="s">
        <v>186</v>
      </c>
      <c r="AE160" t="b">
        <f t="shared" si="11"/>
        <v>1</v>
      </c>
      <c r="AF160" t="b">
        <f t="shared" si="12"/>
        <v>0</v>
      </c>
    </row>
    <row r="161" spans="1:32">
      <c r="A161" t="str">
        <f t="shared" si="13"/>
        <v>smpld_net_kWh</v>
      </c>
      <c r="D161" t="s">
        <v>187</v>
      </c>
      <c r="AE161" t="b">
        <f t="shared" si="11"/>
        <v>1</v>
      </c>
      <c r="AF161" t="b">
        <f t="shared" si="12"/>
        <v>0</v>
      </c>
    </row>
    <row r="162" spans="1:32">
      <c r="A162" t="str">
        <f t="shared" si="13"/>
        <v>smpld_net_thm</v>
      </c>
      <c r="D162" t="s">
        <v>188</v>
      </c>
      <c r="AE162" t="b">
        <f t="shared" si="11"/>
        <v>1</v>
      </c>
      <c r="AF162" t="b">
        <f t="shared" si="12"/>
        <v>0</v>
      </c>
    </row>
    <row r="163" spans="1:32">
      <c r="A163" t="str">
        <f t="shared" si="13"/>
        <v>smpld_net</v>
      </c>
      <c r="D163" t="s">
        <v>189</v>
      </c>
      <c r="AE163" t="b">
        <f t="shared" si="11"/>
        <v>1</v>
      </c>
      <c r="AF163" t="b">
        <f t="shared" si="12"/>
        <v>0</v>
      </c>
    </row>
    <row r="164" spans="1:32">
      <c r="A164" t="str">
        <f t="shared" si="13"/>
        <v>smpld_net_new</v>
      </c>
      <c r="D164" t="s">
        <v>1577</v>
      </c>
      <c r="AE164" t="b">
        <f t="shared" si="11"/>
        <v>1</v>
      </c>
      <c r="AF164" t="b">
        <f t="shared" si="12"/>
        <v>0</v>
      </c>
    </row>
    <row r="165" spans="1:32">
      <c r="A165" t="str">
        <f t="shared" si="13"/>
        <v>SampleID</v>
      </c>
      <c r="D165" t="s">
        <v>63</v>
      </c>
      <c r="G165" t="s">
        <v>63</v>
      </c>
      <c r="J165" t="s">
        <v>771</v>
      </c>
      <c r="K165" t="s">
        <v>771</v>
      </c>
      <c r="AE165" t="b">
        <f t="shared" si="11"/>
        <v>1</v>
      </c>
      <c r="AF165" t="b">
        <f t="shared" si="12"/>
        <v>0</v>
      </c>
    </row>
    <row r="166" spans="1:32">
      <c r="A166" t="str">
        <f>E166</f>
        <v>EvalMeasID</v>
      </c>
      <c r="E166" t="s">
        <v>229</v>
      </c>
      <c r="AE166" t="b">
        <f t="shared" si="11"/>
        <v>1</v>
      </c>
      <c r="AF166" t="b">
        <f t="shared" si="12"/>
        <v>0</v>
      </c>
    </row>
    <row r="167" spans="1:32">
      <c r="A167" t="str">
        <f>E167</f>
        <v>SampledAny</v>
      </c>
      <c r="E167" t="s">
        <v>230</v>
      </c>
      <c r="AE167" t="b">
        <f t="shared" si="11"/>
        <v>1</v>
      </c>
      <c r="AF167" t="b">
        <f t="shared" si="12"/>
        <v>0</v>
      </c>
    </row>
    <row r="168" spans="1:32">
      <c r="A168" t="str">
        <f>G168</f>
        <v>SavingsAnalysisComplQC</v>
      </c>
      <c r="G168" t="s">
        <v>541</v>
      </c>
      <c r="AE168" t="b">
        <f t="shared" si="11"/>
        <v>1</v>
      </c>
      <c r="AF168" t="b">
        <f t="shared" si="12"/>
        <v>0</v>
      </c>
    </row>
    <row r="169" spans="1:32">
      <c r="A169" t="str">
        <f>G169</f>
        <v>NetSurveyComplDate</v>
      </c>
      <c r="G169" t="s">
        <v>552</v>
      </c>
      <c r="AE169" t="b">
        <f t="shared" si="11"/>
        <v>1</v>
      </c>
      <c r="AF169" t="b">
        <f t="shared" si="12"/>
        <v>0</v>
      </c>
    </row>
    <row r="170" spans="1:32">
      <c r="A170" t="s">
        <v>1533</v>
      </c>
      <c r="J170" t="s">
        <v>772</v>
      </c>
      <c r="AE170" t="b">
        <f t="shared" si="11"/>
        <v>1</v>
      </c>
      <c r="AF170" t="b">
        <f t="shared" si="12"/>
        <v>0</v>
      </c>
    </row>
    <row r="171" spans="1:32">
      <c r="A171" t="s">
        <v>1552</v>
      </c>
      <c r="K171" t="s">
        <v>1551</v>
      </c>
      <c r="AE171" t="b">
        <f t="shared" si="11"/>
        <v>1</v>
      </c>
      <c r="AF171" t="b">
        <f t="shared" si="12"/>
        <v>0</v>
      </c>
    </row>
    <row r="172" spans="1:32">
      <c r="A172" t="str">
        <f>K172</f>
        <v>dispositioncategory</v>
      </c>
      <c r="K172" t="s">
        <v>1918</v>
      </c>
      <c r="AE172" t="b">
        <f t="shared" si="11"/>
        <v>1</v>
      </c>
      <c r="AF172" t="b">
        <f t="shared" si="12"/>
        <v>0</v>
      </c>
    </row>
    <row r="173" spans="1:32">
      <c r="A173" t="str">
        <f>G173</f>
        <v>ProjectDropped</v>
      </c>
      <c r="G173" t="s">
        <v>753</v>
      </c>
      <c r="AE173" t="b">
        <f t="shared" si="11"/>
        <v>1</v>
      </c>
      <c r="AF173" t="b">
        <f t="shared" si="12"/>
        <v>0</v>
      </c>
    </row>
    <row r="174" spans="1:32">
      <c r="A174" t="str">
        <f t="shared" ref="A174:A185" si="14">E174</f>
        <v>CustomerAgreementDate_Eval</v>
      </c>
      <c r="E174" t="s">
        <v>231</v>
      </c>
      <c r="AE174" t="b">
        <f t="shared" si="11"/>
        <v>1</v>
      </c>
      <c r="AF174" t="b">
        <f t="shared" si="12"/>
        <v>0</v>
      </c>
    </row>
    <row r="175" spans="1:32">
      <c r="A175" t="str">
        <f t="shared" si="14"/>
        <v>InstallationDate_Eval</v>
      </c>
      <c r="E175" t="s">
        <v>232</v>
      </c>
      <c r="AE175" t="b">
        <f t="shared" si="11"/>
        <v>1</v>
      </c>
      <c r="AF175" t="b">
        <f t="shared" si="12"/>
        <v>0</v>
      </c>
    </row>
    <row r="176" spans="1:32">
      <c r="A176" t="str">
        <f t="shared" si="14"/>
        <v>BaselineDef_Eval</v>
      </c>
      <c r="E176" t="s">
        <v>298</v>
      </c>
      <c r="AE176" t="b">
        <f t="shared" si="11"/>
        <v>1</v>
      </c>
      <c r="AF176" t="b">
        <f t="shared" si="12"/>
        <v>0</v>
      </c>
    </row>
    <row r="177" spans="1:37">
      <c r="A177" t="str">
        <f t="shared" si="14"/>
        <v>Baseline2Def_Eval</v>
      </c>
      <c r="E177" t="s">
        <v>299</v>
      </c>
      <c r="AE177" t="b">
        <f t="shared" si="11"/>
        <v>1</v>
      </c>
      <c r="AF177" t="b">
        <f t="shared" si="12"/>
        <v>0</v>
      </c>
    </row>
    <row r="178" spans="1:37">
      <c r="A178" t="str">
        <f t="shared" si="14"/>
        <v>MeasDescription_Eval</v>
      </c>
      <c r="E178" t="s">
        <v>306</v>
      </c>
      <c r="AE178" t="b">
        <f t="shared" si="11"/>
        <v>1</v>
      </c>
      <c r="AF178" t="b">
        <f t="shared" si="12"/>
        <v>0</v>
      </c>
    </row>
    <row r="179" spans="1:37">
      <c r="A179" t="str">
        <f t="shared" si="14"/>
        <v>BldgLoc_Eval</v>
      </c>
      <c r="E179" t="s">
        <v>307</v>
      </c>
      <c r="AE179" t="b">
        <f t="shared" si="11"/>
        <v>1</v>
      </c>
      <c r="AF179" t="b">
        <f t="shared" si="12"/>
        <v>0</v>
      </c>
    </row>
    <row r="180" spans="1:37">
      <c r="A180" t="str">
        <f t="shared" si="14"/>
        <v>CM_MeasAppType_Eval</v>
      </c>
      <c r="E180" t="s">
        <v>309</v>
      </c>
      <c r="AE180" t="b">
        <f t="shared" si="11"/>
        <v>1</v>
      </c>
      <c r="AF180" t="b">
        <f t="shared" si="12"/>
        <v>0</v>
      </c>
    </row>
    <row r="181" spans="1:37">
      <c r="A181" t="str">
        <f t="shared" si="14"/>
        <v>TotalGrossIncentive_Eval</v>
      </c>
      <c r="E181" t="s">
        <v>320</v>
      </c>
      <c r="AE181" t="b">
        <f t="shared" si="11"/>
        <v>1</v>
      </c>
      <c r="AF181" t="b">
        <f t="shared" si="12"/>
        <v>0</v>
      </c>
    </row>
    <row r="182" spans="1:37">
      <c r="A182" t="str">
        <f t="shared" si="14"/>
        <v>IncentivesToOthers_Eval</v>
      </c>
      <c r="E182" t="s">
        <v>323</v>
      </c>
      <c r="AE182" t="b">
        <f t="shared" si="11"/>
        <v>1</v>
      </c>
      <c r="AF182" t="b">
        <f t="shared" si="12"/>
        <v>0</v>
      </c>
    </row>
    <row r="183" spans="1:37">
      <c r="A183" t="str">
        <f t="shared" si="14"/>
        <v>TotalGrossMeasureCost_Eval</v>
      </c>
      <c r="E183" t="s">
        <v>324</v>
      </c>
      <c r="AE183" t="b">
        <f t="shared" si="11"/>
        <v>1</v>
      </c>
      <c r="AF183" t="b">
        <f t="shared" si="12"/>
        <v>0</v>
      </c>
    </row>
    <row r="184" spans="1:37">
      <c r="A184" t="str">
        <f t="shared" si="14"/>
        <v>TotalGrossMeasureCost_ER_Eval</v>
      </c>
      <c r="E184" t="s">
        <v>325</v>
      </c>
      <c r="AE184" t="b">
        <f t="shared" si="11"/>
        <v>1</v>
      </c>
      <c r="AF184" t="b">
        <f t="shared" si="12"/>
        <v>0</v>
      </c>
    </row>
    <row r="185" spans="1:37">
      <c r="A185" t="str">
        <f t="shared" si="14"/>
        <v>WaterSvgs_Eval</v>
      </c>
      <c r="E185" t="s">
        <v>341</v>
      </c>
      <c r="AE185" t="b">
        <f t="shared" si="11"/>
        <v>1</v>
      </c>
      <c r="AF185" t="b">
        <f t="shared" si="12"/>
        <v>0</v>
      </c>
    </row>
    <row r="186" spans="1:37">
      <c r="A186" t="str">
        <f t="shared" ref="A186:A191" si="15">E186 &amp; "_orig"</f>
        <v>EvalBase1kWSvgs_orig</v>
      </c>
      <c r="E186" t="s">
        <v>60</v>
      </c>
      <c r="AE186" t="b">
        <f t="shared" si="11"/>
        <v>1</v>
      </c>
      <c r="AF186" t="b">
        <f t="shared" si="12"/>
        <v>0</v>
      </c>
    </row>
    <row r="187" spans="1:37">
      <c r="A187" t="str">
        <f t="shared" si="15"/>
        <v>EvalBase1kWhSvgs_orig</v>
      </c>
      <c r="E187" t="s">
        <v>61</v>
      </c>
      <c r="AE187" t="b">
        <f t="shared" si="11"/>
        <v>1</v>
      </c>
      <c r="AF187" t="b">
        <f t="shared" si="12"/>
        <v>0</v>
      </c>
    </row>
    <row r="188" spans="1:37">
      <c r="A188" t="str">
        <f t="shared" si="15"/>
        <v>EvalBase1ThermSvgs_orig</v>
      </c>
      <c r="E188" t="s">
        <v>62</v>
      </c>
      <c r="AE188" t="b">
        <f t="shared" si="11"/>
        <v>1</v>
      </c>
      <c r="AF188" t="b">
        <f t="shared" si="12"/>
        <v>0</v>
      </c>
    </row>
    <row r="189" spans="1:37">
      <c r="A189" t="str">
        <f t="shared" si="15"/>
        <v>EvalBase2kWSvgs_orig</v>
      </c>
      <c r="E189" t="s">
        <v>334</v>
      </c>
      <c r="AE189" t="b">
        <f t="shared" si="11"/>
        <v>1</v>
      </c>
      <c r="AF189" t="b">
        <f t="shared" si="12"/>
        <v>0</v>
      </c>
    </row>
    <row r="190" spans="1:37">
      <c r="A190" t="str">
        <f t="shared" si="15"/>
        <v>EvalBase2kWhSvgs_orig</v>
      </c>
      <c r="E190" t="s">
        <v>336</v>
      </c>
      <c r="AE190" t="b">
        <f t="shared" si="11"/>
        <v>1</v>
      </c>
      <c r="AF190" t="b">
        <f t="shared" si="12"/>
        <v>0</v>
      </c>
    </row>
    <row r="191" spans="1:37">
      <c r="A191" t="str">
        <f t="shared" si="15"/>
        <v>EvalBase2ThermSvgs_orig</v>
      </c>
      <c r="E191" t="s">
        <v>338</v>
      </c>
      <c r="AE191" t="b">
        <f t="shared" si="11"/>
        <v>1</v>
      </c>
      <c r="AF191" t="b">
        <f t="shared" si="12"/>
        <v>0</v>
      </c>
    </row>
    <row r="192" spans="1:37">
      <c r="A192" t="s">
        <v>1553</v>
      </c>
      <c r="G192" t="s">
        <v>2358</v>
      </c>
      <c r="AE192" t="b">
        <f t="shared" si="11"/>
        <v>1</v>
      </c>
      <c r="AF192" t="b">
        <f t="shared" si="12"/>
        <v>0</v>
      </c>
      <c r="AK192" s="13" t="str">
        <f>A168 &amp; " .notnull(), 'Completed' ; " &amp; A173 &amp; " ==True, 'Dropped', None"</f>
        <v>SavingsAnalysisComplQC .notnull(), 'Completed' ; ProjectDropped ==True, 'Dropped', None</v>
      </c>
    </row>
    <row r="193" spans="1:33">
      <c r="A193" t="str">
        <f>I193 &amp; "_raw"</f>
        <v>E3TargetSector_Eval_raw</v>
      </c>
      <c r="I193" t="s">
        <v>571</v>
      </c>
      <c r="AE193" t="b">
        <f t="shared" si="11"/>
        <v>1</v>
      </c>
      <c r="AF193" t="b">
        <f t="shared" si="12"/>
        <v>0</v>
      </c>
    </row>
    <row r="194" spans="1:33">
      <c r="A194" t="str">
        <f>I194 &amp; "_raw"</f>
        <v>E3MeaElecEndUseShape_Eval_raw</v>
      </c>
      <c r="I194" t="s">
        <v>572</v>
      </c>
      <c r="AE194" t="b">
        <f t="shared" si="11"/>
        <v>1</v>
      </c>
      <c r="AF194" t="b">
        <f t="shared" si="12"/>
        <v>0</v>
      </c>
    </row>
    <row r="195" spans="1:33">
      <c r="A195" t="str">
        <f>I195 &amp; "_raw"</f>
        <v>E3GasSector_Eval_raw</v>
      </c>
      <c r="I195" t="s">
        <v>573</v>
      </c>
      <c r="AE195" t="b">
        <f t="shared" si="11"/>
        <v>1</v>
      </c>
      <c r="AF195" t="b">
        <f t="shared" si="12"/>
        <v>0</v>
      </c>
    </row>
    <row r="196" spans="1:33">
      <c r="A196" t="str">
        <f>I196 &amp; "_raw"</f>
        <v>E3GasSavProfile_Eval_raw</v>
      </c>
      <c r="I196" t="s">
        <v>574</v>
      </c>
      <c r="AE196" t="b">
        <f t="shared" si="11"/>
        <v>1</v>
      </c>
      <c r="AF196" t="b">
        <f t="shared" si="12"/>
        <v>0</v>
      </c>
    </row>
    <row r="197" spans="1:33">
      <c r="A197" t="s">
        <v>581</v>
      </c>
      <c r="I197" t="s">
        <v>581</v>
      </c>
      <c r="AE197" t="b">
        <f t="shared" ref="AE197:AE260" si="16">IF(NOT(ISBLANK(A197)), LEN(_xlfn.CONCAT(C197:AD197))&gt;0, "")</f>
        <v>1</v>
      </c>
      <c r="AF197" t="b">
        <f t="shared" ref="AF197:AF260" si="17">AND(ISNUMBER(SEARCH("kw",_xlfn.CONCAT(O197:AD197))), ISNUMBER(SEARCH("thm",_xlfn.CONCAT(O197:AD197))))</f>
        <v>0</v>
      </c>
    </row>
    <row r="198" spans="1:33">
      <c r="A198" t="s">
        <v>582</v>
      </c>
      <c r="I198" t="s">
        <v>582</v>
      </c>
      <c r="AE198" t="b">
        <f t="shared" si="16"/>
        <v>1</v>
      </c>
      <c r="AF198" t="b">
        <f t="shared" si="17"/>
        <v>0</v>
      </c>
    </row>
    <row r="199" spans="1:33">
      <c r="A199" t="s">
        <v>606</v>
      </c>
      <c r="Z199" t="str">
        <f>"( " &amp;A93 &amp; " )"</f>
        <v>( MeasAppType )</v>
      </c>
      <c r="AA199" t="str">
        <f>"( " &amp; A180 &amp; " )"</f>
        <v>( CM_MeasAppType_Eval )</v>
      </c>
      <c r="AB199" t="str">
        <f>"( " &amp; A180 &amp; " .isnull())"</f>
        <v>( CM_MeasAppType_Eval .isnull())</v>
      </c>
      <c r="AE199" t="b">
        <f t="shared" si="16"/>
        <v>1</v>
      </c>
      <c r="AF199" t="b">
        <f t="shared" si="17"/>
        <v>0</v>
      </c>
      <c r="AG199" t="s">
        <v>607</v>
      </c>
    </row>
    <row r="200" spans="1:33">
      <c r="A200" t="s">
        <v>605</v>
      </c>
      <c r="Z200" t="str">
        <f>"( " &amp; A199 &amp; " )"</f>
        <v>( RawEvalMeasAppType )</v>
      </c>
      <c r="AA200" s="8" t="s">
        <v>609</v>
      </c>
      <c r="AB200" t="str">
        <f>"( " &amp; A199 &amp; " !='ER')"</f>
        <v>( RawEvalMeasAppType !='ER')</v>
      </c>
      <c r="AE200" t="b">
        <f t="shared" si="16"/>
        <v>1</v>
      </c>
      <c r="AF200" t="b">
        <f t="shared" si="17"/>
        <v>0</v>
      </c>
      <c r="AG200" t="s">
        <v>608</v>
      </c>
    </row>
    <row r="201" spans="1:33">
      <c r="A201" t="str">
        <f>G201</f>
        <v>RigorkWh</v>
      </c>
      <c r="G201" t="s">
        <v>506</v>
      </c>
      <c r="AE201" t="b">
        <f t="shared" si="16"/>
        <v>1</v>
      </c>
      <c r="AF201" t="b">
        <f t="shared" si="17"/>
        <v>0</v>
      </c>
    </row>
    <row r="202" spans="1:33">
      <c r="A202" t="str">
        <f>G202</f>
        <v>RigorTherm</v>
      </c>
      <c r="G202" t="s">
        <v>507</v>
      </c>
      <c r="AE202" t="b">
        <f t="shared" si="16"/>
        <v>1</v>
      </c>
      <c r="AF202" t="b">
        <f t="shared" si="17"/>
        <v>0</v>
      </c>
    </row>
    <row r="203" spans="1:33">
      <c r="A203" t="str">
        <f>G203</f>
        <v>NetTrack</v>
      </c>
      <c r="G203" t="s">
        <v>369</v>
      </c>
      <c r="AE203" t="b">
        <f t="shared" si="16"/>
        <v>1</v>
      </c>
      <c r="AF203" t="b">
        <f t="shared" si="17"/>
        <v>0</v>
      </c>
    </row>
    <row r="204" spans="1:33">
      <c r="A204" t="str">
        <f t="shared" ref="A204:A209" si="18">H204</f>
        <v>certaintykwh</v>
      </c>
      <c r="H204" t="s">
        <v>587</v>
      </c>
      <c r="AE204" t="b">
        <f t="shared" si="16"/>
        <v>1</v>
      </c>
      <c r="AF204" t="b">
        <f t="shared" si="17"/>
        <v>0</v>
      </c>
    </row>
    <row r="205" spans="1:33">
      <c r="A205" t="str">
        <f t="shared" si="18"/>
        <v>certaintythm</v>
      </c>
      <c r="H205" t="s">
        <v>591</v>
      </c>
      <c r="AE205" t="b">
        <f t="shared" si="16"/>
        <v>1</v>
      </c>
      <c r="AF205" t="b">
        <f t="shared" si="17"/>
        <v>0</v>
      </c>
    </row>
    <row r="206" spans="1:33">
      <c r="A206" t="str">
        <f t="shared" si="18"/>
        <v>Sampled_kwh</v>
      </c>
      <c r="H206" t="s">
        <v>589</v>
      </c>
      <c r="M206" t="s">
        <v>658</v>
      </c>
      <c r="AE206" t="b">
        <f t="shared" si="16"/>
        <v>1</v>
      </c>
      <c r="AF206" t="b">
        <f t="shared" si="17"/>
        <v>0</v>
      </c>
    </row>
    <row r="207" spans="1:33">
      <c r="A207" t="str">
        <f t="shared" si="18"/>
        <v>Sampled_thm</v>
      </c>
      <c r="H207" t="s">
        <v>593</v>
      </c>
      <c r="M207" t="s">
        <v>658</v>
      </c>
      <c r="AE207" t="b">
        <f t="shared" si="16"/>
        <v>1</v>
      </c>
      <c r="AF207" t="b">
        <f t="shared" si="17"/>
        <v>0</v>
      </c>
    </row>
    <row r="208" spans="1:33">
      <c r="A208" t="str">
        <f t="shared" si="18"/>
        <v>poolkwh</v>
      </c>
      <c r="H208" t="s">
        <v>588</v>
      </c>
      <c r="AE208" t="b">
        <f t="shared" si="16"/>
        <v>1</v>
      </c>
      <c r="AF208" t="b">
        <f t="shared" si="17"/>
        <v>0</v>
      </c>
    </row>
    <row r="209" spans="1:32">
      <c r="A209" t="str">
        <f t="shared" si="18"/>
        <v>poolthm</v>
      </c>
      <c r="H209" t="s">
        <v>592</v>
      </c>
      <c r="AE209" t="b">
        <f t="shared" si="16"/>
        <v>1</v>
      </c>
      <c r="AF209" t="b">
        <f t="shared" si="17"/>
        <v>0</v>
      </c>
    </row>
    <row r="210" spans="1:32">
      <c r="A210" t="str">
        <f>D210</f>
        <v>Frame_Electric</v>
      </c>
      <c r="D210" t="s">
        <v>1771</v>
      </c>
      <c r="AE210" t="b">
        <f t="shared" si="16"/>
        <v>1</v>
      </c>
      <c r="AF210" t="b">
        <f t="shared" si="17"/>
        <v>0</v>
      </c>
    </row>
    <row r="211" spans="1:32">
      <c r="A211" t="str">
        <f>D211</f>
        <v>Frame_Gas</v>
      </c>
      <c r="D211" t="s">
        <v>1772</v>
      </c>
      <c r="AE211" t="b">
        <f t="shared" si="16"/>
        <v>1</v>
      </c>
      <c r="AF211" t="b">
        <f t="shared" si="17"/>
        <v>0</v>
      </c>
    </row>
    <row r="212" spans="1:32">
      <c r="A212" t="str">
        <f>I193</f>
        <v>E3TargetSector_Eval</v>
      </c>
      <c r="B212" s="2" t="s">
        <v>2639</v>
      </c>
      <c r="Y212" t="str">
        <f>"( " &amp;  $A$210 &amp; " ==True ) &amp; ( " &amp; $A$192 &amp; " =='Completed' ) &amp; ( " &amp; A193 &amp; " .notnull() ), ( " &amp; A193 &amp; " ); ( " &amp;  $A$210 &amp; " ==True ) &amp; ( " &amp; $A$192 &amp; " =='Completed' ), ( " &amp; A18 &amp; " ), np.nan"</f>
        <v>( Frame_Electric ==True ) &amp; ( GrossDisposition =='Completed' ) &amp; ( E3TargetSector_Eval_raw .notnull() ), ( E3TargetSector_Eval_raw ); ( Frame_Electric ==True ) &amp; ( GrossDisposition =='Completed' ), ( E3TargetSector ), np.nan</v>
      </c>
      <c r="AE212" t="b">
        <f t="shared" si="16"/>
        <v>1</v>
      </c>
      <c r="AF212" t="b">
        <f t="shared" si="17"/>
        <v>0</v>
      </c>
    </row>
    <row r="213" spans="1:32">
      <c r="A213" t="str">
        <f>I194</f>
        <v>E3MeaElecEndUseShape_Eval</v>
      </c>
      <c r="B213" s="2" t="s">
        <v>2639</v>
      </c>
      <c r="Y213" t="str">
        <f>"( " &amp;  $A$210 &amp; " ==True ) &amp; ( " &amp; $A$192 &amp; " =='Completed' ) &amp; ( " &amp; A194 &amp; " .notnull() ), ( " &amp; A194 &amp; " ); ( " &amp;  $A$210 &amp; " ==True ) &amp; ( " &amp; $A$192 &amp; " =='Completed' ), ( " &amp; A19 &amp; " ), np.nan"</f>
        <v>( Frame_Electric ==True ) &amp; ( GrossDisposition =='Completed' ) &amp; ( E3MeaElecEndUseShape_Eval_raw .notnull() ), ( E3MeaElecEndUseShape_Eval_raw ); ( Frame_Electric ==True ) &amp; ( GrossDisposition =='Completed' ), ( E3MeaElecEndUseShape ), np.nan</v>
      </c>
      <c r="AE213" t="b">
        <f t="shared" si="16"/>
        <v>1</v>
      </c>
      <c r="AF213" t="b">
        <f t="shared" si="17"/>
        <v>0</v>
      </c>
    </row>
    <row r="214" spans="1:32">
      <c r="A214" t="str">
        <f>I195</f>
        <v>E3GasSector_Eval</v>
      </c>
      <c r="B214" s="2" t="s">
        <v>2639</v>
      </c>
      <c r="Y214" t="str">
        <f>"( " &amp;  $A$211 &amp; " ==True ) &amp; ( " &amp; $A$192 &amp; " =='Completed' ) &amp; ( " &amp; A195 &amp; " .notnull() ), ( " &amp; A195 &amp; " ); ( " &amp;  $A$211 &amp; " ==True ) &amp; ( " &amp; $A$192 &amp; " =='Completed' ), ( " &amp; A20 &amp; " ), np.nan"</f>
        <v>( Frame_Gas ==True ) &amp; ( GrossDisposition =='Completed' ) &amp; ( E3GasSector_Eval_raw .notnull() ), ( E3GasSector_Eval_raw ); ( Frame_Gas ==True ) &amp; ( GrossDisposition =='Completed' ), ( E3GasSector ), np.nan</v>
      </c>
      <c r="AE214" t="b">
        <f t="shared" si="16"/>
        <v>1</v>
      </c>
      <c r="AF214" t="b">
        <f t="shared" si="17"/>
        <v>0</v>
      </c>
    </row>
    <row r="215" spans="1:32">
      <c r="A215" t="str">
        <f>I196</f>
        <v>E3GasSavProfile_Eval</v>
      </c>
      <c r="B215" s="2" t="s">
        <v>2639</v>
      </c>
      <c r="Y215" t="str">
        <f>"( " &amp;  $A$211 &amp; " ==True ) &amp; ( " &amp; $A$192 &amp; " =='Completed' ) &amp; ( " &amp; A196 &amp; " .notnull() ), ( " &amp; A196 &amp; " ); ( " &amp;  $A$211 &amp; " ==True ) &amp; ( " &amp; $A$192 &amp; " =='Completed' ), ( " &amp; A21 &amp; " ), np.nan"</f>
        <v>( Frame_Gas ==True ) &amp; ( GrossDisposition =='Completed' ) &amp; ( E3GasSavProfile_Eval_raw .notnull() ), ( E3GasSavProfile_Eval_raw ); ( Frame_Gas ==True ) &amp; ( GrossDisposition =='Completed' ), ( E3GasSavProfile ), np.nan</v>
      </c>
      <c r="AE215" t="b">
        <f t="shared" si="16"/>
        <v>1</v>
      </c>
      <c r="AF215" t="b">
        <f t="shared" si="17"/>
        <v>0</v>
      </c>
    </row>
    <row r="216" spans="1:32">
      <c r="A216" t="s">
        <v>1730</v>
      </c>
      <c r="M216" t="s">
        <v>2250</v>
      </c>
      <c r="Y216" t="str">
        <f>"( " &amp; A146 &amp; " =='Net/Replacement') | ( ( " &amp; A164 &amp; " !='N' ) &amp; " &amp; A164 &amp; " .notnull()), True, False"</f>
        <v>( Sampled =='Net/Replacement') | ( ( smpld_net_new !='N' ) &amp; smpld_net_new .notnull()), True, False</v>
      </c>
      <c r="AE216" t="b">
        <f t="shared" si="16"/>
        <v>1</v>
      </c>
      <c r="AF216" t="b">
        <f t="shared" si="17"/>
        <v>0</v>
      </c>
    </row>
    <row r="217" spans="1:32">
      <c r="A217" t="s">
        <v>618</v>
      </c>
      <c r="Y217" t="str">
        <f>A204 &amp; " ==True, 3; " &amp; A208 &amp; " ==True, 2; " &amp; A208 &amp; " ==False, 1, None"</f>
        <v>certaintykwh ==True, 3; poolkwh ==True, 2; poolkwh ==False, 1, None</v>
      </c>
      <c r="AE217" t="b">
        <f t="shared" si="16"/>
        <v>1</v>
      </c>
      <c r="AF217" t="b">
        <f t="shared" si="17"/>
        <v>0</v>
      </c>
    </row>
    <row r="218" spans="1:32">
      <c r="A218" t="s">
        <v>619</v>
      </c>
      <c r="Y218" t="str">
        <f>A205 &amp; " ==True, 3; " &amp; A209 &amp; " ==True, 2; " &amp; A209 &amp; " ==False, 1, None"</f>
        <v>certaintythm ==True, 3; poolthm ==True, 2; poolthm ==False, 1, None</v>
      </c>
      <c r="AE218" t="b">
        <f t="shared" si="16"/>
        <v>1</v>
      </c>
      <c r="AF218" t="b">
        <f t="shared" si="17"/>
        <v>0</v>
      </c>
    </row>
    <row r="219" spans="1:32">
      <c r="A219" t="s">
        <v>2419</v>
      </c>
      <c r="P219" t="str">
        <f>"( " &amp; $A$167 &amp; " ) &amp; ( " &amp; A217 &amp; " !=1 )"</f>
        <v>( SampledAny ) &amp; ( ss_stratum_kwh !=1 )</v>
      </c>
      <c r="AE219" t="b">
        <f t="shared" si="16"/>
        <v>1</v>
      </c>
      <c r="AF219" t="b">
        <f t="shared" si="17"/>
        <v>0</v>
      </c>
    </row>
    <row r="220" spans="1:32">
      <c r="A220" t="s">
        <v>2420</v>
      </c>
      <c r="P220" t="str">
        <f>"( " &amp; $A$167 &amp; " ) &amp; ( " &amp; A218 &amp; " !=1 )"</f>
        <v>( SampledAny ) &amp; ( ss_stratum_thm !=1 )</v>
      </c>
      <c r="AE220" t="b">
        <f t="shared" si="16"/>
        <v>1</v>
      </c>
      <c r="AF220" t="b">
        <f t="shared" si="17"/>
        <v>0</v>
      </c>
    </row>
    <row r="221" spans="1:32">
      <c r="A221" t="s">
        <v>1643</v>
      </c>
      <c r="Q221" t="str">
        <f>Q222</f>
        <v>domain stratum_kWh</v>
      </c>
      <c r="R221" t="str">
        <f>$A$210 &amp; " ==True"</f>
        <v>Frame_Electric ==True</v>
      </c>
      <c r="S221" t="str">
        <f>$A$154</f>
        <v>SBW_ProjID</v>
      </c>
      <c r="T221" t="s">
        <v>626</v>
      </c>
      <c r="AE221" t="b">
        <f t="shared" si="16"/>
        <v>1</v>
      </c>
      <c r="AF221" t="b">
        <f t="shared" si="17"/>
        <v>0</v>
      </c>
    </row>
    <row r="222" spans="1:32">
      <c r="A222" t="s">
        <v>1641</v>
      </c>
      <c r="Q222" t="str">
        <f>$A$155 &amp; " " &amp; A156</f>
        <v>domain stratum_kWh</v>
      </c>
      <c r="R222" t="str">
        <f>$A$210 &amp; " ==True"</f>
        <v>Frame_Electric ==True</v>
      </c>
      <c r="S222" t="str">
        <f>$A$154</f>
        <v>SBW_ProjID</v>
      </c>
      <c r="T222" t="str">
        <f>T221</f>
        <v>count</v>
      </c>
      <c r="AE222" t="b">
        <f t="shared" si="16"/>
        <v>1</v>
      </c>
      <c r="AF222" t="b">
        <f t="shared" si="17"/>
        <v>0</v>
      </c>
    </row>
    <row r="223" spans="1:32">
      <c r="A223" t="s">
        <v>1642</v>
      </c>
      <c r="Q223" t="str">
        <f>$A$155 &amp; " " &amp; A157</f>
        <v>domain stratum_thm</v>
      </c>
      <c r="R223" t="str">
        <f>$A$211 &amp; " ==True"</f>
        <v>Frame_Gas ==True</v>
      </c>
      <c r="S223" t="str">
        <f>$A$154</f>
        <v>SBW_ProjID</v>
      </c>
      <c r="T223" t="str">
        <f>T221</f>
        <v>count</v>
      </c>
      <c r="AE223" t="b">
        <f t="shared" si="16"/>
        <v>1</v>
      </c>
      <c r="AF223" t="b">
        <f t="shared" si="17"/>
        <v>0</v>
      </c>
    </row>
    <row r="224" spans="1:32">
      <c r="A224" t="s">
        <v>1645</v>
      </c>
      <c r="Q224" t="str">
        <f>$Q$222</f>
        <v>domain stratum_kWh</v>
      </c>
      <c r="R224" t="str">
        <f>$A$158 &amp; " =='Y'"</f>
        <v>sampled_kWh =='Y'</v>
      </c>
      <c r="S224" t="str">
        <f>S221</f>
        <v>SBW_ProjID</v>
      </c>
      <c r="T224" t="str">
        <f>T221</f>
        <v>count</v>
      </c>
      <c r="AE224" t="b">
        <f t="shared" si="16"/>
        <v>1</v>
      </c>
      <c r="AF224" t="b">
        <f t="shared" si="17"/>
        <v>0</v>
      </c>
    </row>
    <row r="225" spans="1:32">
      <c r="A225" t="str">
        <f>A224</f>
        <v>domain_stratum_smp_kw_prelim</v>
      </c>
      <c r="Y225" t="str">
        <f>A224 &amp; " .notna(), ( " &amp; A224 &amp; " ), 0"</f>
        <v>domain_stratum_smp_kw_prelim .notna(), ( domain_stratum_smp_kw_prelim ), 0</v>
      </c>
      <c r="AE225" t="b">
        <f t="shared" si="16"/>
        <v>1</v>
      </c>
      <c r="AF225" t="b">
        <f t="shared" si="17"/>
        <v>0</v>
      </c>
    </row>
    <row r="226" spans="1:32">
      <c r="A226" t="s">
        <v>1644</v>
      </c>
      <c r="Q226" t="str">
        <f>Q222</f>
        <v>domain stratum_kWh</v>
      </c>
      <c r="R226" t="str">
        <f>A156 &amp; " !=8"</f>
        <v>stratum_kWh !=8</v>
      </c>
      <c r="S226" t="str">
        <f>A225</f>
        <v>domain_stratum_smp_kw_prelim</v>
      </c>
      <c r="T226" t="s">
        <v>673</v>
      </c>
      <c r="AE226" t="b">
        <f t="shared" si="16"/>
        <v>1</v>
      </c>
      <c r="AF226" t="b">
        <f t="shared" si="17"/>
        <v>0</v>
      </c>
    </row>
    <row r="227" spans="1:32">
      <c r="A227" t="s">
        <v>1647</v>
      </c>
      <c r="Q227" t="str">
        <f>$Q$222</f>
        <v>domain stratum_kWh</v>
      </c>
      <c r="R227" t="str">
        <f>$A$158 &amp; " =='Y'"</f>
        <v>sampled_kWh =='Y'</v>
      </c>
      <c r="S227" t="str">
        <f>S222</f>
        <v>SBW_ProjID</v>
      </c>
      <c r="T227" t="str">
        <f>T221</f>
        <v>count</v>
      </c>
      <c r="AE227" t="b">
        <f t="shared" si="16"/>
        <v>1</v>
      </c>
      <c r="AF227" t="b">
        <f t="shared" si="17"/>
        <v>0</v>
      </c>
    </row>
    <row r="228" spans="1:32">
      <c r="A228" t="str">
        <f>A227</f>
        <v>domain_stratum_smp_kwh_prelim</v>
      </c>
      <c r="Y228" t="str">
        <f>A227 &amp; " .notna(), ( " &amp; A227 &amp; " ), 0"</f>
        <v>domain_stratum_smp_kwh_prelim .notna(), ( domain_stratum_smp_kwh_prelim ), 0</v>
      </c>
      <c r="AE228" t="b">
        <f t="shared" si="16"/>
        <v>1</v>
      </c>
      <c r="AF228" t="b">
        <f t="shared" si="17"/>
        <v>0</v>
      </c>
    </row>
    <row r="229" spans="1:32">
      <c r="A229" t="s">
        <v>1646</v>
      </c>
      <c r="Q229" t="str">
        <f>$Q$222</f>
        <v>domain stratum_kWh</v>
      </c>
      <c r="R229" t="str">
        <f>$R$226</f>
        <v>stratum_kWh !=8</v>
      </c>
      <c r="S229" t="str">
        <f>A228</f>
        <v>domain_stratum_smp_kwh_prelim</v>
      </c>
      <c r="T229" t="str">
        <f>T226</f>
        <v>max</v>
      </c>
      <c r="AE229" t="b">
        <f t="shared" si="16"/>
        <v>1</v>
      </c>
      <c r="AF229" t="b">
        <f t="shared" si="17"/>
        <v>0</v>
      </c>
    </row>
    <row r="230" spans="1:32">
      <c r="A230" t="s">
        <v>1648</v>
      </c>
      <c r="Q230" t="str">
        <f>$Q$223</f>
        <v>domain stratum_thm</v>
      </c>
      <c r="R230" t="str">
        <f>$A$159 &amp; " =='Y'"</f>
        <v>sampled_thm =='Y'</v>
      </c>
      <c r="S230" t="str">
        <f>S223</f>
        <v>SBW_ProjID</v>
      </c>
      <c r="T230" t="str">
        <f>T221</f>
        <v>count</v>
      </c>
      <c r="AE230" t="b">
        <f t="shared" si="16"/>
        <v>1</v>
      </c>
      <c r="AF230" t="b">
        <f t="shared" si="17"/>
        <v>0</v>
      </c>
    </row>
    <row r="231" spans="1:32">
      <c r="A231" t="str">
        <f>A230</f>
        <v>domain_stratum_smp_thm_prelim</v>
      </c>
      <c r="Y231" t="str">
        <f>A230 &amp; " .notna(), ( " &amp; A230 &amp; " ), 0"</f>
        <v>domain_stratum_smp_thm_prelim .notna(), ( domain_stratum_smp_thm_prelim ), 0</v>
      </c>
      <c r="AE231" t="b">
        <f t="shared" si="16"/>
        <v>1</v>
      </c>
      <c r="AF231" t="b">
        <f t="shared" si="17"/>
        <v>0</v>
      </c>
    </row>
    <row r="232" spans="1:32">
      <c r="A232" t="s">
        <v>1649</v>
      </c>
      <c r="Q232" t="str">
        <f>Q230</f>
        <v>domain stratum_thm</v>
      </c>
      <c r="R232" t="str">
        <f>A157 &amp; " !=8"</f>
        <v>stratum_thm !=8</v>
      </c>
      <c r="S232" t="str">
        <f>A231</f>
        <v>domain_stratum_smp_thm_prelim</v>
      </c>
      <c r="T232" t="str">
        <f>T226</f>
        <v>max</v>
      </c>
      <c r="AE232" t="b">
        <f t="shared" si="16"/>
        <v>1</v>
      </c>
      <c r="AF232" t="b">
        <f t="shared" si="17"/>
        <v>0</v>
      </c>
    </row>
    <row r="233" spans="1:32">
      <c r="A233" t="s">
        <v>1650</v>
      </c>
      <c r="Q233" t="str">
        <f>Q222</f>
        <v>domain stratum_kWh</v>
      </c>
      <c r="R233" t="str">
        <f xml:space="preserve"> $A$165 &amp; " .notnull()"</f>
        <v>SampleID .notnull()</v>
      </c>
      <c r="S233" t="str">
        <f>A221 &amp; ", " &amp; A226</f>
        <v>domain_stratum_pop_kw, domain_stratum_smp_kw</v>
      </c>
      <c r="T233" t="s">
        <v>668</v>
      </c>
      <c r="U233" t="s">
        <v>627</v>
      </c>
      <c r="AE233" t="b">
        <f t="shared" si="16"/>
        <v>1</v>
      </c>
      <c r="AF233" t="b">
        <f t="shared" si="17"/>
        <v>0</v>
      </c>
    </row>
    <row r="234" spans="1:32">
      <c r="A234" t="s">
        <v>1651</v>
      </c>
      <c r="Q234" t="str">
        <f>Q222</f>
        <v>domain stratum_kWh</v>
      </c>
      <c r="R234" t="str">
        <f xml:space="preserve"> $A$165 &amp; " .notnull()"</f>
        <v>SampleID .notnull()</v>
      </c>
      <c r="S234" t="str">
        <f>A222 &amp; ", " &amp; A229</f>
        <v>domain_stratum_pop_kwh, domain_stratum_smp_kwh</v>
      </c>
      <c r="T234" t="s">
        <v>668</v>
      </c>
      <c r="U234" t="s">
        <v>627</v>
      </c>
      <c r="AE234" t="b">
        <f t="shared" si="16"/>
        <v>1</v>
      </c>
      <c r="AF234" t="b">
        <f t="shared" si="17"/>
        <v>0</v>
      </c>
    </row>
    <row r="235" spans="1:32">
      <c r="A235" t="s">
        <v>1652</v>
      </c>
      <c r="Q235" t="str">
        <f>Q223</f>
        <v>domain stratum_thm</v>
      </c>
      <c r="R235" t="str">
        <f xml:space="preserve"> $A$165 &amp; " .notnull()"</f>
        <v>SampleID .notnull()</v>
      </c>
      <c r="S235" t="str">
        <f>A223 &amp; ", " &amp; A232</f>
        <v>domain_stratum_pop_thm, domain_stratum_smp_thm</v>
      </c>
      <c r="T235" t="s">
        <v>668</v>
      </c>
      <c r="U235" t="s">
        <v>627</v>
      </c>
      <c r="AE235" t="b">
        <f t="shared" si="16"/>
        <v>1</v>
      </c>
      <c r="AF235" t="b">
        <f t="shared" si="17"/>
        <v>0</v>
      </c>
    </row>
    <row r="236" spans="1:32">
      <c r="A236" t="s">
        <v>1731</v>
      </c>
      <c r="Y236" t="str">
        <f>A233 &amp; " .notna(), ( 1 / " &amp; A233 &amp; " ), 0"</f>
        <v>domain_weight_kw .notna(), ( 1 / domain_weight_kw ), 0</v>
      </c>
      <c r="AE236" t="b">
        <f t="shared" si="16"/>
        <v>1</v>
      </c>
      <c r="AF236" t="b">
        <f t="shared" si="17"/>
        <v>0</v>
      </c>
    </row>
    <row r="237" spans="1:32">
      <c r="A237" t="s">
        <v>1732</v>
      </c>
      <c r="Y237" t="str">
        <f>A234 &amp; " .notna(), ( 1 / " &amp; A234 &amp; " ), 0"</f>
        <v>domain_weight_kwh .notna(), ( 1 / domain_weight_kwh ), 0</v>
      </c>
      <c r="AE237" t="b">
        <f t="shared" si="16"/>
        <v>1</v>
      </c>
      <c r="AF237" t="b">
        <f t="shared" si="17"/>
        <v>0</v>
      </c>
    </row>
    <row r="238" spans="1:32">
      <c r="A238" t="s">
        <v>1733</v>
      </c>
      <c r="Y238" t="str">
        <f>A235 &amp; " .notna(), ( 1 / " &amp; A235 &amp; " ), 0"</f>
        <v>domain_weight_thm .notna(), ( 1 / domain_weight_thm ), 0</v>
      </c>
      <c r="AE238" t="b">
        <f t="shared" si="16"/>
        <v>1</v>
      </c>
      <c r="AF238" t="b">
        <f t="shared" si="17"/>
        <v>0</v>
      </c>
    </row>
    <row r="239" spans="1:32">
      <c r="A239" t="s">
        <v>620</v>
      </c>
      <c r="B239" t="s">
        <v>1764</v>
      </c>
      <c r="Q239" t="str">
        <f>$A$165 &amp; " " &amp; A217</f>
        <v>SampleID ss_stratum_kwh</v>
      </c>
      <c r="S239" t="str">
        <f>$A$2</f>
        <v>ClaimID</v>
      </c>
      <c r="T239" t="s">
        <v>626</v>
      </c>
      <c r="AE239" t="b">
        <f t="shared" si="16"/>
        <v>1</v>
      </c>
      <c r="AF239" t="b">
        <f t="shared" si="17"/>
        <v>0</v>
      </c>
    </row>
    <row r="240" spans="1:32">
      <c r="A240" t="s">
        <v>674</v>
      </c>
      <c r="Q240" t="str">
        <f>Q239</f>
        <v>SampleID ss_stratum_kwh</v>
      </c>
      <c r="R240" t="str">
        <f xml:space="preserve"> A219 &amp; " ==True"</f>
        <v>ss_sampled_kwh ==True</v>
      </c>
      <c r="S240" t="str">
        <f>S239</f>
        <v>ClaimID</v>
      </c>
      <c r="T240" t="s">
        <v>626</v>
      </c>
      <c r="AE240" t="b">
        <f t="shared" si="16"/>
        <v>1</v>
      </c>
      <c r="AF240" t="b">
        <f t="shared" si="17"/>
        <v>0</v>
      </c>
    </row>
    <row r="241" spans="1:37">
      <c r="A241" t="str">
        <f>A240</f>
        <v>strkwh_smp_count_prelim</v>
      </c>
      <c r="Y241" t="str">
        <f>A240 &amp; " .notna(), ( " &amp; A240 &amp; " ), 0"</f>
        <v>strkwh_smp_count_prelim .notna(), ( strkwh_smp_count_prelim ), 0</v>
      </c>
      <c r="AE241" t="b">
        <f t="shared" si="16"/>
        <v>1</v>
      </c>
      <c r="AF241" t="b">
        <f t="shared" si="17"/>
        <v>0</v>
      </c>
    </row>
    <row r="242" spans="1:37">
      <c r="A242" t="s">
        <v>622</v>
      </c>
      <c r="B242" t="s">
        <v>2367</v>
      </c>
      <c r="Q242" t="str">
        <f>Q240</f>
        <v>SampleID ss_stratum_kwh</v>
      </c>
      <c r="R242" t="str">
        <f>A156 &amp; " !=8"</f>
        <v>stratum_kWh !=8</v>
      </c>
      <c r="S242" t="str">
        <f>A240</f>
        <v>strkwh_smp_count_prelim</v>
      </c>
      <c r="T242" t="s">
        <v>673</v>
      </c>
      <c r="AE242" t="b">
        <f t="shared" si="16"/>
        <v>1</v>
      </c>
      <c r="AF242" t="b">
        <f t="shared" si="17"/>
        <v>0</v>
      </c>
    </row>
    <row r="243" spans="1:37">
      <c r="A243" t="s">
        <v>623</v>
      </c>
      <c r="Q243" t="str">
        <f>$A$165 &amp; " " &amp; A218</f>
        <v>SampleID ss_stratum_thm</v>
      </c>
      <c r="S243" t="str">
        <f>S240</f>
        <v>ClaimID</v>
      </c>
      <c r="T243" t="s">
        <v>626</v>
      </c>
      <c r="AE243" t="b">
        <f t="shared" si="16"/>
        <v>1</v>
      </c>
      <c r="AF243" t="b">
        <f t="shared" si="17"/>
        <v>0</v>
      </c>
    </row>
    <row r="244" spans="1:37">
      <c r="A244" t="s">
        <v>675</v>
      </c>
      <c r="Q244" t="str">
        <f>Q243</f>
        <v>SampleID ss_stratum_thm</v>
      </c>
      <c r="R244" t="str">
        <f xml:space="preserve"> A220 &amp; " ==True"</f>
        <v>ss_sampled_thm ==True</v>
      </c>
      <c r="S244" t="str">
        <f>S243</f>
        <v>ClaimID</v>
      </c>
      <c r="T244" t="s">
        <v>626</v>
      </c>
      <c r="AE244" t="b">
        <f t="shared" si="16"/>
        <v>1</v>
      </c>
      <c r="AF244" t="b">
        <f t="shared" si="17"/>
        <v>0</v>
      </c>
    </row>
    <row r="245" spans="1:37">
      <c r="A245" t="s">
        <v>675</v>
      </c>
      <c r="Y245" t="str">
        <f>A244 &amp; " .notna(), ( " &amp; A244 &amp; " ), 0"</f>
        <v>strthm_smp_count_prelim .notna(), ( strthm_smp_count_prelim ), 0</v>
      </c>
      <c r="AE245" t="b">
        <f t="shared" si="16"/>
        <v>1</v>
      </c>
      <c r="AF245" t="b">
        <f t="shared" si="17"/>
        <v>0</v>
      </c>
    </row>
    <row r="246" spans="1:37">
      <c r="A246" t="s">
        <v>621</v>
      </c>
      <c r="Q246" t="str">
        <f>Q244</f>
        <v>SampleID ss_stratum_thm</v>
      </c>
      <c r="R246" t="str">
        <f>A157 &amp; " !=8"</f>
        <v>stratum_thm !=8</v>
      </c>
      <c r="S246" t="str">
        <f>A244</f>
        <v>strthm_smp_count_prelim</v>
      </c>
      <c r="T246" t="s">
        <v>673</v>
      </c>
      <c r="AE246" t="b">
        <f t="shared" si="16"/>
        <v>1</v>
      </c>
      <c r="AF246" t="b">
        <f t="shared" si="17"/>
        <v>0</v>
      </c>
    </row>
    <row r="247" spans="1:37">
      <c r="A247" t="s">
        <v>614</v>
      </c>
      <c r="Q247" t="str">
        <f>Q239</f>
        <v>SampleID ss_stratum_kwh</v>
      </c>
      <c r="R247" t="str">
        <f xml:space="preserve"> $A$165 &amp; " .notnull()"</f>
        <v>SampleID .notnull()</v>
      </c>
      <c r="S247" t="str">
        <f>A239 &amp; ", " &amp; A242</f>
        <v>strkwh_pop_count, strkwh_smp_count</v>
      </c>
      <c r="T247" t="s">
        <v>668</v>
      </c>
      <c r="U247" t="s">
        <v>627</v>
      </c>
      <c r="AE247" t="b">
        <f t="shared" si="16"/>
        <v>1</v>
      </c>
      <c r="AF247" t="b">
        <f t="shared" si="17"/>
        <v>0</v>
      </c>
    </row>
    <row r="248" spans="1:37">
      <c r="A248" t="s">
        <v>615</v>
      </c>
      <c r="Q248" t="str">
        <f>$A$165 &amp; " " &amp; A218</f>
        <v>SampleID ss_stratum_thm</v>
      </c>
      <c r="R248" t="str">
        <f>R247</f>
        <v>SampleID .notnull()</v>
      </c>
      <c r="S248" t="str">
        <f>A243 &amp; ", " &amp; A246</f>
        <v>strthm_pop_count, strthm_smp_count</v>
      </c>
      <c r="T248" t="s">
        <v>668</v>
      </c>
      <c r="U248" t="s">
        <v>627</v>
      </c>
      <c r="AE248" t="b">
        <f t="shared" si="16"/>
        <v>1</v>
      </c>
      <c r="AF248" t="b">
        <f t="shared" si="17"/>
        <v>0</v>
      </c>
    </row>
    <row r="249" spans="1:37">
      <c r="A249" t="s">
        <v>1734</v>
      </c>
      <c r="M249" t="s">
        <v>2271</v>
      </c>
      <c r="Y249" t="str">
        <f>A247 &amp; " .notna(), ( 1 / " &amp; A247 &amp; " ), 0"</f>
        <v>subsample_weight_kwh .notna(), ( 1 / subsample_weight_kwh ), 0</v>
      </c>
      <c r="AE249" t="b">
        <f t="shared" si="16"/>
        <v>1</v>
      </c>
      <c r="AF249" t="b">
        <f t="shared" si="17"/>
        <v>0</v>
      </c>
    </row>
    <row r="250" spans="1:37">
      <c r="A250" t="s">
        <v>2303</v>
      </c>
      <c r="Y250" t="str">
        <f>A247 &amp; " .notna(), ( 1 / " &amp; A247 &amp; " ), 0"</f>
        <v>subsample_weight_kwh .notna(), ( 1 / subsample_weight_kwh ), 0</v>
      </c>
      <c r="AE250" t="b">
        <f t="shared" si="16"/>
        <v>1</v>
      </c>
      <c r="AF250" t="b">
        <f t="shared" si="17"/>
        <v>0</v>
      </c>
    </row>
    <row r="251" spans="1:37">
      <c r="A251" t="s">
        <v>2304</v>
      </c>
      <c r="Y251" t="str">
        <f>A248 &amp; " .notna(), ( 1 / " &amp; A248 &amp; " ), 0"</f>
        <v>subsample_weight_thm .notna(), ( 1 / subsample_weight_thm ), 0</v>
      </c>
      <c r="AE251" t="b">
        <f t="shared" si="16"/>
        <v>1</v>
      </c>
      <c r="AF251" t="b">
        <f t="shared" si="17"/>
        <v>0</v>
      </c>
    </row>
    <row r="252" spans="1:37">
      <c r="A252" t="s">
        <v>1736</v>
      </c>
      <c r="Y252" t="str">
        <f>A250&amp; " == np.inf, 0 , ( " &amp;A250&amp; " )"</f>
        <v>ss_prob_sel_kwh_raw == np.inf, 0 , ( ss_prob_sel_kwh_raw )</v>
      </c>
      <c r="AE252" t="b">
        <f t="shared" si="16"/>
        <v>1</v>
      </c>
      <c r="AF252" t="b">
        <f t="shared" si="17"/>
        <v>0</v>
      </c>
    </row>
    <row r="253" spans="1:37">
      <c r="A253" t="s">
        <v>1735</v>
      </c>
      <c r="Y253" t="str">
        <f>A251&amp; " == np.inf, 0 , ( " &amp;A251&amp; " )"</f>
        <v>ss_prob_sel_thm_raw == np.inf, 0 , ( ss_prob_sel_thm_raw )</v>
      </c>
      <c r="AE253" t="b">
        <f t="shared" si="16"/>
        <v>1</v>
      </c>
      <c r="AF253" t="b">
        <f t="shared" si="17"/>
        <v>0</v>
      </c>
    </row>
    <row r="254" spans="1:37">
      <c r="A254" t="s">
        <v>746</v>
      </c>
      <c r="M254" t="s">
        <v>658</v>
      </c>
      <c r="Y254" t="str">
        <f>"np.logical_and( " &amp;A248 &amp; " .notnull(), " &amp; A247 &amp; " .notnull()),None, " &amp;A247 &amp; " .notnull(), " &amp; A247 &amp; ", " &amp; A248</f>
        <v>np.logical_and( subsample_weight_thm .notnull(), subsample_weight_kwh .notnull()),None, subsample_weight_kwh .notnull(), subsample_weight_kwh, subsample_weight_thm</v>
      </c>
      <c r="AE254" t="b">
        <f t="shared" si="16"/>
        <v>1</v>
      </c>
      <c r="AF254" t="b">
        <f t="shared" si="17"/>
        <v>1</v>
      </c>
      <c r="AG254" t="s">
        <v>1653</v>
      </c>
    </row>
    <row r="255" spans="1:37">
      <c r="A255" s="3" t="s">
        <v>603</v>
      </c>
      <c r="I255" s="3"/>
      <c r="J255" s="3"/>
      <c r="K255" s="3"/>
      <c r="O255" t="str">
        <f>A197</f>
        <v>EvalEUL</v>
      </c>
      <c r="AE255" t="b">
        <f t="shared" si="16"/>
        <v>1</v>
      </c>
      <c r="AF255" t="b">
        <f t="shared" si="17"/>
        <v>0</v>
      </c>
      <c r="AK255" t="str">
        <f>A197 &amp; " .notna(), ( " &amp; A197 &amp; " ) , ( " &amp; A103 &amp; " )"</f>
        <v>EvalEUL .notna(), ( EvalEUL ) , ( EUL_Yrs )</v>
      </c>
    </row>
    <row r="256" spans="1:37">
      <c r="A256" s="3" t="s">
        <v>604</v>
      </c>
      <c r="I256" s="3"/>
      <c r="J256" s="3"/>
      <c r="K256" s="3"/>
      <c r="O256" t="str">
        <f>A198</f>
        <v>EvalRUL</v>
      </c>
      <c r="AE256" t="b">
        <f t="shared" si="16"/>
        <v>1</v>
      </c>
      <c r="AF256" t="b">
        <f t="shared" si="17"/>
        <v>0</v>
      </c>
    </row>
    <row r="257" spans="1:32">
      <c r="A257" t="s">
        <v>682</v>
      </c>
      <c r="P257" t="str">
        <f>$A$103 &amp; " * " &amp; A247</f>
        <v>EUL_Yrs * subsample_weight_kwh</v>
      </c>
      <c r="AE257" t="b">
        <f t="shared" si="16"/>
        <v>1</v>
      </c>
      <c r="AF257" t="b">
        <f t="shared" si="17"/>
        <v>0</v>
      </c>
    </row>
    <row r="258" spans="1:32">
      <c r="A258" t="s">
        <v>683</v>
      </c>
      <c r="P258" t="str">
        <f>$A$103 &amp; " * " &amp; A248</f>
        <v>EUL_Yrs * subsample_weight_thm</v>
      </c>
      <c r="AE258" t="b">
        <f t="shared" si="16"/>
        <v>1</v>
      </c>
      <c r="AF258" t="b">
        <f t="shared" si="17"/>
        <v>0</v>
      </c>
    </row>
    <row r="259" spans="1:32">
      <c r="A259" t="s">
        <v>684</v>
      </c>
      <c r="P259" t="str">
        <f>$A$255 &amp; " * " &amp; A247</f>
        <v>EvalEUL_Yrs * subsample_weight_kwh</v>
      </c>
      <c r="AE259" t="b">
        <f t="shared" si="16"/>
        <v>1</v>
      </c>
      <c r="AF259" t="b">
        <f t="shared" si="17"/>
        <v>0</v>
      </c>
    </row>
    <row r="260" spans="1:32">
      <c r="A260" t="s">
        <v>685</v>
      </c>
      <c r="P260" t="str">
        <f>$A$255 &amp; " * " &amp; A248</f>
        <v>EvalEUL_Yrs * subsample_weight_thm</v>
      </c>
      <c r="AE260" t="b">
        <f t="shared" si="16"/>
        <v>1</v>
      </c>
      <c r="AF260" t="b">
        <f t="shared" si="17"/>
        <v>0</v>
      </c>
    </row>
    <row r="261" spans="1:32">
      <c r="A261" t="s">
        <v>686</v>
      </c>
      <c r="Q261" t="str">
        <f>$A$165</f>
        <v>SampleID</v>
      </c>
      <c r="R261" t="str">
        <f>"( " &amp; $A$219 &amp; " ==True ) &amp; ( " &amp; $A$173 &amp; " ==False ) &amp; ( " &amp; $A$210 &amp; " == True )"</f>
        <v>( ss_sampled_kwh ==True ) &amp; ( ProjectDropped ==False ) &amp; ( Frame_Electric == True )</v>
      </c>
      <c r="S261" t="str">
        <f>A259 &amp; ", " &amp; A257</f>
        <v>ss_wtd_Eval_EUL_kwh, ss_wtd_Claim_EUL_kwh</v>
      </c>
      <c r="T261" t="s">
        <v>625</v>
      </c>
      <c r="U261" t="s">
        <v>627</v>
      </c>
      <c r="AE261" t="b">
        <f t="shared" ref="AE261:AE317" si="19">IF(NOT(ISBLANK(A261)), LEN(_xlfn.CONCAT(C261:AD261))&gt;0, "")</f>
        <v>1</v>
      </c>
      <c r="AF261" t="b">
        <f t="shared" ref="AF261:AF317" si="20">AND(ISNUMBER(SEARCH("kw",_xlfn.CONCAT(O261:AD261))), ISNUMBER(SEARCH("thm",_xlfn.CONCAT(O261:AD261))))</f>
        <v>0</v>
      </c>
    </row>
    <row r="262" spans="1:32">
      <c r="A262" t="s">
        <v>687</v>
      </c>
      <c r="Q262" t="str">
        <f>$A$165</f>
        <v>SampleID</v>
      </c>
      <c r="R262" t="str">
        <f>"( " &amp; $A$220 &amp; " ==True ) &amp; ( " &amp; $A$173 &amp; " ==False ) &amp; ( " &amp; $A$211 &amp; " == True )"</f>
        <v>( ss_sampled_thm ==True ) &amp; ( ProjectDropped ==False ) &amp; ( Frame_Gas == True )</v>
      </c>
      <c r="S262" t="str">
        <f>A260 &amp; ", " &amp; A258</f>
        <v>ss_wtd_Eval_EUL_thm, ss_wtd_Claim_EUL_thm</v>
      </c>
      <c r="T262" t="s">
        <v>625</v>
      </c>
      <c r="U262" t="s">
        <v>627</v>
      </c>
      <c r="AE262" t="b">
        <f t="shared" si="19"/>
        <v>1</v>
      </c>
      <c r="AF262" t="b">
        <f t="shared" si="20"/>
        <v>0</v>
      </c>
    </row>
    <row r="263" spans="1:32">
      <c r="A263" t="s">
        <v>2170</v>
      </c>
      <c r="M263" t="s">
        <v>658</v>
      </c>
      <c r="Q263" t="str">
        <f t="shared" ref="Q263:Q264" si="21">$A$165</f>
        <v>SampleID</v>
      </c>
      <c r="R263" t="str">
        <f>R261</f>
        <v>( ss_sampled_kwh ==True ) &amp; ( ProjectDropped ==False ) &amp; ( Frame_Electric == True )</v>
      </c>
      <c r="S263" t="str">
        <f>A259 &amp; ", " &amp; A257</f>
        <v>ss_wtd_Eval_EUL_kwh, ss_wtd_Claim_EUL_kwh</v>
      </c>
      <c r="T263" t="str">
        <f>T261</f>
        <v>sum, sum</v>
      </c>
      <c r="U263" t="str">
        <f>U261</f>
        <v>/</v>
      </c>
      <c r="AE263" t="b">
        <f t="shared" si="19"/>
        <v>1</v>
      </c>
      <c r="AF263" t="b">
        <f t="shared" si="20"/>
        <v>0</v>
      </c>
    </row>
    <row r="264" spans="1:32">
      <c r="A264" t="s">
        <v>2171</v>
      </c>
      <c r="M264" t="s">
        <v>658</v>
      </c>
      <c r="Q264" t="str">
        <f t="shared" si="21"/>
        <v>SampleID</v>
      </c>
      <c r="R264" t="str">
        <f>R262</f>
        <v>( ss_sampled_thm ==True ) &amp; ( ProjectDropped ==False ) &amp; ( Frame_Gas == True )</v>
      </c>
      <c r="T264" t="str">
        <f>T262</f>
        <v>sum, sum</v>
      </c>
      <c r="U264" t="str">
        <f>U262</f>
        <v>/</v>
      </c>
      <c r="AE264" t="b">
        <f t="shared" si="19"/>
        <v>1</v>
      </c>
      <c r="AF264" t="b">
        <f t="shared" si="20"/>
        <v>0</v>
      </c>
    </row>
    <row r="265" spans="1:32">
      <c r="A265" t="s">
        <v>2206</v>
      </c>
      <c r="P265" t="str">
        <f>$A$103 &amp; " * " &amp; A261</f>
        <v>EUL_Yrs * ss_EUL_kwh_rr</v>
      </c>
      <c r="AE265" t="b">
        <f t="shared" si="19"/>
        <v>1</v>
      </c>
      <c r="AF265" t="b">
        <f t="shared" si="20"/>
        <v>0</v>
      </c>
    </row>
    <row r="266" spans="1:32">
      <c r="A266" t="s">
        <v>2207</v>
      </c>
      <c r="P266" t="str">
        <f>$A$103 &amp; " * " &amp; A262</f>
        <v>EUL_Yrs * ss_EUL_thm_rr</v>
      </c>
      <c r="AE266" t="b">
        <f t="shared" si="19"/>
        <v>1</v>
      </c>
      <c r="AF266" t="b">
        <f t="shared" si="20"/>
        <v>0</v>
      </c>
    </row>
    <row r="267" spans="1:32">
      <c r="A267" t="s">
        <v>2208</v>
      </c>
      <c r="P267" t="str">
        <f>A265 &amp; " * " &amp; A76</f>
        <v>adj_EvalEUL_Yrs_kwh * ExAnte_Annualized_kWh</v>
      </c>
      <c r="AE267" t="b">
        <f t="shared" si="19"/>
        <v>1</v>
      </c>
      <c r="AF267" t="b">
        <f t="shared" si="20"/>
        <v>0</v>
      </c>
    </row>
    <row r="268" spans="1:32">
      <c r="A268" t="s">
        <v>2209</v>
      </c>
      <c r="P268" t="str">
        <f>A266 &amp; " * " &amp; A77</f>
        <v>adj_EvalEUL_Yrs_thm * ExAnte_Annualized_thm</v>
      </c>
      <c r="AE268" t="b">
        <f t="shared" si="19"/>
        <v>1</v>
      </c>
      <c r="AF268" t="b">
        <f t="shared" si="20"/>
        <v>0</v>
      </c>
    </row>
    <row r="269" spans="1:32">
      <c r="A269" t="s">
        <v>688</v>
      </c>
      <c r="Q269" t="str">
        <f t="shared" ref="Q269:Q270" si="22">$A$165</f>
        <v>SampleID</v>
      </c>
      <c r="S269" t="str">
        <f>A267 &amp; ", " &amp; A76</f>
        <v>svg_wtd_adj_Eval_EUL_kwh, ExAnte_Annualized_kWh</v>
      </c>
      <c r="T269" t="s">
        <v>625</v>
      </c>
      <c r="U269" t="s">
        <v>627</v>
      </c>
      <c r="AE269" t="b">
        <f t="shared" si="19"/>
        <v>1</v>
      </c>
      <c r="AF269" t="b">
        <f t="shared" si="20"/>
        <v>0</v>
      </c>
    </row>
    <row r="270" spans="1:32">
      <c r="A270" t="s">
        <v>689</v>
      </c>
      <c r="Q270" t="str">
        <f t="shared" si="22"/>
        <v>SampleID</v>
      </c>
      <c r="S270" t="str">
        <f>A268 &amp; ", " &amp; A77</f>
        <v>svg_wtd_adj_Eval_EUL_thm, ExAnte_Annualized_thm</v>
      </c>
      <c r="T270" t="s">
        <v>625</v>
      </c>
      <c r="U270" t="s">
        <v>627</v>
      </c>
      <c r="AE270" t="b">
        <f t="shared" si="19"/>
        <v>1</v>
      </c>
      <c r="AF270" t="b">
        <f t="shared" si="20"/>
        <v>0</v>
      </c>
    </row>
    <row r="271" spans="1:32">
      <c r="A271" t="s">
        <v>2210</v>
      </c>
      <c r="P271" t="str">
        <f>$A$103&amp; " * " &amp; A76</f>
        <v>EUL_Yrs * ExAnte_Annualized_kWh</v>
      </c>
      <c r="AE271" t="b">
        <f t="shared" si="19"/>
        <v>1</v>
      </c>
      <c r="AF271" t="b">
        <f t="shared" si="20"/>
        <v>0</v>
      </c>
    </row>
    <row r="272" spans="1:32">
      <c r="A272" t="s">
        <v>2211</v>
      </c>
      <c r="P272" t="str">
        <f>$A$103&amp; " * " &amp; A77</f>
        <v>EUL_Yrs * ExAnte_Annualized_thm</v>
      </c>
      <c r="AE272" t="b">
        <f t="shared" si="19"/>
        <v>1</v>
      </c>
      <c r="AF272" t="b">
        <f t="shared" si="20"/>
        <v>0</v>
      </c>
    </row>
    <row r="273" spans="1:32">
      <c r="A273" t="s">
        <v>2212</v>
      </c>
      <c r="Q273" t="str">
        <f>$A$154</f>
        <v>SBW_ProjID</v>
      </c>
      <c r="S273" t="str">
        <f>A271 &amp; ", " &amp; A76</f>
        <v>svg_wtd_adj_ExAnte_EUL_kwh, ExAnte_Annualized_kWh</v>
      </c>
      <c r="T273" t="s">
        <v>625</v>
      </c>
      <c r="U273" t="s">
        <v>627</v>
      </c>
      <c r="AE273" t="b">
        <f t="shared" si="19"/>
        <v>1</v>
      </c>
      <c r="AF273" t="b">
        <f t="shared" si="20"/>
        <v>0</v>
      </c>
    </row>
    <row r="274" spans="1:32">
      <c r="A274" t="s">
        <v>2213</v>
      </c>
      <c r="Q274" t="str">
        <f>$A$154</f>
        <v>SBW_ProjID</v>
      </c>
      <c r="S274" t="str">
        <f>A272 &amp; ", " &amp; A77</f>
        <v>svg_wtd_adj_ExAnte_EUL_thm, ExAnte_Annualized_thm</v>
      </c>
      <c r="T274" t="s">
        <v>625</v>
      </c>
      <c r="U274" t="s">
        <v>627</v>
      </c>
      <c r="AE274" t="b">
        <f t="shared" si="19"/>
        <v>1</v>
      </c>
      <c r="AF274" t="b">
        <f t="shared" si="20"/>
        <v>0</v>
      </c>
    </row>
    <row r="275" spans="1:32">
      <c r="A275" t="str">
        <f>A278&amp; "_raw"</f>
        <v>ss_ExPostLifecycleGrosskW_raw</v>
      </c>
      <c r="Z275" t="str">
        <f>"( " &amp; A186 &amp; " * " &amp; $A$256 &amp; " + ( " &amp; $A$255 &amp; " - " &amp; $A$256 &amp; " ) * " &amp; A189 &amp; " )"</f>
        <v>( EvalBase1kWSvgs_orig * EvalRUL_Yrs + ( EvalEUL_Yrs - EvalRUL_Yrs ) * EvalBase2kWSvgs_orig )</v>
      </c>
      <c r="AA275" t="str">
        <f>A186 &amp; " * " &amp; $A$255</f>
        <v>EvalBase1kWSvgs_orig * EvalEUL_Yrs</v>
      </c>
      <c r="AB275" s="3" t="str">
        <f>$A$200 &amp; " =='AR'"</f>
        <v>EvalMeasAppType =='AR'</v>
      </c>
      <c r="AE275" t="b">
        <f t="shared" si="19"/>
        <v>1</v>
      </c>
      <c r="AF275" t="b">
        <f t="shared" si="20"/>
        <v>0</v>
      </c>
    </row>
    <row r="276" spans="1:32">
      <c r="A276" t="str">
        <f>A279&amp; "_raw"</f>
        <v>ss_ExPostLifecycleGrosskWh_raw</v>
      </c>
      <c r="Z276" t="str">
        <f>"( " &amp; A187 &amp; " * " &amp; $A$256 &amp; " + ( " &amp; $A$255 &amp; " - " &amp; $A$256 &amp; " ) * " &amp; A190 &amp; " )"</f>
        <v>( EvalBase1kWhSvgs_orig * EvalRUL_Yrs + ( EvalEUL_Yrs - EvalRUL_Yrs ) * EvalBase2kWhSvgs_orig )</v>
      </c>
      <c r="AA276" t="str">
        <f>A187 &amp; " * " &amp; $A$255</f>
        <v>EvalBase1kWhSvgs_orig * EvalEUL_Yrs</v>
      </c>
      <c r="AB276" s="3" t="str">
        <f>$A$200 &amp; " =='AR'"</f>
        <v>EvalMeasAppType =='AR'</v>
      </c>
      <c r="AE276" t="b">
        <f t="shared" si="19"/>
        <v>1</v>
      </c>
      <c r="AF276" t="b">
        <f t="shared" si="20"/>
        <v>0</v>
      </c>
    </row>
    <row r="277" spans="1:32">
      <c r="A277" t="str">
        <f>A280&amp; "_raw"</f>
        <v>ss_ExPostLifecycleGrossthm_raw</v>
      </c>
      <c r="Z277" t="str">
        <f>"( " &amp; A188 &amp; " * " &amp; $A$256 &amp; " + ( " &amp; $A$255 &amp; " - " &amp; $A$256 &amp; " ) * " &amp; A191 &amp; " )"</f>
        <v>( EvalBase1ThermSvgs_orig * EvalRUL_Yrs + ( EvalEUL_Yrs - EvalRUL_Yrs ) * EvalBase2ThermSvgs_orig )</v>
      </c>
      <c r="AA277" t="str">
        <f>A188 &amp; " * " &amp; $A$255</f>
        <v>EvalBase1ThermSvgs_orig * EvalEUL_Yrs</v>
      </c>
      <c r="AB277" s="3" t="str">
        <f>$A$200 &amp; " =='AR'"</f>
        <v>EvalMeasAppType =='AR'</v>
      </c>
      <c r="AE277" t="b">
        <f t="shared" si="19"/>
        <v>1</v>
      </c>
      <c r="AF277" t="b">
        <f t="shared" si="20"/>
        <v>0</v>
      </c>
    </row>
    <row r="278" spans="1:32">
      <c r="A278" t="s">
        <v>635</v>
      </c>
      <c r="Y278" t="str">
        <f>"np.logical_and( " &amp; $A$219 &amp; " ==True, " &amp; $A$173 &amp; " ==False), ( " &amp; A275 &amp; " ), 0"</f>
        <v>np.logical_and( ss_sampled_kwh ==True, ProjectDropped ==False), ( ss_ExPostLifecycleGrosskW_raw ), 0</v>
      </c>
      <c r="AB278" s="3"/>
      <c r="AE278" t="b">
        <f t="shared" si="19"/>
        <v>1</v>
      </c>
      <c r="AF278" t="b">
        <f t="shared" si="20"/>
        <v>0</v>
      </c>
    </row>
    <row r="279" spans="1:32">
      <c r="A279" t="s">
        <v>636</v>
      </c>
      <c r="Y279" t="str">
        <f>"np.logical_and( " &amp; $A$219 &amp; " ==True, " &amp; $A$173 &amp; " ==False), ( " &amp; A276 &amp; " ), 0"</f>
        <v>np.logical_and( ss_sampled_kwh ==True, ProjectDropped ==False), ( ss_ExPostLifecycleGrosskWh_raw ), 0</v>
      </c>
      <c r="AB279" s="3"/>
      <c r="AE279" t="b">
        <f t="shared" si="19"/>
        <v>1</v>
      </c>
      <c r="AF279" t="b">
        <f t="shared" si="20"/>
        <v>0</v>
      </c>
    </row>
    <row r="280" spans="1:32">
      <c r="A280" t="s">
        <v>637</v>
      </c>
      <c r="Y280" t="str">
        <f>"np.logical_and( " &amp; $A$220 &amp; " ==True, " &amp; $A$173 &amp; " ==False), ( " &amp; A277 &amp; " ), 0"</f>
        <v>np.logical_and( ss_sampled_thm ==True, ProjectDropped ==False), ( ss_ExPostLifecycleGrossthm_raw ), 0</v>
      </c>
      <c r="AB280" s="3"/>
      <c r="AE280" t="b">
        <f t="shared" si="19"/>
        <v>1</v>
      </c>
      <c r="AF280" t="b">
        <f t="shared" si="20"/>
        <v>0</v>
      </c>
    </row>
    <row r="281" spans="1:32">
      <c r="A281" t="s">
        <v>2725</v>
      </c>
      <c r="Y281" t="str">
        <f>"np.logical_and( " &amp; $A$219 &amp; " ==True, " &amp; $A$173 &amp; " ==False), ( " &amp; A186 &amp; " ), 0"</f>
        <v>np.logical_and( ss_sampled_kwh ==True, ProjectDropped ==False), ( EvalBase1kWSvgs_orig ), 0</v>
      </c>
      <c r="AB281" s="3"/>
      <c r="AE281" t="b">
        <f t="shared" ref="AE281:AE286" si="23">IF(NOT(ISBLANK(A281)), LEN(_xlfn.CONCAT(C281:AD281))&gt;0, "")</f>
        <v>1</v>
      </c>
      <c r="AF281" t="b">
        <f t="shared" ref="AF281:AF286" si="24">AND(ISNUMBER(SEARCH("kw",_xlfn.CONCAT(O281:AD281))), ISNUMBER(SEARCH("thm",_xlfn.CONCAT(O281:AD281))))</f>
        <v>0</v>
      </c>
    </row>
    <row r="282" spans="1:32">
      <c r="A282" t="s">
        <v>2726</v>
      </c>
      <c r="Y282" t="str">
        <f>"np.logical_and( " &amp; $A$219 &amp; " ==True, " &amp; $A$173 &amp; " ==False), ( " &amp; A187 &amp; " ), 0"</f>
        <v>np.logical_and( ss_sampled_kwh ==True, ProjectDropped ==False), ( EvalBase1kWhSvgs_orig ), 0</v>
      </c>
      <c r="AB282" s="3"/>
      <c r="AE282" t="b">
        <f t="shared" si="23"/>
        <v>1</v>
      </c>
      <c r="AF282" t="b">
        <f t="shared" si="24"/>
        <v>0</v>
      </c>
    </row>
    <row r="283" spans="1:32">
      <c r="A283" t="s">
        <v>2727</v>
      </c>
      <c r="Y283" t="str">
        <f t="shared" ref="Y283" si="25">"np.logical_and( " &amp; $A$220 &amp; " ==True, " &amp; $A$173 &amp; " ==False), ( " &amp; A188 &amp; " ), 0"</f>
        <v>np.logical_and( ss_sampled_thm ==True, ProjectDropped ==False), ( EvalBase1ThermSvgs_orig ), 0</v>
      </c>
      <c r="AB283" s="3"/>
      <c r="AE283" t="b">
        <f t="shared" si="23"/>
        <v>1</v>
      </c>
      <c r="AF283" t="b">
        <f t="shared" si="24"/>
        <v>0</v>
      </c>
    </row>
    <row r="284" spans="1:32">
      <c r="A284" t="s">
        <v>2737</v>
      </c>
      <c r="Y284" t="str">
        <f>"np.logical_and( " &amp; $A$219 &amp; " ==True, " &amp; $A$173 &amp; " ==False), ( " &amp; A60 &amp; " ), 0"</f>
        <v>np.logical_and( ss_sampled_kwh ==True, ProjectDropped ==False), ( ExAnteBase1kWSvgs ), 0</v>
      </c>
      <c r="AB284" s="3"/>
      <c r="AE284" t="b">
        <f t="shared" si="23"/>
        <v>1</v>
      </c>
      <c r="AF284" t="b">
        <f t="shared" si="24"/>
        <v>0</v>
      </c>
    </row>
    <row r="285" spans="1:32">
      <c r="A285" t="s">
        <v>2738</v>
      </c>
      <c r="Y285" t="str">
        <f>"np.logical_and( " &amp; $A$219 &amp; " ==True, " &amp; $A$173 &amp; " ==False), ( " &amp; A61 &amp; " ), 0"</f>
        <v>np.logical_and( ss_sampled_kwh ==True, ProjectDropped ==False), ( ExAnteBase1kWhSvgs ), 0</v>
      </c>
      <c r="AB285" s="3"/>
      <c r="AE285" t="b">
        <f t="shared" si="23"/>
        <v>1</v>
      </c>
      <c r="AF285" t="b">
        <f t="shared" si="24"/>
        <v>0</v>
      </c>
    </row>
    <row r="286" spans="1:32">
      <c r="A286" t="s">
        <v>2739</v>
      </c>
      <c r="Y286" t="str">
        <f>"np.logical_and( " &amp; $A$220 &amp; " ==True, " &amp; $A$173 &amp; " ==False), ( " &amp; A62 &amp; " ), 0"</f>
        <v>np.logical_and( ss_sampled_thm ==True, ProjectDropped ==False), ( ExAnteBase1ThermSvgs ), 0</v>
      </c>
      <c r="AB286" s="3"/>
      <c r="AE286" t="b">
        <f t="shared" si="23"/>
        <v>1</v>
      </c>
      <c r="AF286" t="b">
        <f t="shared" si="24"/>
        <v>0</v>
      </c>
    </row>
    <row r="287" spans="1:32">
      <c r="A287" t="s">
        <v>2378</v>
      </c>
      <c r="Y287" t="str">
        <f>"np.logical_and( " &amp; $A$219 &amp; " ==True, " &amp; $A$173 &amp; " ==False), ( " &amp; A75 &amp; " ), 0"</f>
        <v>np.logical_and( ss_sampled_kwh ==True, ProjectDropped ==False), ( ExAnte_Annualized_kW ), 0</v>
      </c>
      <c r="AB287" s="3"/>
      <c r="AE287" t="b">
        <f t="shared" si="19"/>
        <v>1</v>
      </c>
      <c r="AF287" t="b">
        <f t="shared" si="20"/>
        <v>0</v>
      </c>
    </row>
    <row r="288" spans="1:32">
      <c r="A288" t="s">
        <v>2379</v>
      </c>
      <c r="Y288" t="str">
        <f>"np.logical_and( " &amp; $A$219 &amp; " ==True, " &amp; $A$173 &amp; " ==False), ( " &amp; A76 &amp; " ), 0"</f>
        <v>np.logical_and( ss_sampled_kwh ==True, ProjectDropped ==False), ( ExAnte_Annualized_kWh ), 0</v>
      </c>
      <c r="AB288" s="3"/>
      <c r="AE288" t="b">
        <f t="shared" si="19"/>
        <v>1</v>
      </c>
      <c r="AF288" t="b">
        <f t="shared" si="20"/>
        <v>0</v>
      </c>
    </row>
    <row r="289" spans="1:37">
      <c r="A289" t="s">
        <v>2380</v>
      </c>
      <c r="Y289" t="str">
        <f>"np.logical_and( " &amp; $A$220 &amp; " ==True, " &amp; $A$173 &amp; " ==False), ( " &amp; A77 &amp; " ), 0"</f>
        <v>np.logical_and( ss_sampled_thm ==True, ProjectDropped ==False), ( ExAnte_Annualized_thm ), 0</v>
      </c>
      <c r="AB289" s="3"/>
      <c r="AE289" t="b">
        <f t="shared" si="19"/>
        <v>1</v>
      </c>
      <c r="AF289" t="b">
        <f t="shared" si="20"/>
        <v>0</v>
      </c>
    </row>
    <row r="290" spans="1:37">
      <c r="A290" t="s">
        <v>2377</v>
      </c>
      <c r="Y290" t="str">
        <f>"np.logical_and( " &amp; $A$219 &amp; " ==True, " &amp; $A$173 &amp; " ==False), ( " &amp; A66 &amp; " ), 0"</f>
        <v>np.logical_and( ss_sampled_kwh ==True, ProjectDropped ==False), ( ExAnte_LifeCycleGross_NoRR_kW ), 0</v>
      </c>
      <c r="AB290" s="3"/>
      <c r="AE290" t="b">
        <f t="shared" si="19"/>
        <v>1</v>
      </c>
      <c r="AF290" t="b">
        <f t="shared" si="20"/>
        <v>0</v>
      </c>
    </row>
    <row r="291" spans="1:37">
      <c r="A291" t="s">
        <v>2381</v>
      </c>
      <c r="Y291" t="str">
        <f>"np.logical_and( " &amp; $A$219 &amp; " ==True, " &amp; $A$173 &amp; " ==False), ( " &amp; A67 &amp; " ), 0"</f>
        <v>np.logical_and( ss_sampled_kwh ==True, ProjectDropped ==False), ( ExAnte_LifeCycleGross_NoRR_kWh ), 0</v>
      </c>
      <c r="AB291" s="3"/>
      <c r="AE291" t="b">
        <f t="shared" si="19"/>
        <v>1</v>
      </c>
      <c r="AF291" t="b">
        <f t="shared" si="20"/>
        <v>0</v>
      </c>
    </row>
    <row r="292" spans="1:37">
      <c r="A292" t="s">
        <v>2382</v>
      </c>
      <c r="Y292" t="str">
        <f>"np.logical_and( " &amp; $A$220 &amp; " ==True, " &amp; $A$173 &amp; " ==False), ( " &amp; A68 &amp; " ), 0"</f>
        <v>np.logical_and( ss_sampled_thm ==True, ProjectDropped ==False), ( ExAnte_LifeCycleGross_NoRR_thm ), 0</v>
      </c>
      <c r="AB292" s="3"/>
      <c r="AE292" t="b">
        <f t="shared" si="19"/>
        <v>1</v>
      </c>
      <c r="AF292" t="b">
        <f t="shared" si="20"/>
        <v>0</v>
      </c>
    </row>
    <row r="293" spans="1:37">
      <c r="A293" t="str">
        <f t="shared" ref="A293:A298" si="26">F293</f>
        <v>pai_2</v>
      </c>
      <c r="F293" t="s">
        <v>2086</v>
      </c>
      <c r="AB293" s="3"/>
      <c r="AE293" t="b">
        <f t="shared" si="19"/>
        <v>1</v>
      </c>
      <c r="AF293" t="b">
        <f t="shared" si="20"/>
        <v>0</v>
      </c>
    </row>
    <row r="294" spans="1:37">
      <c r="A294" t="str">
        <f t="shared" si="26"/>
        <v>pai_3</v>
      </c>
      <c r="F294" t="s">
        <v>2087</v>
      </c>
      <c r="AB294" s="3"/>
      <c r="AE294" t="b">
        <f t="shared" si="19"/>
        <v>1</v>
      </c>
      <c r="AF294" t="b">
        <f t="shared" si="20"/>
        <v>0</v>
      </c>
    </row>
    <row r="295" spans="1:37">
      <c r="A295" t="str">
        <f t="shared" si="26"/>
        <v>pai_1</v>
      </c>
      <c r="F295" t="s">
        <v>2088</v>
      </c>
      <c r="AB295" s="3"/>
      <c r="AE295" t="b">
        <f t="shared" si="19"/>
        <v>1</v>
      </c>
      <c r="AF295" t="b">
        <f t="shared" si="20"/>
        <v>0</v>
      </c>
    </row>
    <row r="296" spans="1:37">
      <c r="A296" t="str">
        <f t="shared" si="26"/>
        <v>pai_5</v>
      </c>
      <c r="F296" t="s">
        <v>2089</v>
      </c>
      <c r="AB296" s="3"/>
      <c r="AE296" t="b">
        <f t="shared" si="19"/>
        <v>1</v>
      </c>
      <c r="AF296" t="b">
        <f t="shared" si="20"/>
        <v>0</v>
      </c>
    </row>
    <row r="297" spans="1:37">
      <c r="A297" t="str">
        <f t="shared" si="26"/>
        <v>pai_4</v>
      </c>
      <c r="F297" t="s">
        <v>2090</v>
      </c>
      <c r="AB297" s="3"/>
      <c r="AE297" t="b">
        <f t="shared" si="19"/>
        <v>1</v>
      </c>
      <c r="AF297" t="b">
        <f t="shared" si="20"/>
        <v>0</v>
      </c>
    </row>
    <row r="298" spans="1:37">
      <c r="A298" t="str">
        <f t="shared" si="26"/>
        <v>ClaimUnweighted_NTGR</v>
      </c>
      <c r="F298" t="s">
        <v>1538</v>
      </c>
      <c r="M298" t="s">
        <v>2250</v>
      </c>
      <c r="AB298" s="3"/>
      <c r="AE298" t="b">
        <f t="shared" si="19"/>
        <v>1</v>
      </c>
      <c r="AF298" t="b">
        <f t="shared" si="20"/>
        <v>0</v>
      </c>
    </row>
    <row r="299" spans="1:37">
      <c r="A299" t="str">
        <f>$A$298 &amp; "_kw"</f>
        <v>ClaimUnweighted_NTGR_kw</v>
      </c>
      <c r="M299" t="s">
        <v>2250</v>
      </c>
      <c r="Z299" t="str">
        <f>"( " &amp; $A$298 &amp; " )"</f>
        <v>( ClaimUnweighted_NTGR )</v>
      </c>
      <c r="AA299" t="s">
        <v>2181</v>
      </c>
      <c r="AB299" s="3" t="str">
        <f>"( " &amp; $A$210 &amp; " ==True ) &amp; ( " &amp; $A$298 &amp; " .notna())"</f>
        <v>( Frame_Electric ==True ) &amp; ( ClaimUnweighted_NTGR .notna())</v>
      </c>
      <c r="AE299" t="b">
        <f t="shared" si="19"/>
        <v>1</v>
      </c>
      <c r="AF299" t="b">
        <f t="shared" si="20"/>
        <v>0</v>
      </c>
      <c r="AK299" t="str">
        <f>"np.logical_and( " &amp;$A$156 &amp; " !=8,  " &amp; $A$298 &amp; " .notna()) , ( " &amp; $A$298 &amp; " ), None"</f>
        <v>np.logical_and( stratum_kWh !=8,  ClaimUnweighted_NTGR .notna()) , ( ClaimUnweighted_NTGR ), None</v>
      </c>
    </row>
    <row r="300" spans="1:37">
      <c r="A300" t="str">
        <f>$A$298 &amp; "_kwh"</f>
        <v>ClaimUnweighted_NTGR_kwh</v>
      </c>
      <c r="M300" t="s">
        <v>2250</v>
      </c>
      <c r="Z300" t="str">
        <f>"( " &amp; $A$298 &amp; " )"</f>
        <v>( ClaimUnweighted_NTGR )</v>
      </c>
      <c r="AA300" t="s">
        <v>2181</v>
      </c>
      <c r="AB300" s="3" t="str">
        <f>"( " &amp; $A$210 &amp; " ==True ) &amp; ( " &amp; $A$298 &amp; " .notna())"</f>
        <v>( Frame_Electric ==True ) &amp; ( ClaimUnweighted_NTGR .notna())</v>
      </c>
      <c r="AE300" t="b">
        <f t="shared" si="19"/>
        <v>1</v>
      </c>
      <c r="AF300" t="b">
        <f t="shared" si="20"/>
        <v>0</v>
      </c>
      <c r="AK300" t="str">
        <f>"np.logical_and( " &amp;$A$156 &amp; " !=8,  " &amp; $A$298 &amp; " .notna()) , ( " &amp; $A$298 &amp; " ), None"</f>
        <v>np.logical_and( stratum_kWh !=8,  ClaimUnweighted_NTGR .notna()) , ( ClaimUnweighted_NTGR ), None</v>
      </c>
    </row>
    <row r="301" spans="1:37">
      <c r="A301" t="str">
        <f>$A$298 &amp; "_thm"</f>
        <v>ClaimUnweighted_NTGR_thm</v>
      </c>
      <c r="M301" t="s">
        <v>2250</v>
      </c>
      <c r="Z301" t="str">
        <f>"( " &amp; $A$298 &amp; " )"</f>
        <v>( ClaimUnweighted_NTGR )</v>
      </c>
      <c r="AA301" t="s">
        <v>2181</v>
      </c>
      <c r="AB301" s="3" t="str">
        <f>"( " &amp; $A$211 &amp; " ==True ) &amp; ( " &amp; $A$298 &amp; " .notna())"</f>
        <v>( Frame_Gas ==True ) &amp; ( ClaimUnweighted_NTGR .notna())</v>
      </c>
      <c r="AE301" t="b">
        <f t="shared" si="19"/>
        <v>1</v>
      </c>
      <c r="AF301" t="b">
        <f t="shared" si="20"/>
        <v>0</v>
      </c>
      <c r="AK301" t="str">
        <f>"np.logical_and( " &amp;$A$156 &amp; " !=8,  " &amp; $A$298 &amp; " .notna()) , ( " &amp; $A$298 &amp; " ), None"</f>
        <v>np.logical_and( stratum_kWh !=8,  ClaimUnweighted_NTGR .notna()) , ( ClaimUnweighted_NTGR ), None</v>
      </c>
    </row>
    <row r="302" spans="1:37">
      <c r="A302" t="str">
        <f>F302 &amp; "_raw"</f>
        <v>PercentAdj_raw</v>
      </c>
      <c r="F302" t="s">
        <v>1539</v>
      </c>
      <c r="M302" t="s">
        <v>2250</v>
      </c>
      <c r="AB302" s="3"/>
      <c r="AE302" t="b">
        <f t="shared" si="19"/>
        <v>1</v>
      </c>
      <c r="AF302" t="b">
        <f t="shared" si="20"/>
        <v>0</v>
      </c>
    </row>
    <row r="303" spans="1:37">
      <c r="A303" t="str">
        <f>F302</f>
        <v>PercentAdj</v>
      </c>
      <c r="M303" t="s">
        <v>2250</v>
      </c>
      <c r="Y303" t="str">
        <f>"np.logical_and( " &amp; $A$165 &amp; " .notna(),  " &amp; $A$302 &amp; " .isna()) , 0, ( " &amp; $A$302 &amp; " )"</f>
        <v>np.logical_and( SampleID .notna(),  PercentAdj_raw .isna()) , 0, ( PercentAdj_raw )</v>
      </c>
      <c r="AB303" s="3"/>
      <c r="AE303" t="b">
        <f t="shared" si="19"/>
        <v>1</v>
      </c>
      <c r="AF303" t="b">
        <f t="shared" si="20"/>
        <v>0</v>
      </c>
    </row>
    <row r="304" spans="1:37">
      <c r="A304" t="s">
        <v>632</v>
      </c>
      <c r="M304" t="s">
        <v>2250</v>
      </c>
      <c r="P304" t="str">
        <f>A299 &amp; " * ( 1 + " &amp;$A$303 &amp; " )"</f>
        <v>ClaimUnweighted_NTGR_kw * ( 1 + PercentAdj )</v>
      </c>
      <c r="AB304" s="3"/>
      <c r="AE304" t="b">
        <f t="shared" si="19"/>
        <v>1</v>
      </c>
      <c r="AF304" t="b">
        <f t="shared" si="20"/>
        <v>0</v>
      </c>
    </row>
    <row r="305" spans="1:32">
      <c r="A305" t="s">
        <v>633</v>
      </c>
      <c r="M305" t="s">
        <v>2250</v>
      </c>
      <c r="P305" t="str">
        <f>A300 &amp; " * ( 1 + " &amp;$A$303 &amp; " )"</f>
        <v>ClaimUnweighted_NTGR_kwh * ( 1 + PercentAdj )</v>
      </c>
      <c r="AB305" s="3"/>
      <c r="AE305" t="b">
        <f t="shared" si="19"/>
        <v>1</v>
      </c>
      <c r="AF305" t="b">
        <f t="shared" si="20"/>
        <v>0</v>
      </c>
    </row>
    <row r="306" spans="1:32">
      <c r="A306" t="s">
        <v>634</v>
      </c>
      <c r="M306" t="s">
        <v>2250</v>
      </c>
      <c r="P306" t="str">
        <f>A301 &amp; " * ( 1 + " &amp;$A$303 &amp; " )"</f>
        <v>ClaimUnweighted_NTGR_thm * ( 1 + PercentAdj )</v>
      </c>
      <c r="AB306" s="3"/>
      <c r="AE306" t="b">
        <f t="shared" si="19"/>
        <v>1</v>
      </c>
      <c r="AF306" t="b">
        <f t="shared" si="20"/>
        <v>0</v>
      </c>
    </row>
    <row r="307" spans="1:32">
      <c r="A307" t="s">
        <v>653</v>
      </c>
      <c r="M307" t="s">
        <v>658</v>
      </c>
      <c r="P307" t="str">
        <f>AB277</f>
        <v>EvalMeasAppType =='AR'</v>
      </c>
      <c r="AB307" s="3"/>
      <c r="AE307" t="b">
        <f t="shared" si="19"/>
        <v>1</v>
      </c>
      <c r="AF307" t="b">
        <f t="shared" si="20"/>
        <v>0</v>
      </c>
    </row>
    <row r="308" spans="1:32">
      <c r="A308" t="s">
        <v>654</v>
      </c>
      <c r="M308" t="s">
        <v>658</v>
      </c>
      <c r="P308" t="str">
        <f>Z321</f>
        <v>( EvalBase1kWhSvgs_orig * EvalRUL_Yrs ) + ( ( EvalEUL_Yrs - EvalRUL_Yrs ) * EvalBase2kWhSvgs_orig  * adj_unwtd_kwh_ntgr )</v>
      </c>
      <c r="AB308" s="3"/>
      <c r="AE308" t="b">
        <f t="shared" si="19"/>
        <v>1</v>
      </c>
      <c r="AF308" t="b">
        <f t="shared" si="20"/>
        <v>0</v>
      </c>
    </row>
    <row r="309" spans="1:32">
      <c r="A309" t="s">
        <v>655</v>
      </c>
      <c r="M309" t="s">
        <v>658</v>
      </c>
      <c r="P309" t="str">
        <f>AA321</f>
        <v>( EvalBase1kWhSvgs_orig * EvalEUL_Yrs * adj_unwtd_kwh_ntgr )</v>
      </c>
      <c r="AB309" s="3"/>
      <c r="AE309" t="b">
        <f t="shared" si="19"/>
        <v>1</v>
      </c>
      <c r="AF309" t="b">
        <f t="shared" si="20"/>
        <v>0</v>
      </c>
    </row>
    <row r="310" spans="1:32">
      <c r="A310" t="s">
        <v>2182</v>
      </c>
      <c r="B310" t="s">
        <v>2190</v>
      </c>
      <c r="M310" t="s">
        <v>658</v>
      </c>
      <c r="Y310" t="str">
        <f t="shared" ref="Y310:Y315" si="27">A186 &amp; " &gt; 0 , ( " &amp; A186 &amp; " ) , ( " &amp; A60 &amp; " )"</f>
        <v>EvalBase1kWSvgs_orig &gt; 0 , ( EvalBase1kWSvgs_orig ) , ( ExAnteBase1kWSvgs )</v>
      </c>
      <c r="AB310" s="3"/>
      <c r="AE310" t="b">
        <f t="shared" si="19"/>
        <v>1</v>
      </c>
      <c r="AF310" t="b">
        <f t="shared" si="20"/>
        <v>0</v>
      </c>
    </row>
    <row r="311" spans="1:32">
      <c r="A311" t="s">
        <v>2183</v>
      </c>
      <c r="B311" t="s">
        <v>2190</v>
      </c>
      <c r="M311" t="s">
        <v>658</v>
      </c>
      <c r="Y311" t="str">
        <f t="shared" si="27"/>
        <v>EvalBase1kWhSvgs_orig &gt; 0 , ( EvalBase1kWhSvgs_orig ) , ( ExAnteBase1kWhSvgs )</v>
      </c>
      <c r="AB311" s="3"/>
      <c r="AE311" t="b">
        <f t="shared" si="19"/>
        <v>1</v>
      </c>
      <c r="AF311" t="b">
        <f t="shared" si="20"/>
        <v>0</v>
      </c>
    </row>
    <row r="312" spans="1:32">
      <c r="A312" t="s">
        <v>2184</v>
      </c>
      <c r="B312" t="s">
        <v>2190</v>
      </c>
      <c r="M312" t="s">
        <v>658</v>
      </c>
      <c r="Y312" t="str">
        <f t="shared" si="27"/>
        <v>EvalBase1ThermSvgs_orig &gt; 0 , ( EvalBase1ThermSvgs_orig ) , ( ExAnteBase1ThermSvgs )</v>
      </c>
      <c r="AB312" s="3"/>
      <c r="AE312" t="b">
        <f t="shared" si="19"/>
        <v>1</v>
      </c>
      <c r="AF312" t="b">
        <f t="shared" si="20"/>
        <v>0</v>
      </c>
    </row>
    <row r="313" spans="1:32">
      <c r="A313" t="s">
        <v>2185</v>
      </c>
      <c r="B313" t="s">
        <v>2190</v>
      </c>
      <c r="M313" t="s">
        <v>658</v>
      </c>
      <c r="Y313" t="str">
        <f t="shared" si="27"/>
        <v>EvalBase2kWSvgs_orig &gt; 0 , ( EvalBase2kWSvgs_orig ) , ( ExAnteBase2kWSvgs )</v>
      </c>
      <c r="AB313" s="3"/>
      <c r="AE313" t="b">
        <f t="shared" si="19"/>
        <v>1</v>
      </c>
      <c r="AF313" t="b">
        <f t="shared" si="20"/>
        <v>0</v>
      </c>
    </row>
    <row r="314" spans="1:32">
      <c r="A314" t="s">
        <v>2186</v>
      </c>
      <c r="B314" t="s">
        <v>2190</v>
      </c>
      <c r="M314" t="s">
        <v>658</v>
      </c>
      <c r="Y314" t="str">
        <f t="shared" si="27"/>
        <v>EvalBase2kWhSvgs_orig &gt; 0 , ( EvalBase2kWhSvgs_orig ) , ( ExAnteBase2kWhSvgs )</v>
      </c>
      <c r="AB314" s="3"/>
      <c r="AE314" t="b">
        <f t="shared" si="19"/>
        <v>1</v>
      </c>
      <c r="AF314" t="b">
        <f t="shared" si="20"/>
        <v>0</v>
      </c>
    </row>
    <row r="315" spans="1:32">
      <c r="A315" t="s">
        <v>2187</v>
      </c>
      <c r="B315" t="s">
        <v>2190</v>
      </c>
      <c r="M315" t="s">
        <v>658</v>
      </c>
      <c r="Y315" t="str">
        <f t="shared" si="27"/>
        <v>EvalBase2ThermSvgs_orig &gt; 0 , ( EvalBase2ThermSvgs_orig ) , ( ExAnteBase2ThermSvgs )</v>
      </c>
      <c r="AB315" s="3"/>
      <c r="AE315" t="b">
        <f t="shared" si="19"/>
        <v>1</v>
      </c>
      <c r="AF315" t="b">
        <f t="shared" si="20"/>
        <v>0</v>
      </c>
    </row>
    <row r="316" spans="1:32">
      <c r="A316" t="s">
        <v>2188</v>
      </c>
      <c r="B316" t="s">
        <v>2190</v>
      </c>
      <c r="M316" t="s">
        <v>658</v>
      </c>
      <c r="Y316" t="str">
        <f>A197 &amp; " &gt; 0 , ( " &amp; A197 &amp; " ) , ( " &amp; A103&amp; " )"</f>
        <v>EvalEUL &gt; 0 , ( EvalEUL ) , ( EUL_Yrs )</v>
      </c>
      <c r="AB316" s="3"/>
      <c r="AE316" t="b">
        <f t="shared" si="19"/>
        <v>1</v>
      </c>
      <c r="AF316" t="b">
        <f t="shared" si="20"/>
        <v>0</v>
      </c>
    </row>
    <row r="317" spans="1:32">
      <c r="A317" t="s">
        <v>2189</v>
      </c>
      <c r="B317" t="s">
        <v>2190</v>
      </c>
      <c r="M317" t="s">
        <v>658</v>
      </c>
      <c r="Y317" t="str">
        <f>A198 &amp; " &gt; 0 , ( " &amp; A198 &amp; " ) , ( " &amp; A104&amp; " )"</f>
        <v>EvalRUL &gt; 0 , ( EvalRUL ) , ( RUL_Yrs )</v>
      </c>
      <c r="AB317" s="3"/>
      <c r="AE317" t="b">
        <f t="shared" si="19"/>
        <v>1</v>
      </c>
      <c r="AF317" t="b">
        <f t="shared" si="20"/>
        <v>0</v>
      </c>
    </row>
    <row r="318" spans="1:32">
      <c r="A318" t="s">
        <v>2194</v>
      </c>
      <c r="M318" t="s">
        <v>658</v>
      </c>
      <c r="Y318" t="str">
        <f>A200 &amp; " .notnull(), ( " &amp; A200 &amp; " ) , ( " &amp; A93 &amp; " )"</f>
        <v>EvalMeasAppType .notnull(), ( EvalMeasAppType ) , ( MeasAppType )</v>
      </c>
      <c r="AB318" s="3"/>
      <c r="AE318" t="b">
        <f t="shared" ref="AE318:AE319" si="28">IF(NOT(ISBLANK(A318)), LEN(_xlfn.CONCAT(C318:AD318))&gt;0, "")</f>
        <v>1</v>
      </c>
      <c r="AF318" t="b">
        <f t="shared" ref="AF318:AF319" si="29">AND(ISNUMBER(SEARCH("kw",_xlfn.CONCAT(O318:AD318))), ISNUMBER(SEARCH("thm",_xlfn.CONCAT(O318:AD318))))</f>
        <v>0</v>
      </c>
    </row>
    <row r="319" spans="1:32">
      <c r="A319" t="s">
        <v>2195</v>
      </c>
      <c r="M319" t="s">
        <v>658</v>
      </c>
      <c r="P319" t="str">
        <f>"( " &amp; A318 &amp; " =='AR' ) | ( " &amp; A318 &amp; " =='ER' )"</f>
        <v>( combined_MeasAppType =='AR' ) | ( combined_MeasAppType =='ER' )</v>
      </c>
      <c r="AB319" s="3"/>
      <c r="AE319" t="b">
        <f t="shared" si="28"/>
        <v>1</v>
      </c>
      <c r="AF319" t="b">
        <f t="shared" si="29"/>
        <v>0</v>
      </c>
    </row>
    <row r="320" spans="1:32">
      <c r="A320" t="str">
        <f>A323&amp;"_raw"</f>
        <v>ss_ExPostLifecycleNetkW_raw</v>
      </c>
      <c r="M320" t="s">
        <v>2250</v>
      </c>
      <c r="Y320" t="str">
        <f>AB320&amp; ", " &amp; Z320 &amp; ", " &amp; AA320</f>
        <v>EvalMeasAppType =='AR', ( EvalBase1kWSvgs_orig * EvalRUL_Yrs ) + ( ( EvalEUL_Yrs - EvalRUL_Yrs ) * EvalBase2kWSvgs_orig  * adj_unwtd_kw_ntgr ), EvalBase1kWSvgs_orig * EvalEUL_Yrs * adj_unwtd_kw_ntgr</v>
      </c>
      <c r="Z320" s="9" t="str">
        <f>"( " &amp; A186 &amp; " * " &amp; $A$256 &amp; " ) + ( ( " &amp; $A$255 &amp; " - " &amp; $A$256 &amp; " ) * " &amp; A189 &amp; "  * " &amp; A304 &amp; " )"</f>
        <v>( EvalBase1kWSvgs_orig * EvalRUL_Yrs ) + ( ( EvalEUL_Yrs - EvalRUL_Yrs ) * EvalBase2kWSvgs_orig  * adj_unwtd_kw_ntgr )</v>
      </c>
      <c r="AA320" s="9" t="str">
        <f>A186 &amp; " * " &amp; $A$255 &amp; " * " &amp; A304</f>
        <v>EvalBase1kWSvgs_orig * EvalEUL_Yrs * adj_unwtd_kw_ntgr</v>
      </c>
      <c r="AB320" s="3" t="str">
        <f>AB275</f>
        <v>EvalMeasAppType =='AR'</v>
      </c>
      <c r="AE320" t="b">
        <f t="shared" ref="AE320:AE373" si="30">IF(NOT(ISBLANK(A320)), LEN(_xlfn.CONCAT(C320:AD320))&gt;0, "")</f>
        <v>1</v>
      </c>
      <c r="AF320" t="b">
        <f t="shared" ref="AF320:AF373" si="31">AND(ISNUMBER(SEARCH("kw",_xlfn.CONCAT(O320:AD320))), ISNUMBER(SEARCH("thm",_xlfn.CONCAT(O320:AD320))))</f>
        <v>0</v>
      </c>
    </row>
    <row r="321" spans="1:32">
      <c r="A321" t="str">
        <f>A324&amp;"_raw"</f>
        <v>ss_ExPostLifecycleNetkWh_raw</v>
      </c>
      <c r="M321" t="s">
        <v>2250</v>
      </c>
      <c r="Y321" t="str">
        <f>AB321&amp; ", " &amp; Z321 &amp; ", " &amp; AA321</f>
        <v>EvalMeasAppType =='AR', ( EvalBase1kWhSvgs_orig * EvalRUL_Yrs ) + ( ( EvalEUL_Yrs - EvalRUL_Yrs ) * EvalBase2kWhSvgs_orig  * adj_unwtd_kwh_ntgr ), ( EvalBase1kWhSvgs_orig * EvalEUL_Yrs * adj_unwtd_kwh_ntgr )</v>
      </c>
      <c r="Z321" s="9" t="str">
        <f>"( " &amp; A187 &amp; " * " &amp; $A$256 &amp; " ) + ( ( " &amp; $A$255 &amp; " - " &amp; $A$256 &amp; " ) * " &amp; A190 &amp; "  * " &amp; A305 &amp; " )"</f>
        <v>( EvalBase1kWhSvgs_orig * EvalRUL_Yrs ) + ( ( EvalEUL_Yrs - EvalRUL_Yrs ) * EvalBase2kWhSvgs_orig  * adj_unwtd_kwh_ntgr )</v>
      </c>
      <c r="AA321" s="9" t="str">
        <f>"( " &amp; A187 &amp; " * " &amp; $A$255 &amp; " * " &amp; A305 &amp; " )"</f>
        <v>( EvalBase1kWhSvgs_orig * EvalEUL_Yrs * adj_unwtd_kwh_ntgr )</v>
      </c>
      <c r="AB321" s="3" t="str">
        <f>AB276</f>
        <v>EvalMeasAppType =='AR'</v>
      </c>
      <c r="AE321" t="b">
        <f t="shared" si="30"/>
        <v>1</v>
      </c>
      <c r="AF321" t="b">
        <f t="shared" si="31"/>
        <v>0</v>
      </c>
    </row>
    <row r="322" spans="1:32">
      <c r="A322" t="str">
        <f>A325&amp;"_raw"</f>
        <v>ss_ExPostLifecycleNetthm_raw</v>
      </c>
      <c r="M322" t="s">
        <v>2250</v>
      </c>
      <c r="Y322" t="str">
        <f>AB322&amp; ", " &amp; Z322 &amp; ", " &amp; AA322</f>
        <v>EvalMeasAppType =='AR', ( EvalBase1ThermSvgs_orig * EvalRUL_Yrs ) + ( ( EvalEUL_Yrs - EvalRUL_Yrs ) * EvalBase2ThermSvgs_orig  * adj_unwtd_thm_ntgr ), EvalBase1ThermSvgs_orig * EvalEUL_Yrs * adj_unwtd_thm_ntgr</v>
      </c>
      <c r="Z322" s="9" t="str">
        <f>"( " &amp; A188 &amp; " * " &amp; $A$256 &amp; " ) + ( ( " &amp; $A$255 &amp; " - " &amp; $A$256 &amp; " ) * " &amp; A191 &amp; "  * " &amp; A306 &amp; " )"</f>
        <v>( EvalBase1ThermSvgs_orig * EvalRUL_Yrs ) + ( ( EvalEUL_Yrs - EvalRUL_Yrs ) * EvalBase2ThermSvgs_orig  * adj_unwtd_thm_ntgr )</v>
      </c>
      <c r="AA322" s="9" t="str">
        <f>A188 &amp; " * " &amp; $A$255 &amp; " * " &amp; A306</f>
        <v>EvalBase1ThermSvgs_orig * EvalEUL_Yrs * adj_unwtd_thm_ntgr</v>
      </c>
      <c r="AB322" s="3" t="str">
        <f>AB277</f>
        <v>EvalMeasAppType =='AR'</v>
      </c>
      <c r="AE322" t="b">
        <f t="shared" si="30"/>
        <v>1</v>
      </c>
      <c r="AF322" t="b">
        <f t="shared" si="31"/>
        <v>0</v>
      </c>
    </row>
    <row r="323" spans="1:32">
      <c r="A323" s="3" t="s">
        <v>641</v>
      </c>
      <c r="M323" t="s">
        <v>2250</v>
      </c>
      <c r="Y323" t="str">
        <f>"np.logical_and( " &amp; $A$219 &amp; " ==True, " &amp; $A$173 &amp; " ==False), ( " &amp; A320 &amp; " ), 0"</f>
        <v>np.logical_and( ss_sampled_kwh ==True, ProjectDropped ==False), ( ss_ExPostLifecycleNetkW_raw ), 0</v>
      </c>
      <c r="Z323" s="9"/>
      <c r="AA323" s="9"/>
      <c r="AB323" s="3"/>
      <c r="AE323" t="b">
        <f t="shared" si="30"/>
        <v>1</v>
      </c>
      <c r="AF323" t="b">
        <f t="shared" si="31"/>
        <v>0</v>
      </c>
    </row>
    <row r="324" spans="1:32">
      <c r="A324" s="3" t="s">
        <v>642</v>
      </c>
      <c r="M324" t="s">
        <v>2250</v>
      </c>
      <c r="Y324" t="str">
        <f>"np.logical_and( " &amp; $A$219 &amp; " ==True, " &amp; $A$173 &amp; " ==False), ( " &amp; A321 &amp; " ), 0"</f>
        <v>np.logical_and( ss_sampled_kwh ==True, ProjectDropped ==False), ( ss_ExPostLifecycleNetkWh_raw ), 0</v>
      </c>
      <c r="Z324" s="9"/>
      <c r="AA324" s="9"/>
      <c r="AB324" s="3"/>
      <c r="AE324" t="b">
        <f t="shared" si="30"/>
        <v>1</v>
      </c>
      <c r="AF324" t="b">
        <f t="shared" si="31"/>
        <v>0</v>
      </c>
    </row>
    <row r="325" spans="1:32">
      <c r="A325" s="3" t="s">
        <v>643</v>
      </c>
      <c r="M325" t="s">
        <v>2250</v>
      </c>
      <c r="Y325" t="str">
        <f>"np.logical_and( " &amp; $A$220 &amp; " ==True, " &amp; $A$173 &amp; " ==False), ( " &amp; A322 &amp; " ), 0"</f>
        <v>np.logical_and( ss_sampled_thm ==True, ProjectDropped ==False), ( ss_ExPostLifecycleNetthm_raw ), 0</v>
      </c>
      <c r="Z325" s="9"/>
      <c r="AA325" s="9"/>
      <c r="AB325" s="3"/>
      <c r="AE325" t="b">
        <f t="shared" si="30"/>
        <v>1</v>
      </c>
      <c r="AF325" t="b">
        <f t="shared" si="31"/>
        <v>0</v>
      </c>
    </row>
    <row r="326" spans="1:32">
      <c r="A326" s="3" t="s">
        <v>1760</v>
      </c>
      <c r="B326" t="s">
        <v>1763</v>
      </c>
      <c r="M326" t="s">
        <v>2250</v>
      </c>
      <c r="Y326" t="str">
        <f>AB320&amp; ", " &amp; Z326 &amp; ", " &amp; AA326</f>
        <v>EvalMeasAppType =='AR', ( ExAnteBase1kWSvgs * RUL_Yrs ) + ( ( EUL_Yrs - RUL_Yrs ) * ExAnteBase2kWSvgs  * adj_unwtd_kw_ntgr ), ExAnteBase1kWSvgs * EUL_Yrs * adj_unwtd_kw_ntgr</v>
      </c>
      <c r="Z326" s="9" t="str">
        <f>"( " &amp; A60 &amp; " * " &amp; $A$104 &amp; " ) + ( ( " &amp; $A$103 &amp; " - " &amp; $A$104 &amp; " ) * " &amp; A63 &amp; "  * " &amp; A304 &amp; " )"</f>
        <v>( ExAnteBase1kWSvgs * RUL_Yrs ) + ( ( EUL_Yrs - RUL_Yrs ) * ExAnteBase2kWSvgs  * adj_unwtd_kw_ntgr )</v>
      </c>
      <c r="AA326" s="9" t="str">
        <f>A60 &amp; " * " &amp; $A$103 &amp; " * " &amp; A304</f>
        <v>ExAnteBase1kWSvgs * EUL_Yrs * adj_unwtd_kw_ntgr</v>
      </c>
      <c r="AB326" s="3"/>
      <c r="AE326" t="b">
        <f t="shared" si="30"/>
        <v>1</v>
      </c>
      <c r="AF326" t="b">
        <f t="shared" si="31"/>
        <v>0</v>
      </c>
    </row>
    <row r="327" spans="1:32">
      <c r="A327" s="3" t="s">
        <v>1762</v>
      </c>
      <c r="B327" t="s">
        <v>1763</v>
      </c>
      <c r="M327" t="s">
        <v>2250</v>
      </c>
      <c r="Y327" t="str">
        <f>AB321&amp; ", " &amp; Z327 &amp; ", " &amp; AA327</f>
        <v>EvalMeasAppType =='AR', ( ExAnteBase1kWhSvgs * RUL_Yrs ) + ( ( EUL_Yrs - RUL_Yrs ) * ExAnteBase2kWhSvgs  * adj_unwtd_kwh_ntgr ), ExAnteBase1kWhSvgs * EUL_Yrs * adj_unwtd_kwh_ntgr</v>
      </c>
      <c r="Z327" s="9" t="str">
        <f>"( " &amp; A61 &amp; " * " &amp; $A$104 &amp; " ) + ( ( " &amp; $A$103 &amp; " - " &amp; $A$104 &amp; " ) * " &amp; A64 &amp; "  * " &amp; A305 &amp; " )"</f>
        <v>( ExAnteBase1kWhSvgs * RUL_Yrs ) + ( ( EUL_Yrs - RUL_Yrs ) * ExAnteBase2kWhSvgs  * adj_unwtd_kwh_ntgr )</v>
      </c>
      <c r="AA327" s="9" t="str">
        <f>A61 &amp; " * " &amp; $A$103 &amp; " * " &amp; A305</f>
        <v>ExAnteBase1kWhSvgs * EUL_Yrs * adj_unwtd_kwh_ntgr</v>
      </c>
      <c r="AB327" s="3"/>
      <c r="AE327" t="b">
        <f t="shared" si="30"/>
        <v>1</v>
      </c>
      <c r="AF327" t="b">
        <f t="shared" si="31"/>
        <v>0</v>
      </c>
    </row>
    <row r="328" spans="1:32">
      <c r="A328" s="3" t="s">
        <v>1761</v>
      </c>
      <c r="B328" t="s">
        <v>1763</v>
      </c>
      <c r="M328" t="s">
        <v>2250</v>
      </c>
      <c r="Y328" t="str">
        <f>AB322&amp; ", " &amp; Z328 &amp; ", " &amp; AA328</f>
        <v>EvalMeasAppType =='AR', ( ExAnteBase1ThermSvgs * RUL_Yrs ) + ( ( EUL_Yrs - RUL_Yrs ) * ExAnteBase2ThermSvgs  * adj_unwtd_thm_ntgr ), ExAnteBase1ThermSvgs * EUL_Yrs * adj_unwtd_thm_ntgr</v>
      </c>
      <c r="Z328" s="9" t="str">
        <f>"( " &amp; A62 &amp; " * " &amp; $A$104 &amp; " ) + ( ( " &amp; $A$103 &amp; " - " &amp; $A$104 &amp; " ) * " &amp; A65 &amp; "  * " &amp; A306 &amp; " )"</f>
        <v>( ExAnteBase1ThermSvgs * RUL_Yrs ) + ( ( EUL_Yrs - RUL_Yrs ) * ExAnteBase2ThermSvgs  * adj_unwtd_thm_ntgr )</v>
      </c>
      <c r="AA328" s="9" t="str">
        <f>A62 &amp; " * " &amp; $A$103 &amp; " * " &amp; A306</f>
        <v>ExAnteBase1ThermSvgs * EUL_Yrs * adj_unwtd_thm_ntgr</v>
      </c>
      <c r="AB328" s="3"/>
      <c r="AE328" t="b">
        <f t="shared" si="30"/>
        <v>1</v>
      </c>
      <c r="AF328" t="b">
        <f t="shared" si="31"/>
        <v>0</v>
      </c>
    </row>
    <row r="329" spans="1:32">
      <c r="A329" s="3" t="s">
        <v>2191</v>
      </c>
      <c r="B329" t="s">
        <v>1763</v>
      </c>
      <c r="M329" t="s">
        <v>658</v>
      </c>
      <c r="Y329" t="str">
        <f t="shared" ref="Y329:Y334" si="32">"( " &amp; $A$319 &amp; " ), " &amp; Z329 &amp; ", " &amp; AA329</f>
        <v>( combined_isAR ), ( combined_base1_kw * combined_RUL ) + ( ( combined_EUL - combined_RUL ) * combined_base2_kw  * adj_unwtd_kw_ntgr ), combined_base1_kw * combined_EUL * adj_unwtd_kw_ntgr</v>
      </c>
      <c r="Z329" s="9" t="str">
        <f>"( " &amp; A310&amp; " * " &amp; $A$317&amp; " ) + ( ( " &amp; $A$316&amp; " - " &amp; $A$317&amp; " ) * " &amp; A313&amp; "  * " &amp; A304 &amp; " )"</f>
        <v>( combined_base1_kw * combined_RUL ) + ( ( combined_EUL - combined_RUL ) * combined_base2_kw  * adj_unwtd_kw_ntgr )</v>
      </c>
      <c r="AA329" s="9" t="str">
        <f>A310 &amp; " * " &amp; $A$316 &amp; " * " &amp; A304</f>
        <v>combined_base1_kw * combined_EUL * adj_unwtd_kw_ntgr</v>
      </c>
      <c r="AB329" s="3"/>
      <c r="AE329" t="b">
        <f t="shared" si="30"/>
        <v>1</v>
      </c>
      <c r="AF329" t="b">
        <f t="shared" si="31"/>
        <v>0</v>
      </c>
    </row>
    <row r="330" spans="1:32">
      <c r="A330" s="3" t="s">
        <v>2192</v>
      </c>
      <c r="B330" t="s">
        <v>1763</v>
      </c>
      <c r="M330" t="s">
        <v>658</v>
      </c>
      <c r="Y330" t="str">
        <f t="shared" si="32"/>
        <v>( combined_isAR ), ( combined_base1_kwh * combined_RUL ) + ( ( combined_EUL - combined_RUL ) * combined_base2_kwh  * adj_unwtd_kwh_ntgr ), combined_base1_kwh * combined_EUL * adj_unwtd_kwh_ntgr</v>
      </c>
      <c r="Z330" s="9" t="str">
        <f>"( " &amp; A311&amp; " * " &amp; $A$317&amp; " ) + ( ( " &amp; $A$316&amp; " - " &amp; $A$317&amp; " ) * " &amp; A314&amp; "  * " &amp; A305 &amp; " )"</f>
        <v>( combined_base1_kwh * combined_RUL ) + ( ( combined_EUL - combined_RUL ) * combined_base2_kwh  * adj_unwtd_kwh_ntgr )</v>
      </c>
      <c r="AA330" s="9" t="str">
        <f>A311 &amp; " * " &amp; $A$316 &amp; " * " &amp; A305</f>
        <v>combined_base1_kwh * combined_EUL * adj_unwtd_kwh_ntgr</v>
      </c>
      <c r="AB330" s="3"/>
      <c r="AE330" t="b">
        <f t="shared" si="30"/>
        <v>1</v>
      </c>
      <c r="AF330" t="b">
        <f t="shared" si="31"/>
        <v>0</v>
      </c>
    </row>
    <row r="331" spans="1:32">
      <c r="A331" s="3" t="s">
        <v>2193</v>
      </c>
      <c r="B331" t="s">
        <v>1763</v>
      </c>
      <c r="M331" t="s">
        <v>658</v>
      </c>
      <c r="Y331" t="str">
        <f t="shared" si="32"/>
        <v>( combined_isAR ), ( combined_base1_thm * combined_RUL ) + ( ( combined_EUL - combined_RUL ) * combined_base2_thm  * adj_unwtd_thm_ntgr ), combined_base1_thm * combined_EUL * adj_unwtd_thm_ntgr</v>
      </c>
      <c r="Z331" s="9" t="str">
        <f>"( " &amp; A312&amp; " * " &amp; $A$317&amp; " ) + ( ( " &amp; $A$316&amp; " - " &amp; $A$317&amp; " ) * " &amp; A315&amp; "  * " &amp; A306 &amp; " )"</f>
        <v>( combined_base1_thm * combined_RUL ) + ( ( combined_EUL - combined_RUL ) * combined_base2_thm  * adj_unwtd_thm_ntgr )</v>
      </c>
      <c r="AA331" s="9" t="str">
        <f>A312 &amp; " * " &amp; $A$316 &amp; " * " &amp; A306</f>
        <v>combined_base1_thm * combined_EUL * adj_unwtd_thm_ntgr</v>
      </c>
      <c r="AB331" s="3"/>
      <c r="AE331" t="b">
        <f t="shared" si="30"/>
        <v>1</v>
      </c>
      <c r="AF331" t="b">
        <f t="shared" si="31"/>
        <v>0</v>
      </c>
    </row>
    <row r="332" spans="1:32">
      <c r="A332" s="3" t="s">
        <v>2199</v>
      </c>
      <c r="B332" t="s">
        <v>1763</v>
      </c>
      <c r="M332" t="s">
        <v>658</v>
      </c>
      <c r="Y332" t="str">
        <f t="shared" si="32"/>
        <v>( combined_isAR ), ( combined_base1_kw * combined_RUL ) + ( ( combined_EUL - combined_RUL ) * combined_base2_kw  ), combined_base1_kw * combined_EUL</v>
      </c>
      <c r="Z332" s="9" t="str">
        <f>"( " &amp; A310&amp; " * " &amp; $A$317&amp; " ) + ( ( " &amp; $A$316&amp; " - " &amp; $A$317&amp; " ) * " &amp; A313&amp; "  )"</f>
        <v>( combined_base1_kw * combined_RUL ) + ( ( combined_EUL - combined_RUL ) * combined_base2_kw  )</v>
      </c>
      <c r="AA332" s="9" t="str">
        <f>A310 &amp; " * " &amp; $A$316</f>
        <v>combined_base1_kw * combined_EUL</v>
      </c>
      <c r="AB332" s="3"/>
      <c r="AE332" t="b">
        <f t="shared" si="30"/>
        <v>1</v>
      </c>
      <c r="AF332" t="b">
        <f t="shared" si="31"/>
        <v>0</v>
      </c>
    </row>
    <row r="333" spans="1:32">
      <c r="A333" s="3" t="s">
        <v>2200</v>
      </c>
      <c r="B333" t="s">
        <v>1763</v>
      </c>
      <c r="M333" t="s">
        <v>658</v>
      </c>
      <c r="Y333" t="str">
        <f t="shared" si="32"/>
        <v>( combined_isAR ), ( combined_base1_kwh * combined_RUL ) + ( ( combined_EUL - combined_RUL ) * combined_base2_kwh  ), combined_base1_kwh * combined_EUL</v>
      </c>
      <c r="Z333" s="9" t="str">
        <f>"( " &amp; A311&amp; " * " &amp; $A$317&amp; " ) + ( ( " &amp; $A$316&amp; " - " &amp; $A$317&amp; " ) * " &amp; A314&amp; "  )"</f>
        <v>( combined_base1_kwh * combined_RUL ) + ( ( combined_EUL - combined_RUL ) * combined_base2_kwh  )</v>
      </c>
      <c r="AA333" s="9" t="str">
        <f>A311 &amp; " * " &amp; $A$316</f>
        <v>combined_base1_kwh * combined_EUL</v>
      </c>
      <c r="AB333" s="3"/>
      <c r="AE333" t="b">
        <f t="shared" si="30"/>
        <v>1</v>
      </c>
      <c r="AF333" t="b">
        <f t="shared" si="31"/>
        <v>0</v>
      </c>
    </row>
    <row r="334" spans="1:32">
      <c r="A334" s="3" t="s">
        <v>2201</v>
      </c>
      <c r="B334" t="s">
        <v>1763</v>
      </c>
      <c r="M334" t="s">
        <v>658</v>
      </c>
      <c r="Y334" t="str">
        <f t="shared" si="32"/>
        <v>( combined_isAR ), ( combined_base1_thm * combined_RUL ) + ( ( combined_EUL - combined_RUL ) * combined_base2_thm  ), combined_base1_thm * combined_EUL</v>
      </c>
      <c r="Z334" s="9" t="str">
        <f>"( " &amp; A312&amp; " * " &amp; $A$317&amp; " ) + ( ( " &amp; $A$316&amp; " - " &amp; $A$317&amp; " ) * " &amp; A315&amp; "  )"</f>
        <v>( combined_base1_thm * combined_RUL ) + ( ( combined_EUL - combined_RUL ) * combined_base2_thm  )</v>
      </c>
      <c r="AA334" s="9" t="str">
        <f>A312 &amp; " * " &amp; $A$316</f>
        <v>combined_base1_thm * combined_EUL</v>
      </c>
      <c r="AB334" s="3"/>
      <c r="AE334" t="b">
        <f t="shared" si="30"/>
        <v>1</v>
      </c>
      <c r="AF334" t="b">
        <f t="shared" si="31"/>
        <v>0</v>
      </c>
    </row>
    <row r="335" spans="1:32">
      <c r="A335" s="3" t="s">
        <v>638</v>
      </c>
      <c r="P335" t="str">
        <f>A278 &amp; " / " &amp; $A$255</f>
        <v>ss_ExPostLifecycleGrosskW / EvalEUL_Yrs</v>
      </c>
      <c r="Z335" s="9"/>
      <c r="AA335" s="9"/>
      <c r="AB335" s="3"/>
      <c r="AE335" t="b">
        <f t="shared" si="30"/>
        <v>1</v>
      </c>
      <c r="AF335" t="b">
        <f t="shared" si="31"/>
        <v>0</v>
      </c>
    </row>
    <row r="336" spans="1:32">
      <c r="A336" s="3" t="s">
        <v>639</v>
      </c>
      <c r="P336" t="str">
        <f>A279 &amp; " / " &amp; $A$255</f>
        <v>ss_ExPostLifecycleGrosskWh / EvalEUL_Yrs</v>
      </c>
      <c r="Z336" s="9"/>
      <c r="AA336" s="9"/>
      <c r="AB336" s="3"/>
      <c r="AE336" t="b">
        <f t="shared" si="30"/>
        <v>1</v>
      </c>
      <c r="AF336" t="b">
        <f t="shared" si="31"/>
        <v>0</v>
      </c>
    </row>
    <row r="337" spans="1:37">
      <c r="A337" s="3" t="s">
        <v>640</v>
      </c>
      <c r="P337" t="str">
        <f>A280 &amp; " / " &amp; $A$255</f>
        <v>ss_ExPostLifecycleGrossthm / EvalEUL_Yrs</v>
      </c>
      <c r="Z337" s="9"/>
      <c r="AA337" s="9"/>
      <c r="AB337" s="3"/>
      <c r="AE337" t="b">
        <f t="shared" si="30"/>
        <v>1</v>
      </c>
      <c r="AF337" t="b">
        <f t="shared" si="31"/>
        <v>0</v>
      </c>
    </row>
    <row r="338" spans="1:37">
      <c r="A338" t="s">
        <v>644</v>
      </c>
      <c r="M338" t="s">
        <v>2250</v>
      </c>
      <c r="P338" t="str">
        <f>A323 &amp; " .divide( " &amp; A278 &amp; " .where( " &amp; A278 &amp; " !=0,np.nan))"</f>
        <v>ss_ExPostLifecycleNetkW .divide( ss_ExPostLifecycleGrosskW .where( ss_ExPostLifecycleGrosskW !=0,np.nan))</v>
      </c>
      <c r="Z338" s="25"/>
      <c r="AE338" t="b">
        <f t="shared" si="30"/>
        <v>1</v>
      </c>
      <c r="AF338" t="b">
        <f t="shared" si="31"/>
        <v>0</v>
      </c>
      <c r="AK338" t="str">
        <f>A323 &amp; " .divide( " &amp; A278 &amp; " ,fill_value=0)"</f>
        <v>ss_ExPostLifecycleNetkW .divide( ss_ExPostLifecycleGrosskW ,fill_value=0)</v>
      </c>
    </row>
    <row r="339" spans="1:37">
      <c r="A339" t="s">
        <v>645</v>
      </c>
      <c r="M339" t="s">
        <v>2250</v>
      </c>
      <c r="P339" t="str">
        <f>A324 &amp; " .divide( " &amp; A279 &amp; " .where( " &amp; A279 &amp; " !=0,np.nan))"</f>
        <v>ss_ExPostLifecycleNetkWh .divide( ss_ExPostLifecycleGrosskWh .where( ss_ExPostLifecycleGrosskWh !=0,np.nan))</v>
      </c>
      <c r="AE339" t="b">
        <f t="shared" si="30"/>
        <v>1</v>
      </c>
      <c r="AF339" t="b">
        <f t="shared" si="31"/>
        <v>0</v>
      </c>
    </row>
    <row r="340" spans="1:37">
      <c r="A340" t="s">
        <v>646</v>
      </c>
      <c r="M340" t="s">
        <v>2250</v>
      </c>
      <c r="P340" t="str">
        <f>A325 &amp; " .divide( " &amp; A280 &amp; " .where( " &amp; A280 &amp; " !=0,np.nan))"</f>
        <v>ss_ExPostLifecycleNetthm .divide( ss_ExPostLifecycleGrossthm .where( ss_ExPostLifecycleGrossthm !=0,np.nan))</v>
      </c>
      <c r="AE340" t="b">
        <f t="shared" si="30"/>
        <v>1</v>
      </c>
      <c r="AF340" t="b">
        <f t="shared" si="31"/>
        <v>0</v>
      </c>
    </row>
    <row r="341" spans="1:37">
      <c r="A341" t="s">
        <v>659</v>
      </c>
      <c r="P341" t="str">
        <f>A335 &amp; " * " &amp; A247</f>
        <v>ss_annual_gross_kw * subsample_weight_kwh</v>
      </c>
      <c r="AE341" t="b">
        <f t="shared" si="30"/>
        <v>1</v>
      </c>
      <c r="AF341" t="b">
        <f t="shared" si="31"/>
        <v>0</v>
      </c>
    </row>
    <row r="342" spans="1:37">
      <c r="A342" t="s">
        <v>660</v>
      </c>
      <c r="P342" t="str">
        <f>A336 &amp; " * " &amp; A247</f>
        <v>ss_annual_gross_kwh * subsample_weight_kwh</v>
      </c>
      <c r="AE342" t="b">
        <f t="shared" si="30"/>
        <v>1</v>
      </c>
      <c r="AF342" t="b">
        <f t="shared" si="31"/>
        <v>0</v>
      </c>
    </row>
    <row r="343" spans="1:37">
      <c r="A343" t="s">
        <v>661</v>
      </c>
      <c r="P343" t="str">
        <f>A337 &amp; " * " &amp; A248</f>
        <v>ss_annual_gross_thm * subsample_weight_thm</v>
      </c>
      <c r="AE343" t="b">
        <f t="shared" si="30"/>
        <v>1</v>
      </c>
      <c r="AF343" t="b">
        <f t="shared" si="31"/>
        <v>0</v>
      </c>
    </row>
    <row r="344" spans="1:37">
      <c r="A344" t="s">
        <v>665</v>
      </c>
      <c r="P344" t="str">
        <f>A287&amp; " * " &amp; $A$247</f>
        <v>ss_ExAnte_Annualized_NoRR_kw * subsample_weight_kwh</v>
      </c>
      <c r="AE344" t="b">
        <f t="shared" si="30"/>
        <v>1</v>
      </c>
      <c r="AF344" t="b">
        <f t="shared" si="31"/>
        <v>0</v>
      </c>
    </row>
    <row r="345" spans="1:37">
      <c r="A345" t="s">
        <v>667</v>
      </c>
      <c r="P345" t="str">
        <f>A288&amp; " * " &amp; $A$247</f>
        <v>ss_ExAnte_Annualized_NoRRkwh * subsample_weight_kwh</v>
      </c>
      <c r="AE345" t="b">
        <f t="shared" si="30"/>
        <v>1</v>
      </c>
      <c r="AF345" t="b">
        <f t="shared" si="31"/>
        <v>0</v>
      </c>
    </row>
    <row r="346" spans="1:37">
      <c r="A346" t="s">
        <v>666</v>
      </c>
      <c r="P346" t="str">
        <f>A289&amp; " * " &amp; $A$248</f>
        <v>ss_ExAnte_Annualized_NoRRthm * subsample_weight_thm</v>
      </c>
      <c r="AE346" t="b">
        <f t="shared" si="30"/>
        <v>1</v>
      </c>
      <c r="AF346" t="b">
        <f t="shared" si="31"/>
        <v>0</v>
      </c>
    </row>
    <row r="347" spans="1:37">
      <c r="A347" t="s">
        <v>2728</v>
      </c>
      <c r="P347" t="str">
        <f>A281 &amp; " * " &amp; A247</f>
        <v>ss_ExPostFirstYearGross_kw * subsample_weight_kwh</v>
      </c>
      <c r="AE347" t="b">
        <f t="shared" ref="AE347:AE349" si="33">IF(NOT(ISBLANK(A347)), LEN(_xlfn.CONCAT(C347:AD347))&gt;0, "")</f>
        <v>1</v>
      </c>
      <c r="AF347" t="b">
        <f t="shared" ref="AF347:AF349" si="34">AND(ISNUMBER(SEARCH("kw",_xlfn.CONCAT(O347:AD347))), ISNUMBER(SEARCH("thm",_xlfn.CONCAT(O347:AD347))))</f>
        <v>0</v>
      </c>
    </row>
    <row r="348" spans="1:37">
      <c r="A348" t="s">
        <v>2729</v>
      </c>
      <c r="P348" t="str">
        <f>A282 &amp; " * " &amp; A247</f>
        <v>ss_ExPostFirstYearGross_kwh * subsample_weight_kwh</v>
      </c>
      <c r="AE348" t="b">
        <f t="shared" si="33"/>
        <v>1</v>
      </c>
      <c r="AF348" t="b">
        <f t="shared" si="34"/>
        <v>0</v>
      </c>
    </row>
    <row r="349" spans="1:37">
      <c r="A349" t="s">
        <v>2730</v>
      </c>
      <c r="P349" t="str">
        <f>A283 &amp; " * " &amp; A248</f>
        <v>ss_ExPostFirstYearGross_thm * subsample_weight_thm</v>
      </c>
      <c r="AE349" t="b">
        <f t="shared" si="33"/>
        <v>1</v>
      </c>
      <c r="AF349" t="b">
        <f t="shared" si="34"/>
        <v>0</v>
      </c>
    </row>
    <row r="350" spans="1:37">
      <c r="A350" t="s">
        <v>2734</v>
      </c>
      <c r="P350" t="str">
        <f>A284 &amp; " * " &amp; A247</f>
        <v>ss_ExAnteFirstYearGross_kw * subsample_weight_kwh</v>
      </c>
      <c r="AE350" t="b">
        <f t="shared" ref="AE350:AE368" si="35">IF(NOT(ISBLANK(A350)), LEN(_xlfn.CONCAT(C350:AD350))&gt;0, "")</f>
        <v>1</v>
      </c>
      <c r="AF350" t="b">
        <f t="shared" ref="AF350:AF368" si="36">AND(ISNUMBER(SEARCH("kw",_xlfn.CONCAT(O350:AD350))), ISNUMBER(SEARCH("thm",_xlfn.CONCAT(O350:AD350))))</f>
        <v>0</v>
      </c>
    </row>
    <row r="351" spans="1:37">
      <c r="A351" t="s">
        <v>2735</v>
      </c>
      <c r="P351" t="str">
        <f>A285 &amp; " * " &amp; A247</f>
        <v>ss_ExAnteFirstYearGross_kwh * subsample_weight_kwh</v>
      </c>
      <c r="AE351" t="b">
        <f t="shared" si="35"/>
        <v>1</v>
      </c>
      <c r="AF351" t="b">
        <f t="shared" si="36"/>
        <v>0</v>
      </c>
    </row>
    <row r="352" spans="1:37">
      <c r="A352" t="s">
        <v>2736</v>
      </c>
      <c r="P352" t="str">
        <f>A286 &amp; " * " &amp; A248</f>
        <v>ss_ExAnteFirstYearGross_thm * subsample_weight_thm</v>
      </c>
      <c r="AE352" t="b">
        <f t="shared" si="35"/>
        <v>1</v>
      </c>
      <c r="AF352" t="b">
        <f t="shared" si="36"/>
        <v>0</v>
      </c>
    </row>
    <row r="353" spans="1:36">
      <c r="A353" t="s">
        <v>1879</v>
      </c>
      <c r="Q353" t="str">
        <f>$A$165</f>
        <v>SampleID</v>
      </c>
      <c r="R353" t="str">
        <f>"( " &amp; $A$158 &amp; " =='Y' ) &amp; ( " &amp; $A$173 &amp; " ==False ) &amp; ( " &amp; $A$210 &amp; " == True )"</f>
        <v>( sampled_kWh =='Y' ) &amp; ( ProjectDropped ==False ) &amp; ( Frame_Electric == True )</v>
      </c>
      <c r="S353" t="str">
        <f>A341 &amp; ", " &amp; A344</f>
        <v>str_wt_ExPost_annualized_gross_kw, str_wt_ExAnte_annualized_gross_kw</v>
      </c>
      <c r="T353" s="3" t="s">
        <v>625</v>
      </c>
      <c r="U353" s="3" t="s">
        <v>627</v>
      </c>
      <c r="AE353" t="b">
        <f t="shared" si="35"/>
        <v>1</v>
      </c>
      <c r="AF353" t="b">
        <f t="shared" si="36"/>
        <v>0</v>
      </c>
    </row>
    <row r="354" spans="1:36">
      <c r="A354" t="s">
        <v>1881</v>
      </c>
      <c r="Q354" t="str">
        <f>Q353</f>
        <v>SampleID</v>
      </c>
      <c r="R354" t="str">
        <f>R353</f>
        <v>( sampled_kWh =='Y' ) &amp; ( ProjectDropped ==False ) &amp; ( Frame_Electric == True )</v>
      </c>
      <c r="S354" t="str">
        <f>A342 &amp; ", " &amp; A345</f>
        <v>str_wt_ExPost_annualized_gross_kwh, str_wt_ExAnte_annualized_gross_kwh</v>
      </c>
      <c r="T354" s="3" t="s">
        <v>625</v>
      </c>
      <c r="U354" s="3" t="s">
        <v>627</v>
      </c>
      <c r="AE354" t="b">
        <f t="shared" si="35"/>
        <v>1</v>
      </c>
      <c r="AF354" t="b">
        <f t="shared" si="36"/>
        <v>0</v>
      </c>
    </row>
    <row r="355" spans="1:36">
      <c r="A355" t="s">
        <v>1880</v>
      </c>
      <c r="Q355" t="str">
        <f>Q354</f>
        <v>SampleID</v>
      </c>
      <c r="R355" t="str">
        <f>"( " &amp; $A$159 &amp; " =='Y' ) &amp; ( " &amp; $A$173 &amp; " ==False ) &amp; ( " &amp; $A$211&amp; " == True )"</f>
        <v>( sampled_thm =='Y' ) &amp; ( ProjectDropped ==False ) &amp; ( Frame_Gas == True )</v>
      </c>
      <c r="S355" t="str">
        <f>A343 &amp; ", " &amp; A346</f>
        <v>str_wt_ExPost_annualized_gross_thm, str_wt_ExAnte_annualized_gross_thm</v>
      </c>
      <c r="T355" s="3" t="s">
        <v>625</v>
      </c>
      <c r="U355" s="3" t="s">
        <v>627</v>
      </c>
      <c r="AE355" t="b">
        <f t="shared" si="35"/>
        <v>1</v>
      </c>
      <c r="AF355" t="b">
        <f t="shared" si="36"/>
        <v>0</v>
      </c>
    </row>
    <row r="356" spans="1:36">
      <c r="A356" t="s">
        <v>1937</v>
      </c>
      <c r="M356" t="s">
        <v>658</v>
      </c>
      <c r="T356" s="3"/>
      <c r="U356" s="3"/>
      <c r="Y356" t="str">
        <f>"np.logical_and( " &amp; $A$219 &amp; " ==True,  " &amp; $A$173 &amp; " ==False, " &amp;A353 &amp; " .isnull()), 0, ( " &amp;A353 &amp; " )"</f>
        <v>np.logical_and( ss_sampled_kwh ==True,  ProjectDropped ==False, prj_annualized_rr_kw .isnull()), 0, ( prj_annualized_rr_kw )</v>
      </c>
      <c r="AE356" t="b">
        <f t="shared" si="35"/>
        <v>1</v>
      </c>
      <c r="AF356" t="b">
        <f t="shared" si="36"/>
        <v>0</v>
      </c>
    </row>
    <row r="357" spans="1:36">
      <c r="A357" t="s">
        <v>1938</v>
      </c>
      <c r="M357" t="s">
        <v>658</v>
      </c>
      <c r="T357" s="3"/>
      <c r="U357" s="3"/>
      <c r="Y357" t="str">
        <f>"np.logical_and( " &amp; $A$219 &amp; " ==True,  " &amp; $A$173 &amp; " ==False, " &amp;A354 &amp; " .isnull()), 0, ( " &amp;A354 &amp; " )"</f>
        <v>np.logical_and( ss_sampled_kwh ==True,  ProjectDropped ==False, prj_annualized_rr_kwh .isnull()), 0, ( prj_annualized_rr_kwh )</v>
      </c>
      <c r="AE357" t="b">
        <f t="shared" si="35"/>
        <v>1</v>
      </c>
      <c r="AF357" t="b">
        <f t="shared" si="36"/>
        <v>0</v>
      </c>
    </row>
    <row r="358" spans="1:36">
      <c r="A358" t="s">
        <v>1939</v>
      </c>
      <c r="M358" t="s">
        <v>658</v>
      </c>
      <c r="T358" s="3"/>
      <c r="U358" s="3"/>
      <c r="Y358" t="str">
        <f>"np.logical_and( " &amp; $A$220 &amp; " ==True,  " &amp; $A$173 &amp; " ==False, " &amp;A355 &amp; " .isnull()), 0, ( " &amp;A355 &amp; " )"</f>
        <v>np.logical_and( ss_sampled_thm ==True,  ProjectDropped ==False, prj_annualized_rr_thm .isnull()), 0, ( prj_annualized_rr_thm )</v>
      </c>
      <c r="AE358" t="b">
        <f t="shared" si="35"/>
        <v>1</v>
      </c>
      <c r="AF358" t="b">
        <f t="shared" si="36"/>
        <v>0</v>
      </c>
    </row>
    <row r="359" spans="1:36">
      <c r="A359" t="s">
        <v>2731</v>
      </c>
      <c r="Q359" t="str">
        <f>$A$165</f>
        <v>SampleID</v>
      </c>
      <c r="R359" t="str">
        <f>"( " &amp; $A$158 &amp; " =='Y' ) &amp; ( " &amp; $A$173 &amp; " ==False ) &amp; ( " &amp; $A$210 &amp; " == True )"</f>
        <v>( sampled_kWh =='Y' ) &amp; ( ProjectDropped ==False ) &amp; ( Frame_Electric == True )</v>
      </c>
      <c r="S359" t="str">
        <f>A347 &amp; ", " &amp; A350</f>
        <v>str_wt_ExPost_firstyear_gross_kw, str_wt_ExAnte_firstyear_gross_kw</v>
      </c>
      <c r="T359" s="3" t="s">
        <v>625</v>
      </c>
      <c r="U359" s="3" t="s">
        <v>627</v>
      </c>
      <c r="AE359" t="b">
        <f t="shared" si="35"/>
        <v>1</v>
      </c>
      <c r="AF359" t="b">
        <f t="shared" si="36"/>
        <v>0</v>
      </c>
    </row>
    <row r="360" spans="1:36">
      <c r="A360" t="s">
        <v>2732</v>
      </c>
      <c r="Q360" t="str">
        <f>Q359</f>
        <v>SampleID</v>
      </c>
      <c r="R360" t="str">
        <f>R359</f>
        <v>( sampled_kWh =='Y' ) &amp; ( ProjectDropped ==False ) &amp; ( Frame_Electric == True )</v>
      </c>
      <c r="S360" t="str">
        <f>A348 &amp; ", " &amp; A351</f>
        <v>str_wt_ExPost_firstyear_gross_kwh, str_wt_ExAnte_firstyear_gross_kwh</v>
      </c>
      <c r="T360" s="3" t="s">
        <v>625</v>
      </c>
      <c r="U360" s="3" t="s">
        <v>627</v>
      </c>
      <c r="AE360" t="b">
        <f t="shared" si="35"/>
        <v>1</v>
      </c>
      <c r="AF360" t="b">
        <f t="shared" si="36"/>
        <v>0</v>
      </c>
    </row>
    <row r="361" spans="1:36">
      <c r="A361" t="s">
        <v>2733</v>
      </c>
      <c r="Q361" t="str">
        <f>Q360</f>
        <v>SampleID</v>
      </c>
      <c r="R361" t="str">
        <f>"( " &amp; $A$159 &amp; " =='Y' ) &amp; ( " &amp; $A$173 &amp; " ==False ) &amp; ( " &amp; $A$211&amp; " == True )"</f>
        <v>( sampled_thm =='Y' ) &amp; ( ProjectDropped ==False ) &amp; ( Frame_Gas == True )</v>
      </c>
      <c r="S361" t="str">
        <f>A349 &amp; ", " &amp; A352</f>
        <v>str_wt_ExPost_firstyear_gross_thm, str_wt_ExAnte_firstyear_gross_thm</v>
      </c>
      <c r="T361" s="3" t="s">
        <v>625</v>
      </c>
      <c r="U361" s="3" t="s">
        <v>627</v>
      </c>
      <c r="AE361" t="b">
        <f t="shared" si="35"/>
        <v>1</v>
      </c>
      <c r="AF361" t="b">
        <f t="shared" si="36"/>
        <v>0</v>
      </c>
    </row>
    <row r="362" spans="1:36">
      <c r="A362" t="s">
        <v>670</v>
      </c>
      <c r="P362" t="str">
        <f>A75&amp; " * " &amp; A353</f>
        <v>ExAnte_Annualized_kW * prj_annualized_rr_kw</v>
      </c>
      <c r="AE362" t="b">
        <f t="shared" si="35"/>
        <v>1</v>
      </c>
      <c r="AF362" t="b">
        <f t="shared" si="36"/>
        <v>0</v>
      </c>
      <c r="AJ362" t="e">
        <f>#REF!</f>
        <v>#REF!</v>
      </c>
    </row>
    <row r="363" spans="1:36">
      <c r="A363" t="s">
        <v>671</v>
      </c>
      <c r="P363" t="str">
        <f>A76&amp; " * " &amp; A354</f>
        <v>ExAnte_Annualized_kWh * prj_annualized_rr_kwh</v>
      </c>
      <c r="AE363" t="b">
        <f t="shared" si="35"/>
        <v>1</v>
      </c>
      <c r="AF363" t="b">
        <f t="shared" si="36"/>
        <v>0</v>
      </c>
      <c r="AJ363" t="e">
        <f>#REF!</f>
        <v>#REF!</v>
      </c>
    </row>
    <row r="364" spans="1:36">
      <c r="A364" t="s">
        <v>672</v>
      </c>
      <c r="P364" t="str">
        <f>A77&amp; " * " &amp; A355</f>
        <v>ExAnte_Annualized_thm * prj_annualized_rr_thm</v>
      </c>
      <c r="AE364" t="b">
        <f t="shared" si="35"/>
        <v>1</v>
      </c>
      <c r="AF364" t="b">
        <f t="shared" si="36"/>
        <v>0</v>
      </c>
      <c r="AJ364" t="e">
        <f>#REF!</f>
        <v>#REF!</v>
      </c>
    </row>
    <row r="365" spans="1:36">
      <c r="A365" t="s">
        <v>2518</v>
      </c>
      <c r="P365" t="str">
        <f>A60&amp; " * " &amp; A359</f>
        <v>ExAnteBase1kWSvgs * prj_firstyeargross_rr_kw</v>
      </c>
      <c r="AE365" t="b">
        <f t="shared" si="35"/>
        <v>1</v>
      </c>
      <c r="AF365" t="b">
        <f t="shared" si="36"/>
        <v>0</v>
      </c>
    </row>
    <row r="366" spans="1:36">
      <c r="A366" t="s">
        <v>2519</v>
      </c>
      <c r="P366" t="str">
        <f>A61&amp; " * " &amp; A360</f>
        <v>ExAnteBase1kWhSvgs * prj_firstyeargross_rr_kwh</v>
      </c>
      <c r="AE366" t="b">
        <f t="shared" si="35"/>
        <v>1</v>
      </c>
      <c r="AF366" t="b">
        <f t="shared" si="36"/>
        <v>0</v>
      </c>
    </row>
    <row r="367" spans="1:36">
      <c r="A367" t="s">
        <v>2520</v>
      </c>
      <c r="P367" t="str">
        <f>A62&amp; " * " &amp; A361</f>
        <v>ExAnteBase1ThermSvgs * prj_firstyeargross_rr_thm</v>
      </c>
      <c r="AE367" t="b">
        <f t="shared" si="35"/>
        <v>1</v>
      </c>
      <c r="AF367" t="b">
        <f t="shared" si="36"/>
        <v>0</v>
      </c>
    </row>
    <row r="368" spans="1:36">
      <c r="A368" t="s">
        <v>724</v>
      </c>
      <c r="P368" t="str">
        <f>A362 &amp; " * " &amp; $A$265</f>
        <v>EvalExPostAnnualizedGrosskW * adj_EvalEUL_Yrs_kwh</v>
      </c>
      <c r="AE368" t="b">
        <f t="shared" si="35"/>
        <v>1</v>
      </c>
      <c r="AF368" t="b">
        <f t="shared" si="36"/>
        <v>0</v>
      </c>
    </row>
    <row r="369" spans="1:32">
      <c r="A369" t="s">
        <v>726</v>
      </c>
      <c r="P369" t="str">
        <f>A363 &amp; " * " &amp; $A$265</f>
        <v>EvalExPostAnnualizedGrosskWh * adj_EvalEUL_Yrs_kwh</v>
      </c>
      <c r="AE369" t="b">
        <f t="shared" si="30"/>
        <v>1</v>
      </c>
      <c r="AF369" t="b">
        <f t="shared" si="31"/>
        <v>0</v>
      </c>
    </row>
    <row r="370" spans="1:32">
      <c r="A370" t="s">
        <v>725</v>
      </c>
      <c r="P370" t="str">
        <f>A364 &amp; " * " &amp; $A$266</f>
        <v>EvalExPostAnnualizedGrossTherm * adj_EvalEUL_Yrs_thm</v>
      </c>
      <c r="AE370" t="b">
        <f t="shared" si="30"/>
        <v>1</v>
      </c>
      <c r="AF370" t="b">
        <f t="shared" si="31"/>
        <v>0</v>
      </c>
    </row>
    <row r="371" spans="1:32">
      <c r="A371" t="s">
        <v>1882</v>
      </c>
      <c r="Q371" t="str">
        <f>$A$165</f>
        <v>SampleID</v>
      </c>
      <c r="R371" t="str">
        <f>R353</f>
        <v>( sampled_kWh =='Y' ) &amp; ( ProjectDropped ==False ) &amp; ( Frame_Electric == True )</v>
      </c>
      <c r="S371" t="str">
        <f>A368 &amp; ", " &amp; A66</f>
        <v>EvalExPostLifeCycleGrosskW, ExAnte_LifeCycleGross_NoRR_kW</v>
      </c>
      <c r="T371" s="3" t="s">
        <v>625</v>
      </c>
      <c r="U371" s="3" t="s">
        <v>627</v>
      </c>
      <c r="AE371" t="b">
        <f t="shared" si="30"/>
        <v>1</v>
      </c>
      <c r="AF371" t="b">
        <f t="shared" si="31"/>
        <v>0</v>
      </c>
    </row>
    <row r="372" spans="1:32">
      <c r="A372" t="s">
        <v>1883</v>
      </c>
      <c r="Q372" t="str">
        <f>Q371</f>
        <v>SampleID</v>
      </c>
      <c r="R372" t="str">
        <f>R354</f>
        <v>( sampled_kWh =='Y' ) &amp; ( ProjectDropped ==False ) &amp; ( Frame_Electric == True )</v>
      </c>
      <c r="S372" t="str">
        <f>A369 &amp; ", " &amp; A67</f>
        <v>EvalExPostLifeCycleGrosskWh, ExAnte_LifeCycleGross_NoRR_kWh</v>
      </c>
      <c r="T372" s="3" t="s">
        <v>625</v>
      </c>
      <c r="U372" s="3" t="s">
        <v>627</v>
      </c>
      <c r="AE372" t="b">
        <f t="shared" si="30"/>
        <v>1</v>
      </c>
      <c r="AF372" t="b">
        <f t="shared" si="31"/>
        <v>0</v>
      </c>
    </row>
    <row r="373" spans="1:32">
      <c r="A373" t="s">
        <v>1884</v>
      </c>
      <c r="Q373" t="str">
        <f>Q372</f>
        <v>SampleID</v>
      </c>
      <c r="R373" t="str">
        <f>R355</f>
        <v>( sampled_thm =='Y' ) &amp; ( ProjectDropped ==False ) &amp; ( Frame_Gas == True )</v>
      </c>
      <c r="S373" t="str">
        <f>A370 &amp; ", " &amp; A68</f>
        <v>EvalExPostLifeCycleGrossTherm, ExAnte_LifeCycleGross_NoRR_thm</v>
      </c>
      <c r="T373" s="3" t="s">
        <v>625</v>
      </c>
      <c r="U373" s="3" t="s">
        <v>627</v>
      </c>
      <c r="AE373" t="b">
        <f t="shared" si="30"/>
        <v>1</v>
      </c>
      <c r="AF373" t="b">
        <f t="shared" si="31"/>
        <v>0</v>
      </c>
    </row>
    <row r="386" spans="1:36">
      <c r="A386" t="s">
        <v>2077</v>
      </c>
      <c r="M386" t="s">
        <v>658</v>
      </c>
      <c r="Y386" t="str">
        <f>$A$298 &amp; " .isnull(), None; ( "  &amp;$A$161 &amp; " =='Y') | (  " &amp; $A$164 &amp; " =='kWh' ) | ( " &amp; $A$164 &amp; " =='both' ), " &amp; A323 &amp; " / " &amp; A278 &amp; ", " &amp; A326 &amp; " / " &amp; A66</f>
        <v>ClaimUnweighted_NTGR .isnull(), None; ( smpld_net_kWh =='Y') | (  smpld_net_new =='kWh' ) | ( smpld_net_new =='both' ), ss_ExPostLifecycleNetkW / ss_ExPostLifecycleGrosskW, ss_ExAnteLifeCycleNet_kw / ExAnte_LifeCycleGross_NoRR_kW</v>
      </c>
      <c r="AE386" t="b">
        <f t="shared" ref="AE386:AE391" si="37">IF(NOT(ISBLANK(A386)), LEN(_xlfn.CONCAT(C386:AD386))&gt;0, "")</f>
        <v>1</v>
      </c>
      <c r="AF386" t="b">
        <f t="shared" ref="AF386:AF391" si="38">AND(ISNUMBER(SEARCH("kw",_xlfn.CONCAT(O386:AD386))), ISNUMBER(SEARCH("thm",_xlfn.CONCAT(O386:AD386))))</f>
        <v>0</v>
      </c>
      <c r="AJ386" t="str">
        <f>$A$298 &amp; " .isnull(), None; np.logical_or( "  &amp;$A$161 &amp; " =='Y', " &amp; $A$164 &amp; " =='kWh'), " &amp; A326 &amp; " / " &amp; A66 &amp; ", " &amp; A323 &amp; " / " &amp; A278</f>
        <v>ClaimUnweighted_NTGR .isnull(), None; np.logical_or( smpld_net_kWh =='Y', smpld_net_new =='kWh'), ss_ExAnteLifeCycleNet_kw / ExAnte_LifeCycleGross_NoRR_kW, ss_ExPostLifecycleNetkW / ss_ExPostLifecycleGrosskW</v>
      </c>
    </row>
    <row r="387" spans="1:36">
      <c r="A387" t="s">
        <v>2078</v>
      </c>
      <c r="M387" t="s">
        <v>658</v>
      </c>
      <c r="Y387" t="str">
        <f>$A$298 &amp; " .isnull(), None; ( "  &amp;$A$161 &amp; " =='Y') | (  " &amp; $A$164 &amp; " =='kWh' ) | ( " &amp; $A$164 &amp; " =='both' ), " &amp; A324 &amp; " / " &amp; A279 &amp; ", " &amp; A327 &amp; " / " &amp; A67</f>
        <v>ClaimUnweighted_NTGR .isnull(), None; ( smpld_net_kWh =='Y') | (  smpld_net_new =='kWh' ) | ( smpld_net_new =='both' ), ss_ExPostLifecycleNetkWh / ss_ExPostLifecycleGrosskWh, ss_ExAnteLifeCycleNet_kwh / ExAnte_LifeCycleGross_NoRR_kWh</v>
      </c>
      <c r="AE387" t="b">
        <f t="shared" si="37"/>
        <v>1</v>
      </c>
      <c r="AF387" t="b">
        <f t="shared" si="38"/>
        <v>0</v>
      </c>
    </row>
    <row r="388" spans="1:36">
      <c r="A388" t="s">
        <v>2079</v>
      </c>
      <c r="M388" t="s">
        <v>658</v>
      </c>
      <c r="Y388" t="str">
        <f>$A$298 &amp; " .isnull(), None; ( "  &amp;$A$162 &amp; " =='Y') | (  " &amp; $A$164 &amp; " =='thm' ) | ( " &amp; $A$164 &amp; " =='both' ), " &amp; A325 &amp; " / " &amp; A280 &amp; ", " &amp; A328 &amp; " / " &amp; A68</f>
        <v>ClaimUnweighted_NTGR .isnull(), None; ( smpld_net_thm =='Y') | (  smpld_net_new =='thm' ) | ( smpld_net_new =='both' ), ss_ExPostLifecycleNetthm / ss_ExPostLifecycleGrossthm, ss_ExAnteLifeCycleNet_thm / ExAnte_LifeCycleGross_NoRR_thm</v>
      </c>
      <c r="AE388" t="b">
        <f t="shared" si="37"/>
        <v>1</v>
      </c>
      <c r="AF388" t="b">
        <f t="shared" si="38"/>
        <v>0</v>
      </c>
      <c r="AJ388" t="str">
        <f>$A$298 &amp; " .isnull(), None; "  &amp;$A$216 &amp; " ==False, " &amp; A325 &amp; " / " &amp; A280 &amp; ", " &amp; A328 &amp; " / " &amp; A68</f>
        <v>ClaimUnweighted_NTGR .isnull(), None; sampled_net_full ==False, ss_ExPostLifecycleNetthm / ss_ExPostLifecycleGrossthm, ss_ExAnteLifeCycleNet_thm / ExAnte_LifeCycleGross_NoRR_thm</v>
      </c>
    </row>
    <row r="389" spans="1:36">
      <c r="A389" t="s">
        <v>1737</v>
      </c>
      <c r="M389" t="s">
        <v>2250</v>
      </c>
      <c r="Y389" t="str">
        <f>$A$298 &amp; " .isnull(), None; ( "  &amp;$A$161 &amp; " =='Y') | (  " &amp; $A$164 &amp; " =='kWh' ) | ( " &amp; $A$164 &amp; " =='both' ), " &amp; A326 &amp; " / " &amp; A66 &amp; ", " &amp; A323 &amp; " / " &amp; A278</f>
        <v>ClaimUnweighted_NTGR .isnull(), None; ( smpld_net_kWh =='Y') | (  smpld_net_new =='kWh' ) | ( smpld_net_new =='both' ), ss_ExAnteLifeCycleNet_kw / ExAnte_LifeCycleGross_NoRR_kW, ss_ExPostLifecycleNetkW / ss_ExPostLifecycleGrosskW</v>
      </c>
      <c r="AE389" t="b">
        <f t="shared" si="37"/>
        <v>1</v>
      </c>
      <c r="AF389" t="b">
        <f t="shared" si="38"/>
        <v>0</v>
      </c>
      <c r="AG389" t="s">
        <v>2080</v>
      </c>
    </row>
    <row r="390" spans="1:36">
      <c r="A390" t="s">
        <v>1738</v>
      </c>
      <c r="M390" t="s">
        <v>2250</v>
      </c>
      <c r="Y390" t="str">
        <f>$A$298 &amp; " .isnull(), None; ( "  &amp;$A$161 &amp; " =='Y') | (  " &amp; $A$164 &amp; " =='kWh' ) | ( " &amp; $A$164 &amp; " =='both' ), " &amp; A327 &amp; " / " &amp; A67 &amp; ", " &amp; A324 &amp; " / " &amp; A279</f>
        <v>ClaimUnweighted_NTGR .isnull(), None; ( smpld_net_kWh =='Y') | (  smpld_net_new =='kWh' ) | ( smpld_net_new =='both' ), ss_ExAnteLifeCycleNet_kwh / ExAnte_LifeCycleGross_NoRR_kWh, ss_ExPostLifecycleNetkWh / ss_ExPostLifecycleGrosskWh</v>
      </c>
      <c r="AE390" t="b">
        <f t="shared" si="37"/>
        <v>1</v>
      </c>
      <c r="AF390" t="b">
        <f t="shared" si="38"/>
        <v>0</v>
      </c>
      <c r="AG390" t="s">
        <v>2080</v>
      </c>
    </row>
    <row r="391" spans="1:36">
      <c r="A391" t="s">
        <v>1739</v>
      </c>
      <c r="M391" t="s">
        <v>2250</v>
      </c>
      <c r="Y391" t="str">
        <f>$A$298 &amp; " .isnull(), None; ( "  &amp;$A$162 &amp; " =='Y') | (  " &amp; $A$164 &amp; " =='thm' ) | ( " &amp; $A$164 &amp; " =='both' ), " &amp; A328 &amp; " / " &amp; A68 &amp; ", " &amp; A325 &amp; " / " &amp; A280</f>
        <v>ClaimUnweighted_NTGR .isnull(), None; ( smpld_net_thm =='Y') | (  smpld_net_new =='thm' ) | ( smpld_net_new =='both' ), ss_ExAnteLifeCycleNet_thm / ExAnte_LifeCycleGross_NoRR_thm, ss_ExPostLifecycleNetthm / ss_ExPostLifecycleGrossthm</v>
      </c>
      <c r="AE391" t="b">
        <f t="shared" si="37"/>
        <v>1</v>
      </c>
      <c r="AF391" t="b">
        <f t="shared" si="38"/>
        <v>0</v>
      </c>
      <c r="AG391" t="s">
        <v>2080</v>
      </c>
    </row>
    <row r="392" spans="1:36">
      <c r="A392" t="s">
        <v>2196</v>
      </c>
      <c r="M392" t="s">
        <v>658</v>
      </c>
      <c r="Y392" t="str">
        <f>$A$298 &amp; " .notnull(), " &amp;A329 &amp; " / " &amp; A332 &amp; " , np.nan"</f>
        <v>ClaimUnweighted_NTGR .notnull(), combined_LifecycleNet_kw / combined_LifecycleGross_kw , np.nan</v>
      </c>
      <c r="AE392" t="b">
        <f t="shared" ref="AE392:AE395" si="39">IF(NOT(ISBLANK(A392)), LEN(_xlfn.CONCAT(C392:AD392))&gt;0, "")</f>
        <v>1</v>
      </c>
      <c r="AF392" t="b">
        <f t="shared" ref="AF392:AF395" si="40">AND(ISNUMBER(SEARCH("kw",_xlfn.CONCAT(O392:AD392))), ISNUMBER(SEARCH("thm",_xlfn.CONCAT(O392:AD392))))</f>
        <v>0</v>
      </c>
    </row>
    <row r="393" spans="1:36">
      <c r="A393" t="s">
        <v>2197</v>
      </c>
      <c r="M393" t="s">
        <v>658</v>
      </c>
      <c r="Y393" t="str">
        <f>$A$298 &amp; " .notnull(), " &amp;A330 &amp; " / " &amp; A333 &amp; " , np.nan"</f>
        <v>ClaimUnweighted_NTGR .notnull(), combined_LifecycleNet_kwh / combined_LifecycleGross_kwh , np.nan</v>
      </c>
      <c r="AE393" t="b">
        <f t="shared" si="39"/>
        <v>1</v>
      </c>
      <c r="AF393" t="b">
        <f t="shared" si="40"/>
        <v>0</v>
      </c>
    </row>
    <row r="394" spans="1:36">
      <c r="A394" t="s">
        <v>2198</v>
      </c>
      <c r="M394" t="s">
        <v>658</v>
      </c>
      <c r="Y394" t="str">
        <f>$A$298 &amp; " .notnull(), " &amp;A331 &amp; " / " &amp; A334 &amp; " , np.nan"</f>
        <v>ClaimUnweighted_NTGR .notnull(), combined_LifecycleNet_thm / combined_LifecycleGross_thm , np.nan</v>
      </c>
      <c r="AE394" t="b">
        <f t="shared" si="39"/>
        <v>1</v>
      </c>
      <c r="AF394" t="b">
        <f t="shared" si="40"/>
        <v>0</v>
      </c>
    </row>
    <row r="395" spans="1:36">
      <c r="A395" t="s">
        <v>647</v>
      </c>
      <c r="M395" t="s">
        <v>2250</v>
      </c>
      <c r="Q395" t="str">
        <f>Q239</f>
        <v>SampleID ss_stratum_kwh</v>
      </c>
      <c r="R395" t="str">
        <f>R261</f>
        <v>( ss_sampled_kwh ==True ) &amp; ( ProjectDropped ==False ) &amp; ( Frame_Electric == True )</v>
      </c>
      <c r="S395" t="str">
        <f>A323 &amp; ", " &amp; A278</f>
        <v>ss_ExPostLifecycleNetkW, ss_ExPostLifecycleGrosskW</v>
      </c>
      <c r="T395" s="3" t="s">
        <v>625</v>
      </c>
      <c r="U395" s="3" t="s">
        <v>627</v>
      </c>
      <c r="AE395" t="b">
        <f t="shared" si="39"/>
        <v>1</v>
      </c>
      <c r="AF395" t="b">
        <f t="shared" si="40"/>
        <v>0</v>
      </c>
    </row>
    <row r="396" spans="1:36">
      <c r="A396" t="s">
        <v>648</v>
      </c>
      <c r="M396" t="s">
        <v>2250</v>
      </c>
      <c r="Q396" t="str">
        <f>Q240</f>
        <v>SampleID ss_stratum_kwh</v>
      </c>
      <c r="R396" t="str">
        <f>R395</f>
        <v>( ss_sampled_kwh ==True ) &amp; ( ProjectDropped ==False ) &amp; ( Frame_Electric == True )</v>
      </c>
      <c r="S396" t="str">
        <f>A324 &amp; ", " &amp; A279</f>
        <v>ss_ExPostLifecycleNetkWh, ss_ExPostLifecycleGrosskWh</v>
      </c>
      <c r="T396" s="3" t="s">
        <v>625</v>
      </c>
      <c r="U396" s="3" t="s">
        <v>627</v>
      </c>
      <c r="AE396" t="b">
        <f t="shared" ref="AE396:AE404" si="41">IF(NOT(ISBLANK(A396)), LEN(_xlfn.CONCAT(C396:AD396))&gt;0, "")</f>
        <v>1</v>
      </c>
      <c r="AF396" t="b">
        <f t="shared" ref="AF396:AF458" si="42">AND(ISNUMBER(SEARCH("kw",_xlfn.CONCAT(O396:AD396))), ISNUMBER(SEARCH("thm",_xlfn.CONCAT(O396:AD396))))</f>
        <v>0</v>
      </c>
    </row>
    <row r="397" spans="1:36">
      <c r="A397" t="s">
        <v>649</v>
      </c>
      <c r="M397" t="s">
        <v>2250</v>
      </c>
      <c r="Q397" t="str">
        <f>Q243</f>
        <v>SampleID ss_stratum_thm</v>
      </c>
      <c r="R397" t="str">
        <f>R262</f>
        <v>( ss_sampled_thm ==True ) &amp; ( ProjectDropped ==False ) &amp; ( Frame_Gas == True )</v>
      </c>
      <c r="S397" t="str">
        <f>A325 &amp; ", " &amp; A280</f>
        <v>ss_ExPostLifecycleNetthm, ss_ExPostLifecycleGrossthm</v>
      </c>
      <c r="T397" s="3" t="s">
        <v>625</v>
      </c>
      <c r="U397" s="3" t="s">
        <v>627</v>
      </c>
      <c r="AE397" t="b">
        <f t="shared" si="41"/>
        <v>1</v>
      </c>
      <c r="AF397" t="b">
        <f t="shared" si="42"/>
        <v>0</v>
      </c>
    </row>
    <row r="398" spans="1:36">
      <c r="A398" t="s">
        <v>656</v>
      </c>
      <c r="M398" t="s">
        <v>2250</v>
      </c>
      <c r="Q398" t="str">
        <f>$A$165</f>
        <v>SampleID</v>
      </c>
      <c r="R398" t="str">
        <f>R412</f>
        <v>( sampled_kWh =='Y' ) &amp; ( ProjectDropped ==False ) &amp; ( Frame_Electric == True )</v>
      </c>
      <c r="S398" t="str">
        <f>$A$165</f>
        <v>SampleID</v>
      </c>
      <c r="T398" t="s">
        <v>626</v>
      </c>
      <c r="U398" s="3"/>
      <c r="AE398" t="b">
        <f t="shared" si="41"/>
        <v>1</v>
      </c>
      <c r="AF398" t="b">
        <f t="shared" si="42"/>
        <v>0</v>
      </c>
    </row>
    <row r="399" spans="1:36">
      <c r="A399" t="s">
        <v>1723</v>
      </c>
      <c r="M399" t="s">
        <v>2250</v>
      </c>
      <c r="Q399" t="str">
        <f>Q239</f>
        <v>SampleID ss_stratum_kwh</v>
      </c>
      <c r="R399" t="str">
        <f>R413</f>
        <v>( sampled_kWh =='Y' ) &amp; ( ProjectDropped ==False ) &amp; ( Frame_Electric == True )</v>
      </c>
      <c r="S399" t="str">
        <f>$A$165</f>
        <v>SampleID</v>
      </c>
      <c r="T399" t="s">
        <v>626</v>
      </c>
      <c r="U399" s="3"/>
      <c r="AE399" t="b">
        <f t="shared" si="41"/>
        <v>1</v>
      </c>
      <c r="AF399" t="b">
        <f t="shared" si="42"/>
        <v>0</v>
      </c>
    </row>
    <row r="400" spans="1:36">
      <c r="A400" t="s">
        <v>1724</v>
      </c>
      <c r="M400" t="s">
        <v>2250</v>
      </c>
      <c r="Q400" t="str">
        <f>Q397</f>
        <v>SampleID ss_stratum_thm</v>
      </c>
      <c r="R400" t="str">
        <f>R414</f>
        <v>( sampled_thm =='Y' ) &amp; ( ProjectDropped ==False ) &amp; ( Frame_Gas == True )</v>
      </c>
      <c r="S400" t="str">
        <f>$A$165</f>
        <v>SampleID</v>
      </c>
      <c r="T400" t="s">
        <v>626</v>
      </c>
      <c r="U400" s="3"/>
      <c r="AE400" t="b">
        <f t="shared" si="41"/>
        <v>1</v>
      </c>
      <c r="AF400" t="b">
        <f t="shared" si="42"/>
        <v>0</v>
      </c>
    </row>
    <row r="401" spans="1:32">
      <c r="A401" t="s">
        <v>1725</v>
      </c>
      <c r="M401" t="s">
        <v>2250</v>
      </c>
      <c r="P401" t="str">
        <f>A399 &amp; " / " &amp; A398</f>
        <v>ss_pop_kwh / project_pop</v>
      </c>
      <c r="T401" s="3"/>
      <c r="U401" s="3"/>
      <c r="AE401" t="b">
        <f t="shared" si="41"/>
        <v>1</v>
      </c>
      <c r="AF401" t="b">
        <f t="shared" si="42"/>
        <v>0</v>
      </c>
    </row>
    <row r="402" spans="1:32">
      <c r="A402" t="s">
        <v>1726</v>
      </c>
      <c r="M402" t="s">
        <v>2250</v>
      </c>
      <c r="P402" t="str">
        <f>A400 &amp; " / " &amp; A398</f>
        <v>ss_pop_thm / project_pop</v>
      </c>
      <c r="T402" s="3"/>
      <c r="U402" s="3"/>
      <c r="AE402" t="b">
        <f t="shared" si="41"/>
        <v>1</v>
      </c>
      <c r="AF402" t="b">
        <f t="shared" si="42"/>
        <v>0</v>
      </c>
    </row>
    <row r="403" spans="1:32">
      <c r="A403" t="s">
        <v>1727</v>
      </c>
      <c r="M403" t="s">
        <v>2250</v>
      </c>
      <c r="P403" t="str">
        <f xml:space="preserve"> $A$401 &amp; " * " &amp; A395</f>
        <v>ss_weight_kwh * mean_ntgr_kw</v>
      </c>
      <c r="U403" s="3"/>
      <c r="AE403" t="b">
        <f t="shared" si="41"/>
        <v>1</v>
      </c>
      <c r="AF403" t="b">
        <f t="shared" si="42"/>
        <v>0</v>
      </c>
    </row>
    <row r="404" spans="1:32">
      <c r="A404" t="s">
        <v>1728</v>
      </c>
      <c r="M404" t="s">
        <v>2250</v>
      </c>
      <c r="P404" t="str">
        <f xml:space="preserve"> $A$401 &amp; " * " &amp; A396</f>
        <v>ss_weight_kwh * mean_ntgr_kwh</v>
      </c>
      <c r="U404" s="3"/>
      <c r="AE404" t="b">
        <f t="shared" si="41"/>
        <v>1</v>
      </c>
      <c r="AF404" t="b">
        <f t="shared" si="42"/>
        <v>0</v>
      </c>
    </row>
    <row r="405" spans="1:32">
      <c r="A405" t="s">
        <v>1729</v>
      </c>
      <c r="M405" t="s">
        <v>2250</v>
      </c>
      <c r="P405" t="str">
        <f xml:space="preserve"> $A$402 &amp; " * " &amp; A397</f>
        <v>ss_weight_thm * mean_ntgr_thm</v>
      </c>
      <c r="U405" s="3"/>
      <c r="AE405" t="b">
        <f t="shared" ref="AE405:AE467" si="43">IF(NOT(ISBLANK(A405)), LEN(_xlfn.CONCAT(C405:AD405))&gt;0, "")</f>
        <v>1</v>
      </c>
      <c r="AF405" t="b">
        <f t="shared" si="42"/>
        <v>0</v>
      </c>
    </row>
    <row r="406" spans="1:32">
      <c r="A406" s="3" t="s">
        <v>1720</v>
      </c>
      <c r="B406" t="s">
        <v>1774</v>
      </c>
      <c r="M406" t="s">
        <v>2250</v>
      </c>
      <c r="Q406" t="str">
        <f>$A$165</f>
        <v>SampleID</v>
      </c>
      <c r="R406" t="str">
        <f>R395</f>
        <v>( ss_sampled_kwh ==True ) &amp; ( ProjectDropped ==False ) &amp; ( Frame_Electric == True )</v>
      </c>
      <c r="S406" t="str">
        <f>A403</f>
        <v>ss_wtd_mean_ntgr_kw</v>
      </c>
      <c r="T406" s="3" t="s">
        <v>629</v>
      </c>
      <c r="V406" t="str">
        <f>Q395</f>
        <v>SampleID ss_stratum_kwh</v>
      </c>
      <c r="W406" t="s">
        <v>673</v>
      </c>
      <c r="AE406" t="b">
        <f t="shared" si="43"/>
        <v>1</v>
      </c>
      <c r="AF406" t="b">
        <f t="shared" si="42"/>
        <v>0</v>
      </c>
    </row>
    <row r="407" spans="1:32">
      <c r="A407" s="3" t="s">
        <v>1721</v>
      </c>
      <c r="B407" t="s">
        <v>1774</v>
      </c>
      <c r="M407" t="s">
        <v>2250</v>
      </c>
      <c r="Q407" t="str">
        <f>$A$165</f>
        <v>SampleID</v>
      </c>
      <c r="R407" t="str">
        <f>R396</f>
        <v>( ss_sampled_kwh ==True ) &amp; ( ProjectDropped ==False ) &amp; ( Frame_Electric == True )</v>
      </c>
      <c r="S407" t="str">
        <f>A404</f>
        <v>ss_wtd_mean_ntgr_kwh</v>
      </c>
      <c r="T407" s="3" t="s">
        <v>629</v>
      </c>
      <c r="V407" t="str">
        <f>Q396</f>
        <v>SampleID ss_stratum_kwh</v>
      </c>
      <c r="W407" t="str">
        <f>W406</f>
        <v>max</v>
      </c>
      <c r="AE407" t="b">
        <f t="shared" si="43"/>
        <v>1</v>
      </c>
      <c r="AF407" t="b">
        <f t="shared" si="42"/>
        <v>0</v>
      </c>
    </row>
    <row r="408" spans="1:32">
      <c r="A408" s="3" t="s">
        <v>1722</v>
      </c>
      <c r="B408" t="s">
        <v>1774</v>
      </c>
      <c r="M408" t="s">
        <v>2250</v>
      </c>
      <c r="Q408" t="str">
        <f>$A$165</f>
        <v>SampleID</v>
      </c>
      <c r="R408" t="str">
        <f>R397</f>
        <v>( ss_sampled_thm ==True ) &amp; ( ProjectDropped ==False ) &amp; ( Frame_Gas == True )</v>
      </c>
      <c r="S408" t="str">
        <f>A405</f>
        <v>ss_wtd_mean_ntgr_thm</v>
      </c>
      <c r="T408" s="3" t="s">
        <v>629</v>
      </c>
      <c r="V408" t="str">
        <f>Q397</f>
        <v>SampleID ss_stratum_thm</v>
      </c>
      <c r="W408" t="str">
        <f>W407</f>
        <v>max</v>
      </c>
      <c r="AE408" t="b">
        <f t="shared" si="43"/>
        <v>1</v>
      </c>
      <c r="AF408" t="b">
        <f t="shared" si="42"/>
        <v>0</v>
      </c>
    </row>
    <row r="409" spans="1:32">
      <c r="A409" t="s">
        <v>679</v>
      </c>
      <c r="M409" t="s">
        <v>2250</v>
      </c>
      <c r="P409" t="str">
        <f>A362 &amp; " * " &amp; A406</f>
        <v>EvalExPostAnnualizedGrosskW * st_EvalNTGRkW</v>
      </c>
      <c r="T409" s="3"/>
      <c r="AE409" t="b">
        <f t="shared" si="43"/>
        <v>1</v>
      </c>
      <c r="AF409" t="b">
        <f t="shared" si="42"/>
        <v>0</v>
      </c>
    </row>
    <row r="410" spans="1:32">
      <c r="A410" t="s">
        <v>681</v>
      </c>
      <c r="M410" t="s">
        <v>2250</v>
      </c>
      <c r="P410" t="str">
        <f>A363 &amp; " * " &amp; A407</f>
        <v>EvalExPostAnnualizedGrosskWh * st_EvalNTGRkWh</v>
      </c>
      <c r="T410" s="3"/>
      <c r="AE410" t="b">
        <f t="shared" si="43"/>
        <v>1</v>
      </c>
      <c r="AF410" t="b">
        <f t="shared" si="42"/>
        <v>0</v>
      </c>
    </row>
    <row r="411" spans="1:32">
      <c r="A411" t="s">
        <v>680</v>
      </c>
      <c r="M411" t="s">
        <v>2250</v>
      </c>
      <c r="P411" t="str">
        <f>A364 &amp; " * " &amp; A408</f>
        <v>EvalExPostAnnualizedGrossTherm * st_EvalNTGRTherm</v>
      </c>
      <c r="T411" s="3"/>
      <c r="AE411" t="b">
        <f t="shared" si="43"/>
        <v>1</v>
      </c>
      <c r="AF411" t="b">
        <f t="shared" si="42"/>
        <v>0</v>
      </c>
    </row>
    <row r="412" spans="1:32">
      <c r="A412" t="s">
        <v>714</v>
      </c>
      <c r="M412" t="s">
        <v>2250</v>
      </c>
      <c r="Q412" t="str">
        <f>$A$165</f>
        <v>SampleID</v>
      </c>
      <c r="R412" t="str">
        <f>R353</f>
        <v>( sampled_kWh =='Y' ) &amp; ( ProjectDropped ==False ) &amp; ( Frame_Electric == True )</v>
      </c>
      <c r="S412" t="str">
        <f>A362 &amp; ", " &amp; A406</f>
        <v>EvalExPostAnnualizedGrosskW, st_EvalNTGRkW</v>
      </c>
      <c r="T412" s="3" t="s">
        <v>650</v>
      </c>
      <c r="U412" t="s">
        <v>651</v>
      </c>
      <c r="AE412" t="b">
        <f t="shared" si="43"/>
        <v>1</v>
      </c>
      <c r="AF412" t="b">
        <f t="shared" si="42"/>
        <v>0</v>
      </c>
    </row>
    <row r="413" spans="1:32">
      <c r="A413" t="s">
        <v>716</v>
      </c>
      <c r="M413" t="s">
        <v>2250</v>
      </c>
      <c r="Q413" t="str">
        <f>$A$165</f>
        <v>SampleID</v>
      </c>
      <c r="R413" t="str">
        <f>R354</f>
        <v>( sampled_kWh =='Y' ) &amp; ( ProjectDropped ==False ) &amp; ( Frame_Electric == True )</v>
      </c>
      <c r="S413" t="str">
        <f>A363 &amp; ", " &amp; A407</f>
        <v>EvalExPostAnnualizedGrosskWh, st_EvalNTGRkWh</v>
      </c>
      <c r="T413" s="3" t="s">
        <v>650</v>
      </c>
      <c r="U413" t="s">
        <v>651</v>
      </c>
      <c r="AE413" t="b">
        <f t="shared" si="43"/>
        <v>1</v>
      </c>
      <c r="AF413" t="b">
        <f t="shared" si="42"/>
        <v>0</v>
      </c>
    </row>
    <row r="414" spans="1:32">
      <c r="A414" t="s">
        <v>715</v>
      </c>
      <c r="M414" t="s">
        <v>2250</v>
      </c>
      <c r="Q414" t="str">
        <f>$A$165</f>
        <v>SampleID</v>
      </c>
      <c r="R414" t="str">
        <f>R355</f>
        <v>( sampled_thm =='Y' ) &amp; ( ProjectDropped ==False ) &amp; ( Frame_Gas == True )</v>
      </c>
      <c r="S414" t="str">
        <f>A364 &amp; ", " &amp; A408</f>
        <v>EvalExPostAnnualizedGrossTherm, st_EvalNTGRTherm</v>
      </c>
      <c r="T414" s="3" t="s">
        <v>650</v>
      </c>
      <c r="U414" t="s">
        <v>651</v>
      </c>
      <c r="AE414" t="b">
        <f t="shared" si="43"/>
        <v>1</v>
      </c>
      <c r="AF414" t="b">
        <f t="shared" si="42"/>
        <v>0</v>
      </c>
    </row>
    <row r="415" spans="1:32">
      <c r="A415" t="s">
        <v>717</v>
      </c>
      <c r="M415" t="s">
        <v>658</v>
      </c>
      <c r="P415" s="23" t="str">
        <f>A409 &amp; " / " &amp; A362</f>
        <v>EvalExPostAnnualizedNetkW / EvalExPostAnnualizedGrosskW</v>
      </c>
      <c r="T415" s="3"/>
      <c r="AE415" t="b">
        <f t="shared" si="43"/>
        <v>1</v>
      </c>
      <c r="AF415" t="b">
        <f t="shared" si="42"/>
        <v>0</v>
      </c>
    </row>
    <row r="416" spans="1:32">
      <c r="A416" t="s">
        <v>719</v>
      </c>
      <c r="M416" t="s">
        <v>658</v>
      </c>
      <c r="P416" s="23" t="str">
        <f>A410 &amp; " / " &amp; A363</f>
        <v>EvalExPostAnnualizedNetkWh / EvalExPostAnnualizedGrosskWh</v>
      </c>
      <c r="T416" s="3"/>
      <c r="AE416" t="b">
        <f t="shared" si="43"/>
        <v>1</v>
      </c>
      <c r="AF416" t="b">
        <f t="shared" si="42"/>
        <v>0</v>
      </c>
    </row>
    <row r="417" spans="1:32">
      <c r="A417" t="s">
        <v>718</v>
      </c>
      <c r="M417" t="s">
        <v>658</v>
      </c>
      <c r="P417" s="23" t="str">
        <f>A411 &amp; " / " &amp; A364</f>
        <v>EvalExPostAnnualizedNetTherm / EvalExPostAnnualizedGrossTherm</v>
      </c>
      <c r="AE417" t="b">
        <f t="shared" si="43"/>
        <v>1</v>
      </c>
      <c r="AF417" t="b">
        <f t="shared" si="42"/>
        <v>0</v>
      </c>
    </row>
    <row r="418" spans="1:32">
      <c r="A418" t="s">
        <v>727</v>
      </c>
      <c r="M418" t="s">
        <v>2250</v>
      </c>
      <c r="P418" t="str">
        <f>A368 &amp; " * " &amp; A406</f>
        <v>EvalExPostLifeCycleGrosskW * st_EvalNTGRkW</v>
      </c>
      <c r="AE418" t="b">
        <f t="shared" si="43"/>
        <v>1</v>
      </c>
      <c r="AF418" t="b">
        <f t="shared" si="42"/>
        <v>0</v>
      </c>
    </row>
    <row r="419" spans="1:32">
      <c r="A419" t="s">
        <v>729</v>
      </c>
      <c r="M419" t="s">
        <v>2250</v>
      </c>
      <c r="P419" t="str">
        <f>A369 &amp; " * " &amp; A407</f>
        <v>EvalExPostLifeCycleGrosskWh * st_EvalNTGRkWh</v>
      </c>
      <c r="AE419" t="b">
        <f t="shared" si="43"/>
        <v>1</v>
      </c>
      <c r="AF419" t="b">
        <f t="shared" si="42"/>
        <v>0</v>
      </c>
    </row>
    <row r="420" spans="1:32">
      <c r="A420" t="s">
        <v>728</v>
      </c>
      <c r="M420" t="s">
        <v>2250</v>
      </c>
      <c r="P420" t="str">
        <f>A370 &amp; " * " &amp; A408</f>
        <v>EvalExPostLifeCycleGrossTherm * st_EvalNTGRTherm</v>
      </c>
      <c r="AE420" t="b">
        <f t="shared" si="43"/>
        <v>1</v>
      </c>
      <c r="AF420" t="b">
        <f t="shared" si="42"/>
        <v>0</v>
      </c>
    </row>
    <row r="421" spans="1:32">
      <c r="A421" t="str">
        <f>E421</f>
        <v>SBD_OwnerIncentive</v>
      </c>
      <c r="E421" t="s">
        <v>321</v>
      </c>
      <c r="AE421" t="b">
        <f t="shared" si="43"/>
        <v>1</v>
      </c>
      <c r="AF421" t="b">
        <f t="shared" si="42"/>
        <v>0</v>
      </c>
    </row>
    <row r="422" spans="1:32">
      <c r="A422" t="str">
        <f>E422</f>
        <v>SBD_DesignTeamIncentive</v>
      </c>
      <c r="E422" t="s">
        <v>322</v>
      </c>
      <c r="AE422" t="b">
        <f t="shared" si="43"/>
        <v>1</v>
      </c>
      <c r="AF422" t="b">
        <f t="shared" si="42"/>
        <v>0</v>
      </c>
    </row>
    <row r="423" spans="1:32">
      <c r="A423" t="str">
        <f>E423</f>
        <v>SBDclaim</v>
      </c>
      <c r="E423" t="s">
        <v>245</v>
      </c>
      <c r="AE423" t="b">
        <f t="shared" si="43"/>
        <v>1</v>
      </c>
      <c r="AF423" t="b">
        <f t="shared" si="42"/>
        <v>0</v>
      </c>
    </row>
    <row r="424" spans="1:32">
      <c r="A424" t="s">
        <v>676</v>
      </c>
      <c r="Y424" t="str">
        <f>A423 &amp; " =='Yes', " &amp; A421 &amp; " + " &amp; A422 &amp; ", ( " &amp; A181 &amp; " )"</f>
        <v>SBDclaim =='Yes', SBD_OwnerIncentive + SBD_DesignTeamIncentive, ( TotalGrossIncentive_Eval )</v>
      </c>
      <c r="AE424" t="b">
        <f t="shared" si="43"/>
        <v>1</v>
      </c>
      <c r="AF424" t="b">
        <f t="shared" si="42"/>
        <v>0</v>
      </c>
    </row>
    <row r="425" spans="1:32">
      <c r="A425" t="s">
        <v>690</v>
      </c>
      <c r="P425" s="2" t="str">
        <f>$A$59 &amp; " * " &amp; A247</f>
        <v>ExAnteGrossIncentive * subsample_weight_kwh</v>
      </c>
      <c r="AE425" t="b">
        <f t="shared" si="43"/>
        <v>1</v>
      </c>
      <c r="AF425" t="b">
        <f t="shared" si="42"/>
        <v>0</v>
      </c>
    </row>
    <row r="426" spans="1:32">
      <c r="A426" t="s">
        <v>691</v>
      </c>
      <c r="P426" s="2" t="str">
        <f>$A$59 &amp; " * " &amp; A248</f>
        <v>ExAnteGrossIncentive * subsample_weight_thm</v>
      </c>
      <c r="AE426" t="b">
        <f t="shared" si="43"/>
        <v>1</v>
      </c>
      <c r="AF426" t="b">
        <f t="shared" si="42"/>
        <v>0</v>
      </c>
    </row>
    <row r="427" spans="1:32">
      <c r="A427" t="s">
        <v>692</v>
      </c>
      <c r="P427" t="str">
        <f>$A$424 &amp; " * " &amp; A247</f>
        <v>ss_Incentive * subsample_weight_kwh</v>
      </c>
      <c r="AE427" t="b">
        <f t="shared" si="43"/>
        <v>1</v>
      </c>
      <c r="AF427" t="b">
        <f t="shared" si="42"/>
        <v>0</v>
      </c>
    </row>
    <row r="428" spans="1:32">
      <c r="A428" t="s">
        <v>693</v>
      </c>
      <c r="P428" t="str">
        <f>$A$424 &amp; " * " &amp; A248</f>
        <v>ss_Incentive * subsample_weight_thm</v>
      </c>
      <c r="AE428" t="b">
        <f t="shared" si="43"/>
        <v>1</v>
      </c>
      <c r="AF428" t="b">
        <f t="shared" si="42"/>
        <v>0</v>
      </c>
    </row>
    <row r="429" spans="1:32">
      <c r="A429" t="s">
        <v>694</v>
      </c>
      <c r="Q429" t="str">
        <f>$A$165</f>
        <v>SampleID</v>
      </c>
      <c r="R429" t="str">
        <f>R261</f>
        <v>( ss_sampled_kwh ==True ) &amp; ( ProjectDropped ==False ) &amp; ( Frame_Electric == True )</v>
      </c>
      <c r="S429" t="str">
        <f>A427 &amp; ", " &amp; A425</f>
        <v>ss_wtd_Eval_Incentive_kwh, ss_wtd_Claim_Incentive_kwh</v>
      </c>
      <c r="T429" t="s">
        <v>625</v>
      </c>
      <c r="U429" t="s">
        <v>627</v>
      </c>
      <c r="AE429" t="b">
        <f t="shared" si="43"/>
        <v>1</v>
      </c>
      <c r="AF429" t="b">
        <f t="shared" si="42"/>
        <v>0</v>
      </c>
    </row>
    <row r="430" spans="1:32">
      <c r="A430" t="s">
        <v>695</v>
      </c>
      <c r="Q430" t="str">
        <f>$A$165</f>
        <v>SampleID</v>
      </c>
      <c r="R430" t="str">
        <f>R262</f>
        <v>( ss_sampled_thm ==True ) &amp; ( ProjectDropped ==False ) &amp; ( Frame_Gas == True )</v>
      </c>
      <c r="S430" t="str">
        <f>A428 &amp; ", " &amp; A426</f>
        <v>ss_wtd_Eval_Incentive_thm, ss_wtd_Claim_Incentive_thm</v>
      </c>
      <c r="T430" t="s">
        <v>625</v>
      </c>
      <c r="U430" t="s">
        <v>627</v>
      </c>
      <c r="AE430" t="b">
        <f t="shared" si="43"/>
        <v>1</v>
      </c>
      <c r="AF430" t="b">
        <f t="shared" si="42"/>
        <v>0</v>
      </c>
    </row>
    <row r="431" spans="1:32">
      <c r="A431" t="s">
        <v>696</v>
      </c>
      <c r="P431" t="str">
        <f>$A$59 &amp; " * " &amp; A429</f>
        <v>ExAnteGrossIncentive * ss_Incentive_kwh_rr</v>
      </c>
      <c r="AE431" t="b">
        <f t="shared" si="43"/>
        <v>1</v>
      </c>
      <c r="AF431" t="b">
        <f t="shared" si="42"/>
        <v>0</v>
      </c>
    </row>
    <row r="432" spans="1:32">
      <c r="A432" t="s">
        <v>697</v>
      </c>
      <c r="P432" t="str">
        <f>$A$59 &amp; " * " &amp; A430</f>
        <v>ExAnteGrossIncentive * ss_Incentive_thm_rr</v>
      </c>
      <c r="AE432" t="b">
        <f t="shared" si="43"/>
        <v>1</v>
      </c>
      <c r="AF432" t="b">
        <f t="shared" si="42"/>
        <v>0</v>
      </c>
    </row>
    <row r="433" spans="1:32">
      <c r="A433" t="s">
        <v>733</v>
      </c>
      <c r="Y433" t="str">
        <f>"np.logical_and( " &amp; A158 &amp; " =='Y' , " &amp; A431 &amp; " .isnull()), ( " &amp; $A$181 &amp; " ), ( " &amp; A431 &amp; " )"</f>
        <v>np.logical_and( sampled_kWh =='Y' , prj_EvalIncentive_kwh .isnull()), ( TotalGrossIncentive_Eval ), ( prj_EvalIncentive_kwh )</v>
      </c>
      <c r="AE433" t="b">
        <f t="shared" si="43"/>
        <v>1</v>
      </c>
      <c r="AF433" t="b">
        <f t="shared" si="42"/>
        <v>0</v>
      </c>
    </row>
    <row r="434" spans="1:32">
      <c r="A434" t="s">
        <v>734</v>
      </c>
      <c r="Y434" t="str">
        <f>"np.logical_and( " &amp; A159 &amp; " =='Y' , " &amp; A432 &amp; " .isnull()), ( " &amp; $A$181 &amp; " ), ( " &amp; A432 &amp; " )"</f>
        <v>np.logical_and( sampled_thm =='Y' , prj_EvalIncentive_thm .isnull()), ( TotalGrossIncentive_Eval ), ( prj_EvalIncentive_thm )</v>
      </c>
      <c r="AE434" t="b">
        <f t="shared" si="43"/>
        <v>1</v>
      </c>
      <c r="AF434" t="b">
        <f t="shared" si="42"/>
        <v>0</v>
      </c>
    </row>
    <row r="435" spans="1:32">
      <c r="A435" t="s">
        <v>698</v>
      </c>
      <c r="P435" s="2" t="str">
        <f>$A$57 &amp; " * " &amp; $A$247</f>
        <v>ExAnteGrossMeasureCost * subsample_weight_kwh</v>
      </c>
      <c r="AE435" t="b">
        <f t="shared" si="43"/>
        <v>1</v>
      </c>
      <c r="AF435" t="b">
        <f t="shared" si="42"/>
        <v>0</v>
      </c>
    </row>
    <row r="436" spans="1:32">
      <c r="A436" t="s">
        <v>699</v>
      </c>
      <c r="P436" s="2" t="str">
        <f>$A$57 &amp; " * " &amp; $A$248</f>
        <v>ExAnteGrossMeasureCost * subsample_weight_thm</v>
      </c>
      <c r="AE436" t="b">
        <f t="shared" si="43"/>
        <v>1</v>
      </c>
      <c r="AF436" t="b">
        <f t="shared" si="42"/>
        <v>0</v>
      </c>
    </row>
    <row r="437" spans="1:32">
      <c r="A437" t="s">
        <v>700</v>
      </c>
      <c r="P437" t="str">
        <f>$A$183 &amp; " * " &amp; $A$247</f>
        <v>TotalGrossMeasureCost_Eval * subsample_weight_kwh</v>
      </c>
      <c r="AE437" t="b">
        <f t="shared" si="43"/>
        <v>1</v>
      </c>
      <c r="AF437" t="b">
        <f t="shared" si="42"/>
        <v>0</v>
      </c>
    </row>
    <row r="438" spans="1:32">
      <c r="A438" t="s">
        <v>701</v>
      </c>
      <c r="P438" t="str">
        <f>$A$183 &amp; " * " &amp; $A$248</f>
        <v>TotalGrossMeasureCost_Eval * subsample_weight_thm</v>
      </c>
      <c r="AE438" t="b">
        <f t="shared" si="43"/>
        <v>1</v>
      </c>
      <c r="AF438" t="b">
        <f t="shared" si="42"/>
        <v>0</v>
      </c>
    </row>
    <row r="439" spans="1:32">
      <c r="A439" t="s">
        <v>702</v>
      </c>
      <c r="Q439" t="str">
        <f>$A$165</f>
        <v>SampleID</v>
      </c>
      <c r="R439" t="str">
        <f>R261</f>
        <v>( ss_sampled_kwh ==True ) &amp; ( ProjectDropped ==False ) &amp; ( Frame_Electric == True )</v>
      </c>
      <c r="S439" t="str">
        <f>A437 &amp; ", " &amp; A435</f>
        <v>ss_wtd_Eval_1stBaselineCost_kwh, ss_wtd_Claim_1stBaselineCost_kwh</v>
      </c>
      <c r="T439" t="s">
        <v>625</v>
      </c>
      <c r="U439" t="s">
        <v>627</v>
      </c>
      <c r="AE439" t="b">
        <f t="shared" si="43"/>
        <v>1</v>
      </c>
      <c r="AF439" t="b">
        <f t="shared" si="42"/>
        <v>0</v>
      </c>
    </row>
    <row r="440" spans="1:32">
      <c r="A440" t="s">
        <v>703</v>
      </c>
      <c r="Q440" t="str">
        <f>$A$165</f>
        <v>SampleID</v>
      </c>
      <c r="R440" t="str">
        <f>R262</f>
        <v>( ss_sampled_thm ==True ) &amp; ( ProjectDropped ==False ) &amp; ( Frame_Gas == True )</v>
      </c>
      <c r="S440" t="str">
        <f>A438 &amp; ", " &amp; A436</f>
        <v>ss_wtd_Eval_1stBaselineCost_thm, ss_wtd_Claim_1stBaselineCost_thm</v>
      </c>
      <c r="T440" t="s">
        <v>625</v>
      </c>
      <c r="U440" t="s">
        <v>627</v>
      </c>
      <c r="AE440" t="b">
        <f t="shared" si="43"/>
        <v>1</v>
      </c>
      <c r="AF440" t="b">
        <f t="shared" si="42"/>
        <v>0</v>
      </c>
    </row>
    <row r="441" spans="1:32">
      <c r="A441" t="s">
        <v>704</v>
      </c>
      <c r="P441" t="str">
        <f>$A$57 &amp; " * " &amp; A439</f>
        <v>ExAnteGrossMeasureCost * ss_1stBaselineCost_kwh_rr</v>
      </c>
      <c r="AE441" t="b">
        <f t="shared" si="43"/>
        <v>1</v>
      </c>
      <c r="AF441" t="b">
        <f t="shared" si="42"/>
        <v>0</v>
      </c>
    </row>
    <row r="442" spans="1:32">
      <c r="A442" t="s">
        <v>705</v>
      </c>
      <c r="P442" t="str">
        <f>$A$57 &amp; " * " &amp; A440</f>
        <v>ExAnteGrossMeasureCost * ss_1stBaselineCost_thm_rr</v>
      </c>
      <c r="AE442" t="b">
        <f t="shared" si="43"/>
        <v>1</v>
      </c>
      <c r="AF442" t="b">
        <f t="shared" si="42"/>
        <v>0</v>
      </c>
    </row>
    <row r="443" spans="1:32">
      <c r="A443" t="s">
        <v>735</v>
      </c>
      <c r="Y443" t="str">
        <f>"np.logical_and( " &amp; A158 &amp; " =='Y' , " &amp; A441 &amp; " .isnull()), ( " &amp; $A$183 &amp; " ), ( " &amp; A441 &amp; " )"</f>
        <v>np.logical_and( sampled_kWh =='Y' , prj_Eval1stBaselineCost_kwh .isnull()), ( TotalGrossMeasureCost_Eval ), ( prj_Eval1stBaselineCost_kwh )</v>
      </c>
      <c r="AE443" t="b">
        <f t="shared" si="43"/>
        <v>1</v>
      </c>
      <c r="AF443" t="b">
        <f t="shared" si="42"/>
        <v>0</v>
      </c>
    </row>
    <row r="444" spans="1:32">
      <c r="A444" t="s">
        <v>736</v>
      </c>
      <c r="Y444" t="str">
        <f>"np.logical_and( " &amp; A159 &amp; " =='Y' , " &amp; A442 &amp; " .isnull()), ( " &amp; $A$183 &amp; " ), ( " &amp; A442 &amp; " )"</f>
        <v>np.logical_and( sampled_thm =='Y' , prj_Eval1stBaselineCost_thm .isnull()), ( TotalGrossMeasureCost_Eval ), ( prj_Eval1stBaselineCost_thm )</v>
      </c>
      <c r="AE444" t="b">
        <f t="shared" si="43"/>
        <v>1</v>
      </c>
      <c r="AF444" t="b">
        <f t="shared" si="42"/>
        <v>0</v>
      </c>
    </row>
    <row r="445" spans="1:32">
      <c r="A445" t="s">
        <v>706</v>
      </c>
      <c r="P445" s="2" t="str">
        <f>$A$58 &amp; " * " &amp; $A$247</f>
        <v>ExAnteGrossMeasureCost_ER * subsample_weight_kwh</v>
      </c>
      <c r="AE445" t="b">
        <f t="shared" si="43"/>
        <v>1</v>
      </c>
      <c r="AF445" t="b">
        <f t="shared" si="42"/>
        <v>0</v>
      </c>
    </row>
    <row r="446" spans="1:32">
      <c r="A446" t="s">
        <v>707</v>
      </c>
      <c r="P446" s="2" t="str">
        <f>$A$58 &amp; " * " &amp; $A$248</f>
        <v>ExAnteGrossMeasureCost_ER * subsample_weight_thm</v>
      </c>
      <c r="AE446" t="b">
        <f t="shared" si="43"/>
        <v>1</v>
      </c>
      <c r="AF446" t="b">
        <f t="shared" si="42"/>
        <v>0</v>
      </c>
    </row>
    <row r="447" spans="1:32">
      <c r="A447" t="s">
        <v>708</v>
      </c>
      <c r="P447" t="str">
        <f>$A$184 &amp; " * " &amp; $A$247</f>
        <v>TotalGrossMeasureCost_ER_Eval * subsample_weight_kwh</v>
      </c>
      <c r="AE447" t="b">
        <f t="shared" si="43"/>
        <v>1</v>
      </c>
      <c r="AF447" t="b">
        <f t="shared" si="42"/>
        <v>0</v>
      </c>
    </row>
    <row r="448" spans="1:32">
      <c r="A448" t="s">
        <v>709</v>
      </c>
      <c r="P448" t="str">
        <f>$A$184 &amp; " * " &amp; $A$248</f>
        <v>TotalGrossMeasureCost_ER_Eval * subsample_weight_thm</v>
      </c>
      <c r="AE448" t="b">
        <f t="shared" si="43"/>
        <v>1</v>
      </c>
      <c r="AF448" t="b">
        <f t="shared" si="42"/>
        <v>0</v>
      </c>
    </row>
    <row r="449" spans="1:32">
      <c r="A449" t="s">
        <v>710</v>
      </c>
      <c r="Q449" t="str">
        <f>$A$165</f>
        <v>SampleID</v>
      </c>
      <c r="R449" t="str">
        <f>R261</f>
        <v>( ss_sampled_kwh ==True ) &amp; ( ProjectDropped ==False ) &amp; ( Frame_Electric == True )</v>
      </c>
      <c r="S449" t="str">
        <f>A447 &amp; ", " &amp; A445</f>
        <v>ss_wtd_Eval_2ndBaselineCost_kwh, ss_wtd_Claim_2ndBaselineCost_kwh</v>
      </c>
      <c r="T449" t="s">
        <v>625</v>
      </c>
      <c r="U449" t="s">
        <v>627</v>
      </c>
      <c r="AE449" t="b">
        <f t="shared" si="43"/>
        <v>1</v>
      </c>
      <c r="AF449" t="b">
        <f t="shared" si="42"/>
        <v>0</v>
      </c>
    </row>
    <row r="450" spans="1:32">
      <c r="A450" t="s">
        <v>711</v>
      </c>
      <c r="Q450" t="str">
        <f>$A$165</f>
        <v>SampleID</v>
      </c>
      <c r="R450" t="str">
        <f>R262</f>
        <v>( ss_sampled_thm ==True ) &amp; ( ProjectDropped ==False ) &amp; ( Frame_Gas == True )</v>
      </c>
      <c r="S450" t="str">
        <f>A448 &amp; ", " &amp; A446</f>
        <v>ss_wtd_Eval_2ndBaselineCost_thm, ss_wtd_Claim_2ndBaselineCost_thm</v>
      </c>
      <c r="T450" t="s">
        <v>625</v>
      </c>
      <c r="U450" t="s">
        <v>627</v>
      </c>
      <c r="AE450" t="b">
        <f t="shared" si="43"/>
        <v>1</v>
      </c>
      <c r="AF450" t="b">
        <f t="shared" si="42"/>
        <v>0</v>
      </c>
    </row>
    <row r="451" spans="1:32">
      <c r="A451" t="s">
        <v>712</v>
      </c>
      <c r="P451" t="str">
        <f>$A$58 &amp; " * " &amp; A449</f>
        <v>ExAnteGrossMeasureCost_ER * ss_2ndBaselineCost_kwh_rr</v>
      </c>
      <c r="AE451" t="b">
        <f t="shared" si="43"/>
        <v>1</v>
      </c>
      <c r="AF451" t="b">
        <f t="shared" si="42"/>
        <v>0</v>
      </c>
    </row>
    <row r="452" spans="1:32">
      <c r="A452" t="s">
        <v>713</v>
      </c>
      <c r="P452" t="str">
        <f>$A$58 &amp; " * " &amp; A450</f>
        <v>ExAnteGrossMeasureCost_ER * ss_2ndBaselineCost_thm_rr</v>
      </c>
      <c r="AE452" t="b">
        <f t="shared" si="43"/>
        <v>1</v>
      </c>
      <c r="AF452" t="b">
        <f t="shared" si="42"/>
        <v>0</v>
      </c>
    </row>
    <row r="453" spans="1:32">
      <c r="A453" t="s">
        <v>737</v>
      </c>
      <c r="Y453" t="str">
        <f>"np.logical_and( " &amp; A158 &amp; " =='Y' , " &amp; A451 &amp; " .isnull()), ( " &amp; $A$184 &amp; " ), ( " &amp; A451 &amp; " )"</f>
        <v>np.logical_and( sampled_kWh =='Y' , prj_Eval2ndBaselineCost_kwh .isnull()), ( TotalGrossMeasureCost_ER_Eval ), ( prj_Eval2ndBaselineCost_kwh )</v>
      </c>
      <c r="AE453" t="b">
        <f t="shared" si="43"/>
        <v>1</v>
      </c>
      <c r="AF453" t="b">
        <f t="shared" si="42"/>
        <v>0</v>
      </c>
    </row>
    <row r="454" spans="1:32">
      <c r="A454" t="s">
        <v>738</v>
      </c>
      <c r="Y454" t="str">
        <f>"np.logical_and( " &amp; A159 &amp; " =='Y' , " &amp; A452 &amp; " .isnull()), ( " &amp; $A$184 &amp; " ), ( " &amp; A452 &amp; " )"</f>
        <v>np.logical_and( sampled_thm =='Y' , prj_Eval2ndBaselineCost_thm .isnull()), ( TotalGrossMeasureCost_ER_Eval ), ( prj_Eval2ndBaselineCost_thm )</v>
      </c>
      <c r="AE454" t="b">
        <f t="shared" si="43"/>
        <v>1</v>
      </c>
      <c r="AF454" t="b">
        <f t="shared" si="42"/>
        <v>0</v>
      </c>
    </row>
    <row r="455" spans="1:32">
      <c r="A455" t="str">
        <f t="shared" ref="A455:A460" si="44">E455</f>
        <v>EvalBase1kWReasons</v>
      </c>
      <c r="E455" t="s">
        <v>331</v>
      </c>
      <c r="AE455" t="b">
        <f t="shared" si="43"/>
        <v>1</v>
      </c>
      <c r="AF455" t="b">
        <f t="shared" si="42"/>
        <v>0</v>
      </c>
    </row>
    <row r="456" spans="1:32">
      <c r="A456" t="str">
        <f t="shared" si="44"/>
        <v>EvalBase1kWhReasons</v>
      </c>
      <c r="E456" t="s">
        <v>332</v>
      </c>
      <c r="AE456" t="b">
        <f t="shared" si="43"/>
        <v>1</v>
      </c>
      <c r="AF456" t="b">
        <f t="shared" si="42"/>
        <v>0</v>
      </c>
    </row>
    <row r="457" spans="1:32">
      <c r="A457" t="str">
        <f t="shared" si="44"/>
        <v>EvalBase1ThermReasons</v>
      </c>
      <c r="E457" t="s">
        <v>333</v>
      </c>
      <c r="AE457" t="b">
        <f t="shared" si="43"/>
        <v>1</v>
      </c>
      <c r="AF457" t="b">
        <f t="shared" si="42"/>
        <v>0</v>
      </c>
    </row>
    <row r="458" spans="1:32">
      <c r="A458" t="str">
        <f t="shared" si="44"/>
        <v>EvalBase2kWReasons</v>
      </c>
      <c r="E458" t="s">
        <v>335</v>
      </c>
      <c r="AE458" t="b">
        <f t="shared" si="43"/>
        <v>1</v>
      </c>
      <c r="AF458" t="b">
        <f t="shared" si="42"/>
        <v>0</v>
      </c>
    </row>
    <row r="459" spans="1:32">
      <c r="A459" t="str">
        <f t="shared" si="44"/>
        <v>EvalBase2kWhReasons</v>
      </c>
      <c r="E459" t="s">
        <v>337</v>
      </c>
      <c r="AE459" t="b">
        <f t="shared" si="43"/>
        <v>1</v>
      </c>
      <c r="AF459" t="b">
        <f t="shared" ref="AF459:AF473" si="45">AND(ISNUMBER(SEARCH("kw",_xlfn.CONCAT(O459:AD459))), ISNUMBER(SEARCH("thm",_xlfn.CONCAT(O459:AD459))))</f>
        <v>0</v>
      </c>
    </row>
    <row r="460" spans="1:32">
      <c r="A460" t="str">
        <f t="shared" si="44"/>
        <v>EvalBase2ThermReasons</v>
      </c>
      <c r="E460" t="s">
        <v>339</v>
      </c>
      <c r="AE460" t="b">
        <f t="shared" si="43"/>
        <v>1</v>
      </c>
      <c r="AF460" t="b">
        <f t="shared" si="45"/>
        <v>0</v>
      </c>
    </row>
    <row r="461" spans="1:32">
      <c r="A461" t="s">
        <v>1554</v>
      </c>
      <c r="Y461" t="str">
        <f>"( " &amp; A443 &amp; " ) , ( " &amp;A443 &amp; " ) , ( " &amp; A444 &amp; " )"</f>
        <v>( Eval1stBaselineCost_kWh ) , ( Eval1stBaselineCost_kWh ) , ( Eval1stBaselineCost_Therm )</v>
      </c>
      <c r="AE461" t="b">
        <f t="shared" si="43"/>
        <v>1</v>
      </c>
      <c r="AF461" t="b">
        <f t="shared" si="45"/>
        <v>0</v>
      </c>
    </row>
    <row r="462" spans="1:32">
      <c r="A462" t="s">
        <v>1555</v>
      </c>
      <c r="Y462" t="str">
        <f>"( " &amp; A453 &amp; " ) , ( " &amp;A453 &amp; " ) , ( " &amp; A454 &amp; " )"</f>
        <v>( Eval2ndBaselineCost_kWh ) , ( Eval2ndBaselineCost_kWh ) , ( Eval2ndBaselineCost_Therm )</v>
      </c>
      <c r="AE462" t="b">
        <f t="shared" si="43"/>
        <v>1</v>
      </c>
      <c r="AF462" t="b">
        <f t="shared" si="45"/>
        <v>0</v>
      </c>
    </row>
    <row r="463" spans="1:32">
      <c r="A463" t="s">
        <v>1556</v>
      </c>
      <c r="Y463" t="str">
        <f>"( " &amp; A433 &amp; " ) , ( " &amp;A433 &amp; " ) , ( " &amp; A434 &amp; " )"</f>
        <v>( EvalIncentive_kWh ) , ( EvalIncentive_kWh ) , ( EvalIncentive_Therm )</v>
      </c>
      <c r="AE463" t="b">
        <f t="shared" si="43"/>
        <v>1</v>
      </c>
      <c r="AF463" t="b">
        <f t="shared" si="45"/>
        <v>0</v>
      </c>
    </row>
    <row r="464" spans="1:32">
      <c r="A464" t="str">
        <f>G464</f>
        <v>ReviewStartDate</v>
      </c>
      <c r="G464" t="s">
        <v>1559</v>
      </c>
      <c r="AE464" t="b">
        <f t="shared" si="43"/>
        <v>1</v>
      </c>
      <c r="AF464" t="b">
        <f t="shared" si="45"/>
        <v>0</v>
      </c>
    </row>
    <row r="465" spans="1:36">
      <c r="A465" t="str">
        <f>G465</f>
        <v>RecruitDate</v>
      </c>
      <c r="G465" t="s">
        <v>512</v>
      </c>
      <c r="AE465" t="b">
        <f t="shared" si="43"/>
        <v>1</v>
      </c>
      <c r="AF465" t="b">
        <f t="shared" si="45"/>
        <v>0</v>
      </c>
    </row>
    <row r="466" spans="1:36">
      <c r="A466" t="s">
        <v>1557</v>
      </c>
      <c r="Y466" t="str">
        <f>A465 &amp; " .notnull(), True, False"</f>
        <v>RecruitDate .notnull(), True, False</v>
      </c>
      <c r="AE466" t="b">
        <f t="shared" si="43"/>
        <v>1</v>
      </c>
      <c r="AF466" t="b">
        <f t="shared" si="45"/>
        <v>0</v>
      </c>
    </row>
    <row r="467" spans="1:36">
      <c r="A467" t="s">
        <v>1558</v>
      </c>
      <c r="B467" s="3"/>
      <c r="M467" s="3"/>
      <c r="P467" s="3" t="str">
        <f>A171 &amp; " .notnull() &amp; ( " &amp; A171 &amp; " !='NOT YET RECRUITED' )"</f>
        <v>NetDisposition .notnull() &amp; ( NetDisposition !='NOT YET RECRUITED' )</v>
      </c>
      <c r="AE467" t="b">
        <f t="shared" si="43"/>
        <v>1</v>
      </c>
      <c r="AF467" t="b">
        <f t="shared" si="45"/>
        <v>0</v>
      </c>
      <c r="AG467" s="23" t="s">
        <v>1922</v>
      </c>
    </row>
    <row r="468" spans="1:36">
      <c r="A468" t="s">
        <v>1669</v>
      </c>
      <c r="M468" s="3"/>
      <c r="Y468" t="str">
        <f xml:space="preserve"> A363 &amp; " .notnull() , " &amp; A363 &amp; " * .003412 , 0"</f>
        <v>EvalExPostAnnualizedGrosskWh .notnull() , EvalExPostAnnualizedGrosskWh * .003412 , 0</v>
      </c>
      <c r="AE468" t="b">
        <f t="shared" ref="AE468:AE473" si="46">IF(NOT(ISBLANK(A468)), LEN(_xlfn.CONCAT(C468:AD468))&gt;0, "")</f>
        <v>1</v>
      </c>
      <c r="AF468" t="b">
        <f t="shared" si="45"/>
        <v>0</v>
      </c>
    </row>
    <row r="469" spans="1:36">
      <c r="A469" t="s">
        <v>1668</v>
      </c>
      <c r="M469" s="3"/>
      <c r="Y469" t="str">
        <f>A364 &amp; " .notnull() , " &amp; A364 &amp; " / 10 , 0"</f>
        <v>EvalExPostAnnualizedGrossTherm .notnull() , EvalExPostAnnualizedGrossTherm / 10 , 0</v>
      </c>
      <c r="AE469" t="b">
        <f t="shared" si="46"/>
        <v>1</v>
      </c>
      <c r="AF469" t="b">
        <f t="shared" si="45"/>
        <v>0</v>
      </c>
    </row>
    <row r="470" spans="1:36">
      <c r="A470" t="s">
        <v>1666</v>
      </c>
      <c r="P470" t="str">
        <f>A468 &amp; " + " &amp; A469</f>
        <v>ExPost_Annualized_Gross_kwh_mmbtu + ExPost_Annualized_Gross_thm_mmbtu</v>
      </c>
      <c r="AE470" t="b">
        <f t="shared" si="46"/>
        <v>1</v>
      </c>
      <c r="AF470" t="b">
        <f t="shared" si="45"/>
        <v>1</v>
      </c>
      <c r="AG470" t="s">
        <v>2214</v>
      </c>
    </row>
    <row r="471" spans="1:36">
      <c r="A471" t="s">
        <v>1670</v>
      </c>
      <c r="M471" s="3"/>
      <c r="Y471" t="str">
        <f>A369 &amp; " .notnull() , " &amp; A369 &amp; " * .003412 , 0"</f>
        <v>EvalExPostLifeCycleGrosskWh .notnull() , EvalExPostLifeCycleGrosskWh * .003412 , 0</v>
      </c>
      <c r="AE471" t="b">
        <f t="shared" si="46"/>
        <v>1</v>
      </c>
      <c r="AF471" t="b">
        <f t="shared" si="45"/>
        <v>0</v>
      </c>
      <c r="AJ471">
        <v>24</v>
      </c>
    </row>
    <row r="472" spans="1:36">
      <c r="A472" t="s">
        <v>1671</v>
      </c>
      <c r="M472" s="3"/>
      <c r="Y472" t="str">
        <f>A370 &amp; " .notnull() , " &amp; A370 &amp; " / 10 , 0"</f>
        <v>EvalExPostLifeCycleGrossTherm .notnull() , EvalExPostLifeCycleGrossTherm / 10 , 0</v>
      </c>
      <c r="AE472" t="b">
        <f t="shared" si="46"/>
        <v>1</v>
      </c>
      <c r="AF472" t="b">
        <f t="shared" si="45"/>
        <v>0</v>
      </c>
      <c r="AJ472">
        <v>24</v>
      </c>
    </row>
    <row r="473" spans="1:36">
      <c r="A473" t="s">
        <v>1667</v>
      </c>
      <c r="P473" t="str">
        <f>A471 &amp; " + " &amp; A472</f>
        <v>ExPost_Lifecycle_Gross_kwh_mmbtu + ExPost_Lifecycle_Gross_thm_mmbtu</v>
      </c>
      <c r="AE473" t="b">
        <f t="shared" si="46"/>
        <v>1</v>
      </c>
      <c r="AF473" t="b">
        <f t="shared" si="45"/>
        <v>1</v>
      </c>
      <c r="AG473" t="s">
        <v>2214</v>
      </c>
      <c r="AJ473">
        <v>24</v>
      </c>
    </row>
    <row r="474" spans="1:36">
      <c r="A474" t="s">
        <v>2178</v>
      </c>
      <c r="M474" t="s">
        <v>2250</v>
      </c>
      <c r="Y474" t="str">
        <f>A419 &amp; " .notnull() , " &amp; A419 &amp; " * .003412 , 0"</f>
        <v>EvalExPostLifeCycleNetkWh .notnull() , EvalExPostLifeCycleNetkWh * .003412 , 0</v>
      </c>
      <c r="AE474" t="b">
        <f t="shared" ref="AE474:AE482" si="47">IF(NOT(ISBLANK(A474)), LEN(_xlfn.CONCAT(C474:AD474))&gt;0, "")</f>
        <v>1</v>
      </c>
      <c r="AF474" t="b">
        <f t="shared" ref="AF474:AF482" si="48">AND(ISNUMBER(SEARCH("kw",_xlfn.CONCAT(O474:AD474))), ISNUMBER(SEARCH("thm",_xlfn.CONCAT(O474:AD474))))</f>
        <v>0</v>
      </c>
      <c r="AJ474">
        <v>24</v>
      </c>
    </row>
    <row r="475" spans="1:36">
      <c r="A475" t="s">
        <v>2179</v>
      </c>
      <c r="M475" t="s">
        <v>2250</v>
      </c>
      <c r="Y475" t="str">
        <f>A420 &amp; " .notnull() , " &amp; A420 &amp; " / 10 , 0"</f>
        <v>EvalExPostLifeCycleNetTherm .notnull() , EvalExPostLifeCycleNetTherm / 10 , 0</v>
      </c>
      <c r="AE475" t="b">
        <f t="shared" si="47"/>
        <v>1</v>
      </c>
      <c r="AF475" t="b">
        <f t="shared" si="48"/>
        <v>0</v>
      </c>
      <c r="AJ475">
        <v>24</v>
      </c>
    </row>
    <row r="476" spans="1:36">
      <c r="A476" t="s">
        <v>2180</v>
      </c>
      <c r="M476" t="s">
        <v>2250</v>
      </c>
      <c r="P476" t="str">
        <f>A474 &amp; " + " &amp; A475</f>
        <v>ExPost_Lifecycle_Net_kwh_mmbtu + ExPost_Lifecycle_Net_thm_mmbtu</v>
      </c>
      <c r="AE476" t="b">
        <f t="shared" si="47"/>
        <v>1</v>
      </c>
      <c r="AF476" t="b">
        <f t="shared" si="48"/>
        <v>1</v>
      </c>
      <c r="AG476" t="s">
        <v>2214</v>
      </c>
      <c r="AJ476">
        <v>24</v>
      </c>
    </row>
    <row r="477" spans="1:36">
      <c r="A477" t="s">
        <v>2172</v>
      </c>
      <c r="Y477" t="str">
        <f>A67 &amp; " .notnull() , " &amp; A67 &amp; " * .003412 , 0"</f>
        <v>ExAnte_LifeCycleGross_NoRR_kWh .notnull() , ExAnte_LifeCycleGross_NoRR_kWh * .003412 , 0</v>
      </c>
      <c r="AE477" t="b">
        <f t="shared" si="47"/>
        <v>1</v>
      </c>
      <c r="AF477" t="b">
        <f t="shared" si="48"/>
        <v>0</v>
      </c>
      <c r="AJ477">
        <v>24</v>
      </c>
    </row>
    <row r="478" spans="1:36">
      <c r="A478" t="s">
        <v>2173</v>
      </c>
      <c r="Y478" t="str">
        <f>A68 &amp; " .notnull() , " &amp;A68 &amp; " / 10 , 0"</f>
        <v>ExAnte_LifeCycleGross_NoRR_thm .notnull() , ExAnte_LifeCycleGross_NoRR_thm / 10 , 0</v>
      </c>
      <c r="AE478" t="b">
        <f t="shared" si="47"/>
        <v>1</v>
      </c>
      <c r="AF478" t="b">
        <f t="shared" si="48"/>
        <v>0</v>
      </c>
      <c r="AJ478">
        <v>24</v>
      </c>
    </row>
    <row r="479" spans="1:36">
      <c r="A479" t="s">
        <v>2174</v>
      </c>
      <c r="P479" t="str">
        <f>A477 &amp; " + " &amp; A478</f>
        <v>ExAnte_Lifecycle_Gross_kwh_mmbtu + ExAnte_Lifecycle_Gross_thm_mmbtu</v>
      </c>
      <c r="AE479" t="b">
        <f t="shared" si="47"/>
        <v>1</v>
      </c>
      <c r="AF479" t="b">
        <f t="shared" si="48"/>
        <v>1</v>
      </c>
      <c r="AG479" t="s">
        <v>2214</v>
      </c>
      <c r="AJ479">
        <v>24</v>
      </c>
    </row>
    <row r="480" spans="1:36">
      <c r="A480" t="s">
        <v>2175</v>
      </c>
      <c r="M480" t="s">
        <v>2250</v>
      </c>
      <c r="Y480" t="str">
        <f>A70 &amp; " .notnull() , " &amp; A70 &amp; " * .003412 , 0"</f>
        <v>ExAnte_LifeCycleNet_NoRR_kWh .notnull() , ExAnte_LifeCycleNet_NoRR_kWh * .003412 , 0</v>
      </c>
      <c r="AE480" t="b">
        <f t="shared" si="47"/>
        <v>1</v>
      </c>
      <c r="AF480" t="b">
        <f t="shared" si="48"/>
        <v>0</v>
      </c>
      <c r="AJ480">
        <v>24</v>
      </c>
    </row>
    <row r="481" spans="1:36">
      <c r="A481" t="s">
        <v>2176</v>
      </c>
      <c r="M481" t="s">
        <v>2250</v>
      </c>
      <c r="Y481" t="str">
        <f>A71 &amp; " .notnull() , " &amp;A71 &amp; " / 10 , 0"</f>
        <v>ExAnte_LifeCycleNet_NoRR_thm .notnull() , ExAnte_LifeCycleNet_NoRR_thm / 10 , 0</v>
      </c>
      <c r="AE481" t="b">
        <f t="shared" si="47"/>
        <v>1</v>
      </c>
      <c r="AF481" t="b">
        <f t="shared" si="48"/>
        <v>0</v>
      </c>
      <c r="AJ481">
        <v>24</v>
      </c>
    </row>
    <row r="482" spans="1:36">
      <c r="A482" t="s">
        <v>2177</v>
      </c>
      <c r="M482" t="s">
        <v>2250</v>
      </c>
      <c r="P482" t="str">
        <f>A480 &amp; " + " &amp; A481</f>
        <v>ExAnte_Lifecycle_Net_kwh_mmbtu + ExAnte_Lifecycle_Net_thm_mmbtu</v>
      </c>
      <c r="AE482" t="b">
        <f t="shared" si="47"/>
        <v>1</v>
      </c>
      <c r="AF482" t="b">
        <f t="shared" si="48"/>
        <v>1</v>
      </c>
      <c r="AG482" t="s">
        <v>2214</v>
      </c>
      <c r="AJ482">
        <v>24</v>
      </c>
    </row>
    <row r="483" spans="1:36">
      <c r="A483" t="str">
        <f>E483</f>
        <v>InstallDeadline</v>
      </c>
      <c r="E483" t="s">
        <v>233</v>
      </c>
      <c r="AE483" t="b">
        <f t="shared" ref="AE483:AE494" si="49">IF(NOT(ISBLANK(A483)), LEN(_xlfn.CONCAT(C483:AC483))&gt;0, "")</f>
        <v>1</v>
      </c>
      <c r="AF483" t="b">
        <f t="shared" ref="AF483:AF496" si="50">AND(ISNUMBER(SEARCH("kw",_xlfn.CONCAT(O483:AD483))), ISNUMBER(SEARCH("thm",_xlfn.CONCAT(O483:AD483))))</f>
        <v>0</v>
      </c>
    </row>
    <row r="484" spans="1:36">
      <c r="A484" t="str">
        <f t="shared" ref="A484:A511" si="51">E484</f>
        <v>InstallDeadline_MV</v>
      </c>
      <c r="E484" t="s">
        <v>234</v>
      </c>
      <c r="AE484" t="b">
        <f t="shared" si="49"/>
        <v>1</v>
      </c>
      <c r="AF484" t="b">
        <f t="shared" si="50"/>
        <v>0</v>
      </c>
    </row>
    <row r="485" spans="1:36">
      <c r="A485" t="str">
        <f t="shared" si="51"/>
        <v>EquipOrderCheck</v>
      </c>
      <c r="E485" t="s">
        <v>235</v>
      </c>
      <c r="AE485" t="b">
        <f t="shared" si="49"/>
        <v>1</v>
      </c>
      <c r="AF485" t="b">
        <f t="shared" si="50"/>
        <v>0</v>
      </c>
    </row>
    <row r="486" spans="1:36">
      <c r="A486" t="str">
        <f t="shared" si="51"/>
        <v>InstallationTimeLimit</v>
      </c>
      <c r="E486" t="s">
        <v>236</v>
      </c>
      <c r="AE486" t="b">
        <f t="shared" si="49"/>
        <v>1</v>
      </c>
      <c r="AF486" t="b">
        <f t="shared" si="50"/>
        <v>0</v>
      </c>
    </row>
    <row r="487" spans="1:36">
      <c r="A487" t="str">
        <f t="shared" si="51"/>
        <v>PaymentDateCheck</v>
      </c>
      <c r="E487" t="s">
        <v>237</v>
      </c>
      <c r="AE487" t="b">
        <f t="shared" si="49"/>
        <v>1</v>
      </c>
      <c r="AF487" t="b">
        <f t="shared" si="50"/>
        <v>0</v>
      </c>
    </row>
    <row r="488" spans="1:36">
      <c r="A488" t="str">
        <f t="shared" si="51"/>
        <v>PartialClaimCheck</v>
      </c>
      <c r="E488" t="s">
        <v>238</v>
      </c>
      <c r="AE488" t="b">
        <f t="shared" si="49"/>
        <v>1</v>
      </c>
      <c r="AF488" t="b">
        <f t="shared" si="50"/>
        <v>0</v>
      </c>
    </row>
    <row r="489" spans="1:36">
      <c r="A489" t="str">
        <f t="shared" si="51"/>
        <v>PartialClaimDesc</v>
      </c>
      <c r="E489" t="s">
        <v>239</v>
      </c>
      <c r="AE489" t="b">
        <f t="shared" si="49"/>
        <v>1</v>
      </c>
      <c r="AF489" t="b">
        <f t="shared" si="50"/>
        <v>0</v>
      </c>
    </row>
    <row r="490" spans="1:36">
      <c r="A490" t="str">
        <f t="shared" si="51"/>
        <v>FuelSubTest</v>
      </c>
      <c r="E490" t="s">
        <v>240</v>
      </c>
      <c r="AE490" t="b">
        <f t="shared" si="49"/>
        <v>1</v>
      </c>
      <c r="AF490" t="b">
        <f t="shared" si="50"/>
        <v>0</v>
      </c>
    </row>
    <row r="491" spans="1:36">
      <c r="A491" t="str">
        <f t="shared" si="51"/>
        <v>CogenImpact</v>
      </c>
      <c r="E491" t="s">
        <v>241</v>
      </c>
      <c r="AE491" t="b">
        <f t="shared" si="49"/>
        <v>1</v>
      </c>
      <c r="AF491" t="b">
        <f t="shared" si="50"/>
        <v>0</v>
      </c>
    </row>
    <row r="492" spans="1:36">
      <c r="A492" t="str">
        <f t="shared" si="51"/>
        <v>LikeforLike</v>
      </c>
      <c r="E492" t="s">
        <v>242</v>
      </c>
      <c r="AE492" t="b">
        <f t="shared" si="49"/>
        <v>1</v>
      </c>
      <c r="AF492" t="b">
        <f t="shared" si="50"/>
        <v>0</v>
      </c>
    </row>
    <row r="493" spans="1:36">
      <c r="A493" t="str">
        <f t="shared" si="51"/>
        <v>PermitsObtained</v>
      </c>
      <c r="E493" t="s">
        <v>243</v>
      </c>
      <c r="AE493" t="b">
        <f t="shared" si="49"/>
        <v>1</v>
      </c>
      <c r="AF493" t="b">
        <f t="shared" si="50"/>
        <v>0</v>
      </c>
    </row>
    <row r="494" spans="1:36">
      <c r="A494" t="str">
        <f t="shared" si="51"/>
        <v>IneligibleMeasure</v>
      </c>
      <c r="E494" t="s">
        <v>64</v>
      </c>
      <c r="AE494" t="b">
        <f t="shared" si="49"/>
        <v>1</v>
      </c>
      <c r="AF494" t="b">
        <f t="shared" si="50"/>
        <v>0</v>
      </c>
    </row>
    <row r="495" spans="1:36">
      <c r="A495" t="str">
        <f t="shared" si="51"/>
        <v>ExistingEquipRemoved</v>
      </c>
      <c r="E495" t="s">
        <v>244</v>
      </c>
      <c r="AE495" t="b">
        <f t="shared" ref="AE495:AE574" si="52">IF(NOT(ISBLANK(A495)), LEN(_xlfn.CONCAT(C495:AC495))&gt;0, "")</f>
        <v>1</v>
      </c>
      <c r="AF495" t="b">
        <f t="shared" si="50"/>
        <v>0</v>
      </c>
    </row>
    <row r="496" spans="1:36">
      <c r="A496" t="str">
        <f t="shared" si="51"/>
        <v>SBDcheck1</v>
      </c>
      <c r="E496" t="s">
        <v>246</v>
      </c>
      <c r="AE496" t="b">
        <f t="shared" si="52"/>
        <v>1</v>
      </c>
      <c r="AF496" t="b">
        <f t="shared" si="50"/>
        <v>0</v>
      </c>
    </row>
    <row r="497" spans="1:32">
      <c r="A497" t="str">
        <f t="shared" si="51"/>
        <v>SBDcheck2</v>
      </c>
      <c r="E497" t="s">
        <v>247</v>
      </c>
      <c r="AE497" t="b">
        <f t="shared" si="52"/>
        <v>1</v>
      </c>
      <c r="AF497" t="b">
        <f t="shared" ref="AF497:AF611" si="53">AND(ISNUMBER(SEARCH("kw",_xlfn.CONCAT(O497:AD497))), ISNUMBER(SEARCH("thm",_xlfn.CONCAT(O497:AD497))))</f>
        <v>0</v>
      </c>
    </row>
    <row r="498" spans="1:32">
      <c r="A498" t="str">
        <f t="shared" si="51"/>
        <v>DecisionProcess</v>
      </c>
      <c r="E498" t="s">
        <v>248</v>
      </c>
      <c r="AE498" t="b">
        <f t="shared" si="52"/>
        <v>1</v>
      </c>
      <c r="AF498" t="b">
        <f t="shared" si="53"/>
        <v>0</v>
      </c>
    </row>
    <row r="499" spans="1:32">
      <c r="A499" t="str">
        <f t="shared" si="51"/>
        <v>ProjectInitiated</v>
      </c>
      <c r="E499" t="s">
        <v>249</v>
      </c>
      <c r="AE499" t="b">
        <f t="shared" si="52"/>
        <v>1</v>
      </c>
      <c r="AF499" t="b">
        <f t="shared" si="53"/>
        <v>0</v>
      </c>
    </row>
    <row r="500" spans="1:32">
      <c r="A500" t="str">
        <f t="shared" si="51"/>
        <v>MeasuresIdentifiedDesc</v>
      </c>
      <c r="E500" t="s">
        <v>250</v>
      </c>
      <c r="AE500" t="b">
        <f t="shared" si="52"/>
        <v>1</v>
      </c>
      <c r="AF500" t="b">
        <f t="shared" si="53"/>
        <v>0</v>
      </c>
    </row>
    <row r="501" spans="1:32">
      <c r="A501" t="str">
        <f t="shared" si="51"/>
        <v>AlternativeOptions</v>
      </c>
      <c r="E501" t="s">
        <v>251</v>
      </c>
      <c r="AE501" t="b">
        <f t="shared" si="52"/>
        <v>1</v>
      </c>
      <c r="AF501" t="b">
        <f t="shared" si="53"/>
        <v>0</v>
      </c>
    </row>
    <row r="502" spans="1:32">
      <c r="A502" t="str">
        <f t="shared" si="51"/>
        <v>SavingsProvided</v>
      </c>
      <c r="E502" t="s">
        <v>252</v>
      </c>
      <c r="AE502" t="b">
        <f t="shared" si="52"/>
        <v>1</v>
      </c>
      <c r="AF502" t="b">
        <f t="shared" si="53"/>
        <v>0</v>
      </c>
    </row>
    <row r="503" spans="1:32">
      <c r="A503" t="str">
        <f t="shared" si="51"/>
        <v>NonEnergyBenefits</v>
      </c>
      <c r="E503" t="s">
        <v>253</v>
      </c>
      <c r="AE503" t="b">
        <f t="shared" si="52"/>
        <v>1</v>
      </c>
      <c r="AF503" t="b">
        <f t="shared" si="53"/>
        <v>0</v>
      </c>
    </row>
    <row r="504" spans="1:32">
      <c r="A504" t="str">
        <f t="shared" si="51"/>
        <v>ProgramInfulence</v>
      </c>
      <c r="E504" t="s">
        <v>254</v>
      </c>
      <c r="AE504" t="b">
        <f t="shared" si="52"/>
        <v>1</v>
      </c>
      <c r="AF504" t="b">
        <f t="shared" si="53"/>
        <v>0</v>
      </c>
    </row>
    <row r="505" spans="1:32">
      <c r="A505" t="str">
        <f t="shared" si="51"/>
        <v>PaybackCriteria</v>
      </c>
      <c r="E505" t="s">
        <v>255</v>
      </c>
      <c r="AE505" t="b">
        <f t="shared" si="52"/>
        <v>1</v>
      </c>
      <c r="AF505" t="b">
        <f t="shared" si="53"/>
        <v>0</v>
      </c>
    </row>
    <row r="506" spans="1:32">
      <c r="A506" t="str">
        <f t="shared" si="51"/>
        <v>CorporatePolicies</v>
      </c>
      <c r="E506" t="s">
        <v>256</v>
      </c>
      <c r="AE506" t="b">
        <f t="shared" si="52"/>
        <v>1</v>
      </c>
      <c r="AF506" t="b">
        <f t="shared" si="53"/>
        <v>0</v>
      </c>
    </row>
    <row r="507" spans="1:32">
      <c r="A507" t="str">
        <f t="shared" si="51"/>
        <v>OtherInfluencesDesc</v>
      </c>
      <c r="E507" t="s">
        <v>257</v>
      </c>
      <c r="AE507" t="b">
        <f t="shared" si="52"/>
        <v>1</v>
      </c>
      <c r="AF507" t="b">
        <f t="shared" si="53"/>
        <v>0</v>
      </c>
    </row>
    <row r="508" spans="1:32">
      <c r="A508" t="str">
        <f t="shared" si="51"/>
        <v>FinalEligibilityDecision</v>
      </c>
      <c r="E508" t="s">
        <v>258</v>
      </c>
      <c r="AE508" t="b">
        <f t="shared" si="52"/>
        <v>1</v>
      </c>
      <c r="AF508" t="b">
        <f t="shared" si="53"/>
        <v>0</v>
      </c>
    </row>
    <row r="509" spans="1:32">
      <c r="A509" t="str">
        <f t="shared" si="51"/>
        <v>FinalEvalDecision</v>
      </c>
      <c r="E509" t="s">
        <v>259</v>
      </c>
      <c r="AE509" t="b">
        <f t="shared" si="52"/>
        <v>1</v>
      </c>
      <c r="AF509" t="b">
        <f t="shared" si="53"/>
        <v>0</v>
      </c>
    </row>
    <row r="510" spans="1:32">
      <c r="A510" t="str">
        <f t="shared" si="51"/>
        <v>EligibilityComments_Prelim</v>
      </c>
      <c r="E510" t="s">
        <v>260</v>
      </c>
      <c r="AE510" t="b">
        <f t="shared" si="52"/>
        <v>1</v>
      </c>
      <c r="AF510" t="b">
        <f t="shared" si="53"/>
        <v>0</v>
      </c>
    </row>
    <row r="511" spans="1:32">
      <c r="A511" t="str">
        <f t="shared" si="51"/>
        <v>EligibilityComments</v>
      </c>
      <c r="E511" t="s">
        <v>261</v>
      </c>
      <c r="AE511" t="b">
        <f t="shared" si="52"/>
        <v>1</v>
      </c>
      <c r="AF511" t="b">
        <f t="shared" si="53"/>
        <v>0</v>
      </c>
    </row>
    <row r="512" spans="1:32">
      <c r="A512" t="str">
        <f>E512</f>
        <v>HardToReach</v>
      </c>
      <c r="E512" t="s">
        <v>297</v>
      </c>
      <c r="AE512" t="b">
        <f t="shared" si="52"/>
        <v>1</v>
      </c>
      <c r="AF512" t="b">
        <f t="shared" si="53"/>
        <v>0</v>
      </c>
    </row>
    <row r="513" spans="1:32">
      <c r="A513" t="s">
        <v>1660</v>
      </c>
      <c r="Q513" t="str">
        <f t="shared" ref="Q513:R515" si="54">Q516</f>
        <v>domain</v>
      </c>
      <c r="R513" t="str">
        <f t="shared" si="54"/>
        <v>( ss_sampled_kwh ==True ) &amp; ( ProjectDropped ==False ) &amp; ( Frame_Electric == True )</v>
      </c>
      <c r="S513" t="str">
        <f>A368 &amp; " , " &amp; A66</f>
        <v>EvalExPostLifeCycleGrosskW , ExAnte_LifeCycleGross_NoRR_kW</v>
      </c>
      <c r="T513" t="s">
        <v>625</v>
      </c>
      <c r="U513" t="s">
        <v>627</v>
      </c>
      <c r="AE513" t="b">
        <f t="shared" si="52"/>
        <v>1</v>
      </c>
      <c r="AF513" t="b">
        <f t="shared" ref="AF513:AF516" si="55">AND(ISNUMBER(SEARCH("kw",_xlfn.CONCAT(O513:AD513))), ISNUMBER(SEARCH("thm",_xlfn.CONCAT(O513:AD513))))</f>
        <v>0</v>
      </c>
    </row>
    <row r="514" spans="1:32">
      <c r="A514" t="s">
        <v>1661</v>
      </c>
      <c r="Q514" t="str">
        <f t="shared" si="54"/>
        <v>domain</v>
      </c>
      <c r="R514" t="str">
        <f t="shared" si="54"/>
        <v>( ss_sampled_kwh ==True ) &amp; ( ProjectDropped ==False ) &amp; ( Frame_Electric == True )</v>
      </c>
      <c r="S514" t="str">
        <f>A369 &amp; " , " &amp; A67</f>
        <v>EvalExPostLifeCycleGrosskWh , ExAnte_LifeCycleGross_NoRR_kWh</v>
      </c>
      <c r="T514" t="s">
        <v>625</v>
      </c>
      <c r="U514" t="s">
        <v>627</v>
      </c>
      <c r="AE514" t="b">
        <f t="shared" si="52"/>
        <v>1</v>
      </c>
      <c r="AF514" t="b">
        <f t="shared" si="55"/>
        <v>0</v>
      </c>
    </row>
    <row r="515" spans="1:32">
      <c r="A515" t="s">
        <v>1662</v>
      </c>
      <c r="Q515" t="str">
        <f t="shared" si="54"/>
        <v>domain</v>
      </c>
      <c r="R515" t="str">
        <f t="shared" si="54"/>
        <v>( ss_sampled_thm ==True ) &amp; ( ProjectDropped ==False ) &amp; ( Frame_Gas == True )</v>
      </c>
      <c r="S515" t="str">
        <f>A370 &amp; " , " &amp; A68</f>
        <v>EvalExPostLifeCycleGrossTherm , ExAnte_LifeCycleGross_NoRR_thm</v>
      </c>
      <c r="T515" t="s">
        <v>625</v>
      </c>
      <c r="U515" t="s">
        <v>627</v>
      </c>
      <c r="AE515" t="b">
        <f t="shared" si="52"/>
        <v>1</v>
      </c>
      <c r="AF515" t="b">
        <f t="shared" si="55"/>
        <v>0</v>
      </c>
    </row>
    <row r="516" spans="1:32">
      <c r="A516" t="s">
        <v>1663</v>
      </c>
      <c r="Q516" t="str">
        <f>$A$155</f>
        <v>domain</v>
      </c>
      <c r="R516" t="str">
        <f>R261</f>
        <v>( ss_sampled_kwh ==True ) &amp; ( ProjectDropped ==False ) &amp; ( Frame_Electric == True )</v>
      </c>
      <c r="S516" t="str">
        <f>A362 &amp; " , " &amp; A75</f>
        <v>EvalExPostAnnualizedGrosskW , ExAnte_Annualized_kW</v>
      </c>
      <c r="T516" t="s">
        <v>625</v>
      </c>
      <c r="U516" t="s">
        <v>627</v>
      </c>
      <c r="AE516" t="b">
        <f t="shared" si="52"/>
        <v>1</v>
      </c>
      <c r="AF516" t="b">
        <f t="shared" si="55"/>
        <v>0</v>
      </c>
    </row>
    <row r="517" spans="1:32">
      <c r="A517" t="s">
        <v>1664</v>
      </c>
      <c r="Q517" t="str">
        <f>$A$155</f>
        <v>domain</v>
      </c>
      <c r="R517" t="str">
        <f>R516</f>
        <v>( ss_sampled_kwh ==True ) &amp; ( ProjectDropped ==False ) &amp; ( Frame_Electric == True )</v>
      </c>
      <c r="S517" t="str">
        <f>A363 &amp; " , " &amp; A76</f>
        <v>EvalExPostAnnualizedGrosskWh , ExAnte_Annualized_kWh</v>
      </c>
      <c r="T517" t="s">
        <v>625</v>
      </c>
      <c r="U517" t="s">
        <v>627</v>
      </c>
      <c r="AE517" t="b">
        <f t="shared" si="52"/>
        <v>1</v>
      </c>
      <c r="AF517" t="b">
        <f t="shared" si="53"/>
        <v>0</v>
      </c>
    </row>
    <row r="518" spans="1:32">
      <c r="A518" t="s">
        <v>1665</v>
      </c>
      <c r="Q518" t="str">
        <f>$A$155</f>
        <v>domain</v>
      </c>
      <c r="R518" t="str">
        <f>R262</f>
        <v>( ss_sampled_thm ==True ) &amp; ( ProjectDropped ==False ) &amp; ( Frame_Gas == True )</v>
      </c>
      <c r="S518" t="str">
        <f>A364 &amp; " , " &amp; A77</f>
        <v>EvalExPostAnnualizedGrossTherm , ExAnte_Annualized_thm</v>
      </c>
      <c r="T518" t="s">
        <v>625</v>
      </c>
      <c r="U518" t="s">
        <v>627</v>
      </c>
      <c r="AE518" t="b">
        <f t="shared" si="52"/>
        <v>1</v>
      </c>
      <c r="AF518" t="b">
        <f t="shared" si="53"/>
        <v>0</v>
      </c>
    </row>
    <row r="519" spans="1:32">
      <c r="A519" t="s">
        <v>2476</v>
      </c>
      <c r="Y519" t="str">
        <f t="shared" ref="Y519:Y524" si="56">$A$93 &amp; " =='ER', ( " &amp; A66 &amp;  " ), np.nan"</f>
        <v>MeasAppType =='ER', ( ExAnte_LifeCycleGross_NoRR_kW ), np.nan</v>
      </c>
      <c r="AE519" t="b">
        <f t="shared" ref="AE519:AE522" si="57">IF(NOT(ISBLANK(A519)), LEN(_xlfn.CONCAT(C519:AC519))&gt;0, "")</f>
        <v>1</v>
      </c>
      <c r="AF519" t="b">
        <f t="shared" ref="AF519:AF522" si="58">AND(ISNUMBER(SEARCH("kw",_xlfn.CONCAT(O519:AD519))), ISNUMBER(SEARCH("thm",_xlfn.CONCAT(O519:AD519))))</f>
        <v>0</v>
      </c>
    </row>
    <row r="520" spans="1:32">
      <c r="A520" t="s">
        <v>1891</v>
      </c>
      <c r="Y520" t="str">
        <f t="shared" si="56"/>
        <v>MeasAppType =='ER', ( ExAnte_LifeCycleGross_NoRR_kWh ), np.nan</v>
      </c>
      <c r="AE520" t="b">
        <f t="shared" si="57"/>
        <v>1</v>
      </c>
      <c r="AF520" t="b">
        <f t="shared" si="58"/>
        <v>0</v>
      </c>
    </row>
    <row r="521" spans="1:32">
      <c r="A521" t="s">
        <v>2477</v>
      </c>
      <c r="Y521" t="str">
        <f t="shared" si="56"/>
        <v>MeasAppType =='ER', ( ExAnte_LifeCycleGross_NoRR_thm ), np.nan</v>
      </c>
      <c r="AE521" t="b">
        <f t="shared" si="57"/>
        <v>1</v>
      </c>
      <c r="AF521" t="b">
        <f t="shared" si="58"/>
        <v>0</v>
      </c>
    </row>
    <row r="522" spans="1:32">
      <c r="A522" t="s">
        <v>2383</v>
      </c>
      <c r="Y522" t="str">
        <f t="shared" si="56"/>
        <v>MeasAppType =='ER', ( ExAnte_LifeCycleNet_NoRR_kW ), np.nan</v>
      </c>
      <c r="AE522" t="b">
        <f t="shared" si="57"/>
        <v>1</v>
      </c>
      <c r="AF522" t="b">
        <f t="shared" si="58"/>
        <v>0</v>
      </c>
    </row>
    <row r="523" spans="1:32">
      <c r="A523" t="s">
        <v>2384</v>
      </c>
      <c r="Y523" t="str">
        <f t="shared" si="56"/>
        <v>MeasAppType =='ER', ( ExAnte_LifeCycleNet_NoRR_kWh ), np.nan</v>
      </c>
      <c r="AE523" t="b">
        <f t="shared" ref="AE523:AE524" si="59">IF(NOT(ISBLANK(A523)), LEN(_xlfn.CONCAT(C523:AC523))&gt;0, "")</f>
        <v>1</v>
      </c>
      <c r="AF523" t="b">
        <f t="shared" ref="AF523:AF524" si="60">AND(ISNUMBER(SEARCH("kw",_xlfn.CONCAT(O523:AD523))), ISNUMBER(SEARCH("thm",_xlfn.CONCAT(O523:AD523))))</f>
        <v>0</v>
      </c>
    </row>
    <row r="524" spans="1:32">
      <c r="A524" t="s">
        <v>2385</v>
      </c>
      <c r="Y524" t="str">
        <f t="shared" si="56"/>
        <v>MeasAppType =='ER', ( ExAnte_LifeCycleNet_NoRR_thm ), np.nan</v>
      </c>
      <c r="AE524" t="b">
        <f t="shared" si="59"/>
        <v>1</v>
      </c>
      <c r="AF524" t="b">
        <f t="shared" si="60"/>
        <v>0</v>
      </c>
    </row>
    <row r="525" spans="1:32">
      <c r="A525" t="s">
        <v>2428</v>
      </c>
      <c r="Y525" t="str">
        <f>$A$93 &amp; " =='ER', ( " &amp; A75 &amp;  " ), np.nan"</f>
        <v>MeasAppType =='ER', ( ExAnte_Annualized_kW ), np.nan</v>
      </c>
      <c r="AE525" t="b">
        <f t="shared" ref="AE525:AE572" si="61">IF(NOT(ISBLANK(A525)), LEN(_xlfn.CONCAT(C525:AC525))&gt;0, "")</f>
        <v>1</v>
      </c>
      <c r="AF525" t="b">
        <f t="shared" ref="AF525:AF572" si="62">AND(ISNUMBER(SEARCH("kw",_xlfn.CONCAT(O525:AD525))), ISNUMBER(SEARCH("thm",_xlfn.CONCAT(O525:AD525))))</f>
        <v>0</v>
      </c>
    </row>
    <row r="526" spans="1:32">
      <c r="A526" t="s">
        <v>2429</v>
      </c>
      <c r="Y526" t="str">
        <f>$A$93 &amp; " =='ER', ( " &amp; A76 &amp;  " ), np.nan"</f>
        <v>MeasAppType =='ER', ( ExAnte_Annualized_kWh ), np.nan</v>
      </c>
      <c r="AE526" t="b">
        <f t="shared" si="61"/>
        <v>1</v>
      </c>
      <c r="AF526" t="b">
        <f t="shared" si="62"/>
        <v>0</v>
      </c>
    </row>
    <row r="527" spans="1:32">
      <c r="A527" t="s">
        <v>2430</v>
      </c>
      <c r="Y527" t="str">
        <f>$A$93 &amp; " =='ER', ( " &amp; A77 &amp;  " ), np.nan"</f>
        <v>MeasAppType =='ER', ( ExAnte_Annualized_thm ), np.nan</v>
      </c>
      <c r="AE527" t="b">
        <f t="shared" si="61"/>
        <v>1</v>
      </c>
      <c r="AF527" t="b">
        <f t="shared" si="62"/>
        <v>0</v>
      </c>
    </row>
    <row r="528" spans="1:32">
      <c r="A528" t="s">
        <v>2368</v>
      </c>
      <c r="Y528" t="str">
        <f>$A$200 &amp; " =='AR', ( " &amp; A278 &amp;  " ), np.nan"</f>
        <v>EvalMeasAppType =='AR', ( ss_ExPostLifecycleGrosskW ), np.nan</v>
      </c>
      <c r="AE528" t="b">
        <f t="shared" si="61"/>
        <v>1</v>
      </c>
      <c r="AF528" t="b">
        <f t="shared" si="62"/>
        <v>0</v>
      </c>
    </row>
    <row r="529" spans="1:32">
      <c r="A529" t="s">
        <v>2369</v>
      </c>
      <c r="Y529" t="str">
        <f>$A$200 &amp; " =='AR', ( " &amp; A279 &amp;  " ), np.nan"</f>
        <v>EvalMeasAppType =='AR', ( ss_ExPostLifecycleGrosskWh ), np.nan</v>
      </c>
      <c r="AE529" t="b">
        <f t="shared" si="61"/>
        <v>1</v>
      </c>
      <c r="AF529" t="b">
        <f t="shared" si="62"/>
        <v>0</v>
      </c>
    </row>
    <row r="530" spans="1:32">
      <c r="A530" t="s">
        <v>2370</v>
      </c>
      <c r="Y530" t="str">
        <f>$A$200 &amp; " =='AR', ( " &amp; A280 &amp;  " ), np.nan"</f>
        <v>EvalMeasAppType =='AR', ( ss_ExPostLifecycleGrossthm ), np.nan</v>
      </c>
      <c r="AE530" t="b">
        <f t="shared" si="61"/>
        <v>1</v>
      </c>
      <c r="AF530" t="b">
        <f t="shared" si="62"/>
        <v>0</v>
      </c>
    </row>
    <row r="531" spans="1:32">
      <c r="A531" t="s">
        <v>2437</v>
      </c>
      <c r="Y531" t="str">
        <f>$A$200 &amp; " =='AR', ( " &amp; A335 &amp;  " ), np.nan"</f>
        <v>EvalMeasAppType =='AR', ( ss_annual_gross_kw ), np.nan</v>
      </c>
      <c r="AE531" t="b">
        <f t="shared" ref="AE531:AE551" si="63">IF(NOT(ISBLANK(A531)), LEN(_xlfn.CONCAT(C531:AC531))&gt;0, "")</f>
        <v>1</v>
      </c>
      <c r="AF531" t="b">
        <f t="shared" ref="AF531:AF551" si="64">AND(ISNUMBER(SEARCH("kw",_xlfn.CONCAT(O531:AD531))), ISNUMBER(SEARCH("thm",_xlfn.CONCAT(O531:AD531))))</f>
        <v>0</v>
      </c>
    </row>
    <row r="532" spans="1:32">
      <c r="A532" t="s">
        <v>2438</v>
      </c>
      <c r="Y532" t="str">
        <f>$A$200 &amp; " =='AR', ( " &amp; A336 &amp;  " ), np.nan"</f>
        <v>EvalMeasAppType =='AR', ( ss_annual_gross_kwh ), np.nan</v>
      </c>
      <c r="AE532" t="b">
        <f t="shared" si="63"/>
        <v>1</v>
      </c>
      <c r="AF532" t="b">
        <f t="shared" si="64"/>
        <v>0</v>
      </c>
    </row>
    <row r="533" spans="1:32">
      <c r="A533" t="s">
        <v>2439</v>
      </c>
      <c r="Y533" t="str">
        <f>$A$200 &amp; " =='AR', ( " &amp; A337 &amp;  " ), np.nan"</f>
        <v>EvalMeasAppType =='AR', ( ss_annual_gross_thm ), np.nan</v>
      </c>
      <c r="AE533" t="b">
        <f t="shared" si="63"/>
        <v>1</v>
      </c>
      <c r="AF533" t="b">
        <f t="shared" si="64"/>
        <v>0</v>
      </c>
    </row>
    <row r="534" spans="1:32">
      <c r="A534" t="s">
        <v>2371</v>
      </c>
      <c r="P534" t="str">
        <f>A528 &amp; " * " &amp; $A$247</f>
        <v>ss_AR_ExPost_LifeCycleGross_NoRR_kw * subsample_weight_kwh</v>
      </c>
      <c r="AE534" t="b">
        <f t="shared" si="63"/>
        <v>1</v>
      </c>
      <c r="AF534" t="b">
        <f t="shared" si="64"/>
        <v>0</v>
      </c>
    </row>
    <row r="535" spans="1:32">
      <c r="A535" t="s">
        <v>2372</v>
      </c>
      <c r="P535" t="str">
        <f>A529 &amp; " * " &amp; $A$247</f>
        <v>ss_AR_ExPost_LifeCycleGross_NoRR_kwh * subsample_weight_kwh</v>
      </c>
      <c r="AE535" t="b">
        <f t="shared" si="63"/>
        <v>1</v>
      </c>
      <c r="AF535" t="b">
        <f t="shared" si="64"/>
        <v>0</v>
      </c>
    </row>
    <row r="536" spans="1:32">
      <c r="A536" t="s">
        <v>2373</v>
      </c>
      <c r="P536" t="str">
        <f>A530 &amp; " * " &amp; $A$248</f>
        <v>ss_AR_ExPost_LifeCycleGross_NoRR_thm * subsample_weight_thm</v>
      </c>
      <c r="AE536" t="b">
        <f t="shared" si="63"/>
        <v>1</v>
      </c>
      <c r="AF536" t="b">
        <f t="shared" si="64"/>
        <v>0</v>
      </c>
    </row>
    <row r="537" spans="1:32">
      <c r="A537" t="s">
        <v>2440</v>
      </c>
      <c r="P537" t="str">
        <f>A531 &amp; " * " &amp; $A$247</f>
        <v>ss_AR_ExPost_AnnualizedGross_NoRR_kw * subsample_weight_kwh</v>
      </c>
      <c r="AE537" t="b">
        <f t="shared" si="63"/>
        <v>1</v>
      </c>
      <c r="AF537" t="b">
        <f t="shared" si="64"/>
        <v>0</v>
      </c>
    </row>
    <row r="538" spans="1:32">
      <c r="A538" t="s">
        <v>2441</v>
      </c>
      <c r="P538" t="str">
        <f>A532 &amp; " * " &amp; $A$247</f>
        <v>ss_AR_ExPost_AnnualizedGross_NoRR_kwh * subsample_weight_kwh</v>
      </c>
      <c r="AE538" t="b">
        <f t="shared" si="63"/>
        <v>1</v>
      </c>
      <c r="AF538" t="b">
        <f t="shared" si="64"/>
        <v>0</v>
      </c>
    </row>
    <row r="539" spans="1:32">
      <c r="A539" t="s">
        <v>2442</v>
      </c>
      <c r="P539" t="str">
        <f>A533 &amp; " * " &amp; $A$248</f>
        <v>ss_AR_ExPost_AnnualizedGross_NoRR_thm * subsample_weight_thm</v>
      </c>
      <c r="AE539" t="b">
        <f t="shared" si="63"/>
        <v>1</v>
      </c>
      <c r="AF539" t="b">
        <f t="shared" si="64"/>
        <v>0</v>
      </c>
    </row>
    <row r="540" spans="1:32">
      <c r="A540" t="s">
        <v>2421</v>
      </c>
      <c r="Q540" t="str">
        <f t="shared" ref="Q540:Q560" si="65">$A$165</f>
        <v>SampleID</v>
      </c>
      <c r="R540" t="str">
        <f>"( " &amp; $A$158 &amp; " =='Y' ) &amp; ( " &amp; $A$173 &amp; " ==False ) &amp; ( " &amp; $A$210 &amp; " == True )"</f>
        <v>( sampled_kWh =='Y' ) &amp; ( ProjectDropped ==False ) &amp; ( Frame_Electric == True )</v>
      </c>
      <c r="S540" t="str">
        <f t="shared" ref="S540:S545" si="66">A534</f>
        <v>str_wtd_AR_ExPost_LifeCycleGross_NoRR_kw</v>
      </c>
      <c r="T540" s="3" t="s">
        <v>629</v>
      </c>
      <c r="AE540" t="b">
        <f t="shared" si="63"/>
        <v>1</v>
      </c>
      <c r="AF540" t="b">
        <f t="shared" si="64"/>
        <v>0</v>
      </c>
    </row>
    <row r="541" spans="1:32">
      <c r="A541" t="s">
        <v>2422</v>
      </c>
      <c r="Q541" t="str">
        <f t="shared" si="65"/>
        <v>SampleID</v>
      </c>
      <c r="R541" t="str">
        <f>R540</f>
        <v>( sampled_kWh =='Y' ) &amp; ( ProjectDropped ==False ) &amp; ( Frame_Electric == True )</v>
      </c>
      <c r="S541" t="str">
        <f t="shared" si="66"/>
        <v>str_wtd_AR_ExPost_LifeCycleGross_NoRR_kwh</v>
      </c>
      <c r="T541" s="3" t="s">
        <v>629</v>
      </c>
      <c r="AE541" t="b">
        <f t="shared" si="63"/>
        <v>1</v>
      </c>
      <c r="AF541" t="b">
        <f t="shared" si="64"/>
        <v>0</v>
      </c>
    </row>
    <row r="542" spans="1:32">
      <c r="A542" t="s">
        <v>2423</v>
      </c>
      <c r="Q542" t="str">
        <f t="shared" si="65"/>
        <v>SampleID</v>
      </c>
      <c r="R542" t="str">
        <f>"( " &amp; $A$159 &amp; " =='Y' ) &amp; ( " &amp; $A$173 &amp; " ==False ) &amp; ( " &amp; $A$211&amp; " == True )"</f>
        <v>( sampled_thm =='Y' ) &amp; ( ProjectDropped ==False ) &amp; ( Frame_Gas == True )</v>
      </c>
      <c r="S542" t="str">
        <f t="shared" si="66"/>
        <v>str_wtd_AR_ExPost_LifeCycleGross_NoRR_thm</v>
      </c>
      <c r="T542" s="3" t="s">
        <v>629</v>
      </c>
      <c r="AE542" t="b">
        <f t="shared" si="63"/>
        <v>1</v>
      </c>
      <c r="AF542" t="b">
        <f t="shared" si="64"/>
        <v>0</v>
      </c>
    </row>
    <row r="543" spans="1:32">
      <c r="A543" t="s">
        <v>2443</v>
      </c>
      <c r="Q543" t="str">
        <f t="shared" si="65"/>
        <v>SampleID</v>
      </c>
      <c r="R543" t="str">
        <f>"( " &amp; $A$158 &amp; " =='Y' ) &amp; ( " &amp; $A$173 &amp; " ==False ) &amp; ( " &amp; $A$210 &amp; " == True )"</f>
        <v>( sampled_kWh =='Y' ) &amp; ( ProjectDropped ==False ) &amp; ( Frame_Electric == True )</v>
      </c>
      <c r="S543" t="str">
        <f t="shared" si="66"/>
        <v>str_wtd_AR_ExPost_AnnualizedGross_NoRR_kw</v>
      </c>
      <c r="T543" s="3" t="s">
        <v>629</v>
      </c>
      <c r="AE543" t="b">
        <f t="shared" si="63"/>
        <v>1</v>
      </c>
      <c r="AF543" t="b">
        <f t="shared" si="64"/>
        <v>0</v>
      </c>
    </row>
    <row r="544" spans="1:32">
      <c r="A544" t="s">
        <v>2444</v>
      </c>
      <c r="Q544" t="str">
        <f t="shared" si="65"/>
        <v>SampleID</v>
      </c>
      <c r="R544" t="str">
        <f>R543</f>
        <v>( sampled_kWh =='Y' ) &amp; ( ProjectDropped ==False ) &amp; ( Frame_Electric == True )</v>
      </c>
      <c r="S544" t="str">
        <f t="shared" si="66"/>
        <v>str_wtd_AR_ExPost_AnnualizedGross_NoRR_kwh</v>
      </c>
      <c r="T544" s="3" t="s">
        <v>629</v>
      </c>
      <c r="AE544" t="b">
        <f t="shared" si="63"/>
        <v>1</v>
      </c>
      <c r="AF544" t="b">
        <f t="shared" si="64"/>
        <v>0</v>
      </c>
    </row>
    <row r="545" spans="1:32">
      <c r="A545" t="s">
        <v>2445</v>
      </c>
      <c r="Q545" t="str">
        <f t="shared" si="65"/>
        <v>SampleID</v>
      </c>
      <c r="R545" t="str">
        <f>"( " &amp; $A$159 &amp; " =='Y' ) &amp; ( " &amp; $A$173 &amp; " ==False ) &amp; ( " &amp; $A$211&amp; " == True )"</f>
        <v>( sampled_thm =='Y' ) &amp; ( ProjectDropped ==False ) &amp; ( Frame_Gas == True )</v>
      </c>
      <c r="S545" t="str">
        <f t="shared" si="66"/>
        <v>str_wtd_AR_ExPost_AnnualizedGross_NoRR_thm</v>
      </c>
      <c r="T545" s="3" t="s">
        <v>629</v>
      </c>
      <c r="AE545" t="b">
        <f t="shared" si="63"/>
        <v>1</v>
      </c>
      <c r="AF545" t="b">
        <f t="shared" si="64"/>
        <v>0</v>
      </c>
    </row>
    <row r="546" spans="1:32">
      <c r="A546" t="s">
        <v>2374</v>
      </c>
      <c r="T546" s="3"/>
      <c r="Y546" t="str">
        <f t="shared" ref="Y546:Y551" si="67">A540 &amp; " ==0, np.nan, ( " &amp; A540 &amp; " )"</f>
        <v>Proj_AR_ExPost_LifeCycleGross_NoRR_kw_raw ==0, np.nan, ( Proj_AR_ExPost_LifeCycleGross_NoRR_kw_raw )</v>
      </c>
      <c r="AE546" t="b">
        <f t="shared" si="63"/>
        <v>1</v>
      </c>
      <c r="AF546" t="b">
        <f t="shared" si="64"/>
        <v>0</v>
      </c>
    </row>
    <row r="547" spans="1:32">
      <c r="A547" t="s">
        <v>2375</v>
      </c>
      <c r="T547" s="3"/>
      <c r="Y547" t="str">
        <f t="shared" si="67"/>
        <v>Proj_AR_ExPost_LifeCycleGross_NoRR_kwh_raw ==0, np.nan, ( Proj_AR_ExPost_LifeCycleGross_NoRR_kwh_raw )</v>
      </c>
      <c r="AE547" t="b">
        <f t="shared" si="63"/>
        <v>1</v>
      </c>
      <c r="AF547" t="b">
        <f t="shared" si="64"/>
        <v>0</v>
      </c>
    </row>
    <row r="548" spans="1:32">
      <c r="A548" t="s">
        <v>2376</v>
      </c>
      <c r="T548" s="3"/>
      <c r="Y548" t="str">
        <f t="shared" si="67"/>
        <v>Proj_AR_ExPost_LifeCycleGross_NoRR_thm_raw ==0, np.nan, ( Proj_AR_ExPost_LifeCycleGross_NoRR_thm_raw )</v>
      </c>
      <c r="AE548" t="b">
        <f t="shared" si="63"/>
        <v>1</v>
      </c>
      <c r="AF548" t="b">
        <f t="shared" si="64"/>
        <v>0</v>
      </c>
    </row>
    <row r="549" spans="1:32">
      <c r="A549" t="s">
        <v>2446</v>
      </c>
      <c r="T549" s="3"/>
      <c r="Y549" t="str">
        <f t="shared" si="67"/>
        <v>Proj_AR_ExPost_AnnualizedGross_NoRR_kw_raw ==0, np.nan, ( Proj_AR_ExPost_AnnualizedGross_NoRR_kw_raw )</v>
      </c>
      <c r="AE549" t="b">
        <f t="shared" si="63"/>
        <v>1</v>
      </c>
      <c r="AF549" t="b">
        <f t="shared" si="64"/>
        <v>0</v>
      </c>
    </row>
    <row r="550" spans="1:32">
      <c r="A550" t="s">
        <v>2447</v>
      </c>
      <c r="T550" s="3"/>
      <c r="Y550" t="str">
        <f t="shared" si="67"/>
        <v>Proj_AR_ExPost_AnnualizedGross_NoRR_kwh_raw ==0, np.nan, ( Proj_AR_ExPost_AnnualizedGross_NoRR_kwh_raw )</v>
      </c>
      <c r="AE550" t="b">
        <f t="shared" si="63"/>
        <v>1</v>
      </c>
      <c r="AF550" t="b">
        <f t="shared" si="64"/>
        <v>0</v>
      </c>
    </row>
    <row r="551" spans="1:32">
      <c r="A551" t="s">
        <v>2448</v>
      </c>
      <c r="T551" s="3"/>
      <c r="Y551" t="str">
        <f t="shared" si="67"/>
        <v>Proj_AR_ExPost_AnnualizedGross_NoRR_thm_raw ==0, np.nan, ( Proj_AR_ExPost_AnnualizedGross_NoRR_thm_raw )</v>
      </c>
      <c r="AE551" t="b">
        <f t="shared" si="63"/>
        <v>1</v>
      </c>
      <c r="AF551" t="b">
        <f t="shared" si="64"/>
        <v>0</v>
      </c>
    </row>
    <row r="552" spans="1:32">
      <c r="A552" t="s">
        <v>2478</v>
      </c>
      <c r="Q552" t="str">
        <f t="shared" si="65"/>
        <v>SampleID</v>
      </c>
      <c r="R552" t="str">
        <f>"( " &amp; $A$158 &amp; " =='Y' ) &amp; ( " &amp; $A$173 &amp; " ==False ) &amp; ( " &amp; $A$210 &amp; " == True )"</f>
        <v>( sampled_kWh =='Y' ) &amp; ( ProjectDropped ==False ) &amp; ( Frame_Electric == True )</v>
      </c>
      <c r="S552" t="str">
        <f t="shared" ref="S552:S560" si="68">A519</f>
        <v>Claim_AR_ExAnte_LifeCycleGross_NoRR_kw</v>
      </c>
      <c r="T552" s="3" t="s">
        <v>629</v>
      </c>
      <c r="AE552" t="b">
        <f t="shared" ref="AE552:AE566" si="69">IF(NOT(ISBLANK(A552)), LEN(_xlfn.CONCAT(C552:AC552))&gt;0, "")</f>
        <v>1</v>
      </c>
      <c r="AF552" t="b">
        <f t="shared" ref="AF552:AF566" si="70">AND(ISNUMBER(SEARCH("kw",_xlfn.CONCAT(O552:AD552))), ISNUMBER(SEARCH("thm",_xlfn.CONCAT(O552:AD552))))</f>
        <v>0</v>
      </c>
    </row>
    <row r="553" spans="1:32">
      <c r="A553" t="s">
        <v>2479</v>
      </c>
      <c r="Q553" t="str">
        <f t="shared" si="65"/>
        <v>SampleID</v>
      </c>
      <c r="R553" t="str">
        <f>R552</f>
        <v>( sampled_kWh =='Y' ) &amp; ( ProjectDropped ==False ) &amp; ( Frame_Electric == True )</v>
      </c>
      <c r="S553" t="str">
        <f t="shared" si="68"/>
        <v>Claim_AR_ExAnte_LifeCycleGross_NoRR_kwh</v>
      </c>
      <c r="T553" s="3" t="s">
        <v>629</v>
      </c>
      <c r="AE553" t="b">
        <f t="shared" si="69"/>
        <v>1</v>
      </c>
      <c r="AF553" t="b">
        <f t="shared" si="70"/>
        <v>0</v>
      </c>
    </row>
    <row r="554" spans="1:32">
      <c r="A554" t="s">
        <v>2480</v>
      </c>
      <c r="Q554" t="str">
        <f t="shared" si="65"/>
        <v>SampleID</v>
      </c>
      <c r="R554" t="str">
        <f>"( " &amp; $A$159 &amp; " =='Y' ) &amp; ( " &amp; $A$173 &amp; " ==False ) &amp; ( " &amp; $A$211&amp; " == True )"</f>
        <v>( sampled_thm =='Y' ) &amp; ( ProjectDropped ==False ) &amp; ( Frame_Gas == True )</v>
      </c>
      <c r="S554" t="str">
        <f t="shared" si="68"/>
        <v>Claim_AR_ExAnte_LifeCycleGross_NoRR_thm</v>
      </c>
      <c r="T554" s="3" t="s">
        <v>629</v>
      </c>
      <c r="AE554" t="b">
        <f t="shared" si="69"/>
        <v>1</v>
      </c>
      <c r="AF554" t="b">
        <f t="shared" si="70"/>
        <v>0</v>
      </c>
    </row>
    <row r="555" spans="1:32">
      <c r="A555" t="s">
        <v>2424</v>
      </c>
      <c r="Q555" t="str">
        <f t="shared" si="65"/>
        <v>SampleID</v>
      </c>
      <c r="R555" t="str">
        <f>"( " &amp; $A$158 &amp; " =='Y' ) &amp; ( " &amp; $A$173 &amp; " ==False ) &amp; ( " &amp; $A$210 &amp; " == True )"</f>
        <v>( sampled_kWh =='Y' ) &amp; ( ProjectDropped ==False ) &amp; ( Frame_Electric == True )</v>
      </c>
      <c r="S555" t="str">
        <f t="shared" si="68"/>
        <v>Claim_AR_ExAnte_LifeCycleNet_NoRR_kw</v>
      </c>
      <c r="T555" s="3" t="s">
        <v>629</v>
      </c>
      <c r="AE555" t="b">
        <f t="shared" si="69"/>
        <v>1</v>
      </c>
      <c r="AF555" t="b">
        <f t="shared" si="70"/>
        <v>0</v>
      </c>
    </row>
    <row r="556" spans="1:32">
      <c r="A556" t="s">
        <v>2425</v>
      </c>
      <c r="Q556" t="str">
        <f t="shared" si="65"/>
        <v>SampleID</v>
      </c>
      <c r="R556" t="str">
        <f>R555</f>
        <v>( sampled_kWh =='Y' ) &amp; ( ProjectDropped ==False ) &amp; ( Frame_Electric == True )</v>
      </c>
      <c r="S556" t="str">
        <f t="shared" si="68"/>
        <v>Claim_AR_ExAnte_LifeCyclenet_NoRR_kwh</v>
      </c>
      <c r="T556" s="3" t="s">
        <v>629</v>
      </c>
      <c r="AE556" t="b">
        <f t="shared" si="69"/>
        <v>1</v>
      </c>
      <c r="AF556" t="b">
        <f t="shared" si="70"/>
        <v>0</v>
      </c>
    </row>
    <row r="557" spans="1:32">
      <c r="A557" t="s">
        <v>2426</v>
      </c>
      <c r="Q557" t="str">
        <f t="shared" si="65"/>
        <v>SampleID</v>
      </c>
      <c r="R557" t="str">
        <f>"( " &amp; $A$159 &amp; " =='Y' ) &amp; ( " &amp; $A$173 &amp; " ==False ) &amp; ( " &amp; $A$211&amp; " == True )"</f>
        <v>( sampled_thm =='Y' ) &amp; ( ProjectDropped ==False ) &amp; ( Frame_Gas == True )</v>
      </c>
      <c r="S557" t="str">
        <f t="shared" si="68"/>
        <v>Claim_AR_ExAnte_LifeCyclenet_NoRR_thm</v>
      </c>
      <c r="T557" s="3" t="s">
        <v>629</v>
      </c>
      <c r="AE557" t="b">
        <f t="shared" si="69"/>
        <v>1</v>
      </c>
      <c r="AF557" t="b">
        <f t="shared" si="70"/>
        <v>0</v>
      </c>
    </row>
    <row r="558" spans="1:32">
      <c r="A558" t="s">
        <v>2431</v>
      </c>
      <c r="Q558" t="str">
        <f t="shared" si="65"/>
        <v>SampleID</v>
      </c>
      <c r="R558" t="str">
        <f>"( " &amp; $A$158 &amp; " =='Y' ) &amp; ( " &amp; $A$173 &amp; " ==False ) &amp; ( " &amp; $A$210 &amp; " == True )"</f>
        <v>( sampled_kWh =='Y' ) &amp; ( ProjectDropped ==False ) &amp; ( Frame_Electric == True )</v>
      </c>
      <c r="S558" t="str">
        <f t="shared" si="68"/>
        <v>Claim_AR_ExAnte_AnnualizedNet_NoRR_kw</v>
      </c>
      <c r="T558" s="3" t="s">
        <v>629</v>
      </c>
      <c r="AE558" t="b">
        <f t="shared" si="69"/>
        <v>1</v>
      </c>
      <c r="AF558" t="b">
        <f t="shared" si="70"/>
        <v>0</v>
      </c>
    </row>
    <row r="559" spans="1:32">
      <c r="A559" t="s">
        <v>2432</v>
      </c>
      <c r="Q559" t="str">
        <f t="shared" si="65"/>
        <v>SampleID</v>
      </c>
      <c r="R559" t="str">
        <f>R558</f>
        <v>( sampled_kWh =='Y' ) &amp; ( ProjectDropped ==False ) &amp; ( Frame_Electric == True )</v>
      </c>
      <c r="S559" t="str">
        <f t="shared" si="68"/>
        <v>Claim_AR_ExAnte_Annualizednet_NoRR_kwh</v>
      </c>
      <c r="T559" s="3" t="s">
        <v>629</v>
      </c>
      <c r="AE559" t="b">
        <f t="shared" si="69"/>
        <v>1</v>
      </c>
      <c r="AF559" t="b">
        <f t="shared" si="70"/>
        <v>0</v>
      </c>
    </row>
    <row r="560" spans="1:32">
      <c r="A560" t="s">
        <v>2433</v>
      </c>
      <c r="Q560" t="str">
        <f t="shared" si="65"/>
        <v>SampleID</v>
      </c>
      <c r="R560" t="str">
        <f>"( " &amp; $A$159 &amp; " =='Y' ) &amp; ( " &amp; $A$173 &amp; " ==False ) &amp; ( " &amp; $A$211&amp; " == True )"</f>
        <v>( sampled_thm =='Y' ) &amp; ( ProjectDropped ==False ) &amp; ( Frame_Gas == True )</v>
      </c>
      <c r="S560" t="str">
        <f t="shared" si="68"/>
        <v>Claim_AR_ExAnte_Annualizednet_NoRR_thm</v>
      </c>
      <c r="T560" s="3" t="s">
        <v>629</v>
      </c>
      <c r="AE560" t="b">
        <f t="shared" si="69"/>
        <v>1</v>
      </c>
      <c r="AF560" t="b">
        <f t="shared" si="70"/>
        <v>0</v>
      </c>
    </row>
    <row r="561" spans="1:32">
      <c r="A561" t="s">
        <v>2481</v>
      </c>
      <c r="T561" s="3"/>
      <c r="Y561" t="str">
        <f t="shared" ref="Y561:Y569" si="71">A552 &amp; " ==0, np.nan, ( " &amp; A552 &amp; " )"</f>
        <v>Proj_AR_ExAnte_LifeCycleGross_NoRR_kw_raw ==0, np.nan, ( Proj_AR_ExAnte_LifeCycleGross_NoRR_kw_raw )</v>
      </c>
      <c r="AE561" t="b">
        <f t="shared" si="69"/>
        <v>1</v>
      </c>
      <c r="AF561" t="b">
        <f t="shared" si="70"/>
        <v>0</v>
      </c>
    </row>
    <row r="562" spans="1:32">
      <c r="A562" t="s">
        <v>2482</v>
      </c>
      <c r="T562" s="3"/>
      <c r="Y562" t="str">
        <f t="shared" si="71"/>
        <v>Proj_AR_ExAnte_LifeCycleGross_NoRR_kwh_raw ==0, np.nan, ( Proj_AR_ExAnte_LifeCycleGross_NoRR_kwh_raw )</v>
      </c>
      <c r="AE562" t="b">
        <f t="shared" si="69"/>
        <v>1</v>
      </c>
      <c r="AF562" t="b">
        <f t="shared" si="70"/>
        <v>0</v>
      </c>
    </row>
    <row r="563" spans="1:32">
      <c r="A563" t="s">
        <v>2483</v>
      </c>
      <c r="T563" s="3"/>
      <c r="Y563" t="str">
        <f t="shared" si="71"/>
        <v>Proj_AR_ExAnte_LifeCycleGross_NoRR_thm_raw ==0, np.nan, ( Proj_AR_ExAnte_LifeCycleGross_NoRR_thm_raw )</v>
      </c>
      <c r="AE563" t="b">
        <f t="shared" si="69"/>
        <v>1</v>
      </c>
      <c r="AF563" t="b">
        <f t="shared" si="70"/>
        <v>0</v>
      </c>
    </row>
    <row r="564" spans="1:32">
      <c r="A564" t="s">
        <v>2386</v>
      </c>
      <c r="T564" s="3"/>
      <c r="Y564" t="str">
        <f t="shared" si="71"/>
        <v>Proj_AR_ExAnte_LifeCycleNet_NoRR_kw_raw ==0, np.nan, ( Proj_AR_ExAnte_LifeCycleNet_NoRR_kw_raw )</v>
      </c>
      <c r="AE564" t="b">
        <f t="shared" si="69"/>
        <v>1</v>
      </c>
      <c r="AF564" t="b">
        <f t="shared" si="70"/>
        <v>0</v>
      </c>
    </row>
    <row r="565" spans="1:32">
      <c r="A565" t="s">
        <v>2387</v>
      </c>
      <c r="T565" s="3"/>
      <c r="Y565" t="str">
        <f t="shared" si="71"/>
        <v>Proj_AR_ExAnte_LifeCycleNet_NoRR_kwh_raw ==0, np.nan, ( Proj_AR_ExAnte_LifeCycleNet_NoRR_kwh_raw )</v>
      </c>
      <c r="AE565" t="b">
        <f t="shared" si="69"/>
        <v>1</v>
      </c>
      <c r="AF565" t="b">
        <f t="shared" si="70"/>
        <v>0</v>
      </c>
    </row>
    <row r="566" spans="1:32">
      <c r="A566" t="s">
        <v>2388</v>
      </c>
      <c r="T566" s="3"/>
      <c r="Y566" t="str">
        <f t="shared" si="71"/>
        <v>Proj_AR_ExAnte_LifeCycleNet_NoRR_thm_raw ==0, np.nan, ( Proj_AR_ExAnte_LifeCycleNet_NoRR_thm_raw )</v>
      </c>
      <c r="AE566" t="b">
        <f t="shared" si="69"/>
        <v>1</v>
      </c>
      <c r="AF566" t="b">
        <f t="shared" si="70"/>
        <v>0</v>
      </c>
    </row>
    <row r="567" spans="1:32">
      <c r="A567" t="s">
        <v>2434</v>
      </c>
      <c r="T567" s="3"/>
      <c r="Y567" t="str">
        <f t="shared" si="71"/>
        <v>Proj_AR_ExAnte_AnnualizedNet_NoRR_kw_raw ==0, np.nan, ( Proj_AR_ExAnte_AnnualizedNet_NoRR_kw_raw )</v>
      </c>
      <c r="AE567" t="b">
        <f t="shared" si="61"/>
        <v>1</v>
      </c>
      <c r="AF567" t="b">
        <f t="shared" si="62"/>
        <v>0</v>
      </c>
    </row>
    <row r="568" spans="1:32">
      <c r="A568" t="s">
        <v>2435</v>
      </c>
      <c r="T568" s="3"/>
      <c r="Y568" t="str">
        <f t="shared" si="71"/>
        <v>Proj_AR_ExAnte_AnnualizedNet_NoRR_kwh_raw ==0, np.nan, ( Proj_AR_ExAnte_AnnualizedNet_NoRR_kwh_raw )</v>
      </c>
      <c r="AE568" t="b">
        <f t="shared" si="61"/>
        <v>1</v>
      </c>
      <c r="AF568" t="b">
        <f t="shared" si="62"/>
        <v>0</v>
      </c>
    </row>
    <row r="569" spans="1:32">
      <c r="A569" t="s">
        <v>2436</v>
      </c>
      <c r="T569" s="3"/>
      <c r="Y569" t="str">
        <f t="shared" si="71"/>
        <v>Proj_AR_ExAnte_AnnualizedNet_NoRR_thm_raw ==0, np.nan, ( Proj_AR_ExAnte_AnnualizedNet_NoRR_thm_raw )</v>
      </c>
      <c r="AE569" t="b">
        <f t="shared" si="61"/>
        <v>1</v>
      </c>
      <c r="AF569" t="b">
        <f t="shared" si="62"/>
        <v>0</v>
      </c>
    </row>
    <row r="570" spans="1:32">
      <c r="A570" t="s">
        <v>1940</v>
      </c>
      <c r="P570" t="str">
        <f>A369 &amp; " * " &amp; A234</f>
        <v>EvalExPostLifeCycleGrosskWh * domain_weight_kwh</v>
      </c>
      <c r="AE570" t="b">
        <f t="shared" si="61"/>
        <v>1</v>
      </c>
      <c r="AF570" t="b">
        <f t="shared" si="62"/>
        <v>0</v>
      </c>
    </row>
    <row r="571" spans="1:32">
      <c r="A571" t="s">
        <v>1941</v>
      </c>
      <c r="P571" t="str">
        <f>A370 &amp; " * " &amp; A235</f>
        <v>EvalExPostLifeCycleGrossTherm * domain_weight_thm</v>
      </c>
      <c r="AE571" t="b">
        <f t="shared" si="61"/>
        <v>1</v>
      </c>
      <c r="AF571" t="b">
        <f t="shared" si="62"/>
        <v>0</v>
      </c>
    </row>
    <row r="572" spans="1:32">
      <c r="A572" t="s">
        <v>2094</v>
      </c>
      <c r="M572" t="s">
        <v>658</v>
      </c>
      <c r="AE572" t="b">
        <f t="shared" si="61"/>
        <v>1</v>
      </c>
      <c r="AF572" t="b">
        <f t="shared" si="62"/>
        <v>0</v>
      </c>
    </row>
    <row r="573" spans="1:32">
      <c r="A573" t="s">
        <v>2456</v>
      </c>
      <c r="Q573" t="str">
        <f t="shared" ref="Q573:Q578" si="72">$A$154</f>
        <v>SBW_ProjID</v>
      </c>
      <c r="R573" t="str">
        <f>$A$210 &amp; " == True"</f>
        <v>Frame_Electric == True</v>
      </c>
      <c r="S573" t="str">
        <f>A50 &amp; ", " &amp; A66</f>
        <v>ExAnteLifecycleGrosskW, ExAnte_LifeCycleGross_NoRR_kW</v>
      </c>
      <c r="T573" t="s">
        <v>625</v>
      </c>
      <c r="U573" t="s">
        <v>627</v>
      </c>
      <c r="AE573" t="b">
        <f t="shared" si="52"/>
        <v>1</v>
      </c>
      <c r="AF573" t="b">
        <f t="shared" si="53"/>
        <v>0</v>
      </c>
    </row>
    <row r="574" spans="1:32">
      <c r="A574" t="s">
        <v>2457</v>
      </c>
      <c r="Q574" t="str">
        <f t="shared" si="72"/>
        <v>SBW_ProjID</v>
      </c>
      <c r="R574" t="str">
        <f>$A$210 &amp; " == True"</f>
        <v>Frame_Electric == True</v>
      </c>
      <c r="S574" t="str">
        <f>A51 &amp; ", " &amp; A67</f>
        <v>ExAnteLifecycleGrosskWh, ExAnte_LifeCycleGross_NoRR_kWh</v>
      </c>
      <c r="T574" t="s">
        <v>625</v>
      </c>
      <c r="U574" t="s">
        <v>627</v>
      </c>
      <c r="AE574" t="b">
        <f t="shared" si="52"/>
        <v>1</v>
      </c>
      <c r="AF574" t="b">
        <f t="shared" si="53"/>
        <v>0</v>
      </c>
    </row>
    <row r="575" spans="1:32">
      <c r="A575" t="s">
        <v>2458</v>
      </c>
      <c r="Q575" t="str">
        <f t="shared" si="72"/>
        <v>SBW_ProjID</v>
      </c>
      <c r="R575" t="str">
        <f>$A$211 &amp; " == True"</f>
        <v>Frame_Gas == True</v>
      </c>
      <c r="S575" t="str">
        <f>A52 &amp; ", " &amp; A68</f>
        <v>ExAnteLifecycleGrossTherm, ExAnte_LifeCycleGross_NoRR_thm</v>
      </c>
      <c r="T575" t="s">
        <v>625</v>
      </c>
      <c r="U575" t="s">
        <v>627</v>
      </c>
      <c r="AE575" t="b">
        <f t="shared" ref="AE575:AE606" si="73">IF(NOT(ISBLANK(A575)), LEN(_xlfn.CONCAT(C575:AC575))&gt;0, "")</f>
        <v>1</v>
      </c>
      <c r="AF575" t="b">
        <f t="shared" si="53"/>
        <v>0</v>
      </c>
    </row>
    <row r="576" spans="1:32">
      <c r="A576" t="s">
        <v>2459</v>
      </c>
      <c r="Q576" t="str">
        <f t="shared" si="72"/>
        <v>SBW_ProjID</v>
      </c>
      <c r="R576" t="str">
        <f>$A$210 &amp; " == True"</f>
        <v>Frame_Electric == True</v>
      </c>
      <c r="S576" t="str">
        <f>A69 &amp; ", " &amp; A66</f>
        <v>ExAnte_LifeCycleNet_NoRR_kW, ExAnte_LifeCycleGross_NoRR_kW</v>
      </c>
      <c r="T576" t="s">
        <v>625</v>
      </c>
      <c r="U576" t="s">
        <v>627</v>
      </c>
      <c r="AE576" t="b">
        <f t="shared" si="73"/>
        <v>1</v>
      </c>
      <c r="AF576" t="b">
        <f t="shared" si="53"/>
        <v>0</v>
      </c>
    </row>
    <row r="577" spans="1:32">
      <c r="A577" t="s">
        <v>2460</v>
      </c>
      <c r="Q577" t="str">
        <f t="shared" si="72"/>
        <v>SBW_ProjID</v>
      </c>
      <c r="R577" t="str">
        <f>$A$210 &amp; " == True"</f>
        <v>Frame_Electric == True</v>
      </c>
      <c r="S577" t="str">
        <f>A70 &amp; ", " &amp; A67</f>
        <v>ExAnte_LifeCycleNet_NoRR_kWh, ExAnte_LifeCycleGross_NoRR_kWh</v>
      </c>
      <c r="T577" t="s">
        <v>625</v>
      </c>
      <c r="U577" t="s">
        <v>627</v>
      </c>
      <c r="AE577" t="b">
        <f t="shared" si="73"/>
        <v>1</v>
      </c>
      <c r="AF577" t="b">
        <f t="shared" si="53"/>
        <v>0</v>
      </c>
    </row>
    <row r="578" spans="1:32">
      <c r="A578" t="s">
        <v>2461</v>
      </c>
      <c r="Q578" t="str">
        <f t="shared" si="72"/>
        <v>SBW_ProjID</v>
      </c>
      <c r="R578" t="str">
        <f>$A$211 &amp; " == True"</f>
        <v>Frame_Gas == True</v>
      </c>
      <c r="S578" t="str">
        <f>A71 &amp; ", " &amp; A68</f>
        <v>ExAnte_LifeCycleNet_NoRR_thm, ExAnte_LifeCycleGross_NoRR_thm</v>
      </c>
      <c r="T578" t="s">
        <v>625</v>
      </c>
      <c r="U578" t="s">
        <v>627</v>
      </c>
      <c r="AE578" t="b">
        <f t="shared" si="73"/>
        <v>1</v>
      </c>
      <c r="AF578" t="b">
        <f t="shared" si="53"/>
        <v>0</v>
      </c>
    </row>
    <row r="579" spans="1:32">
      <c r="AE579" t="str">
        <f t="shared" si="73"/>
        <v/>
      </c>
      <c r="AF579" t="b">
        <f t="shared" si="53"/>
        <v>0</v>
      </c>
    </row>
    <row r="580" spans="1:32">
      <c r="AE580" t="str">
        <f t="shared" si="73"/>
        <v/>
      </c>
      <c r="AF580" t="b">
        <f t="shared" si="53"/>
        <v>0</v>
      </c>
    </row>
    <row r="581" spans="1:32">
      <c r="AE581" t="str">
        <f t="shared" si="73"/>
        <v/>
      </c>
      <c r="AF581" t="b">
        <f t="shared" si="53"/>
        <v>0</v>
      </c>
    </row>
    <row r="582" spans="1:32">
      <c r="AE582" t="str">
        <f t="shared" si="73"/>
        <v/>
      </c>
      <c r="AF582" t="b">
        <f t="shared" si="53"/>
        <v>0</v>
      </c>
    </row>
    <row r="583" spans="1:32">
      <c r="AE583" t="str">
        <f t="shared" si="73"/>
        <v/>
      </c>
      <c r="AF583" t="b">
        <f t="shared" si="53"/>
        <v>0</v>
      </c>
    </row>
    <row r="584" spans="1:32">
      <c r="AE584" t="str">
        <f t="shared" si="73"/>
        <v/>
      </c>
      <c r="AF584" t="b">
        <f t="shared" si="53"/>
        <v>0</v>
      </c>
    </row>
    <row r="585" spans="1:32">
      <c r="AE585" t="str">
        <f t="shared" si="73"/>
        <v/>
      </c>
      <c r="AF585" t="b">
        <f t="shared" si="53"/>
        <v>0</v>
      </c>
    </row>
    <row r="586" spans="1:32">
      <c r="AE586" t="str">
        <f t="shared" si="73"/>
        <v/>
      </c>
      <c r="AF586" t="b">
        <f t="shared" si="53"/>
        <v>0</v>
      </c>
    </row>
    <row r="587" spans="1:32">
      <c r="AE587" t="str">
        <f t="shared" si="73"/>
        <v/>
      </c>
      <c r="AF587" t="b">
        <f t="shared" si="53"/>
        <v>0</v>
      </c>
    </row>
    <row r="588" spans="1:32">
      <c r="AE588" t="str">
        <f t="shared" si="73"/>
        <v/>
      </c>
      <c r="AF588" t="b">
        <f t="shared" si="53"/>
        <v>0</v>
      </c>
    </row>
    <row r="589" spans="1:32">
      <c r="AE589" t="str">
        <f t="shared" si="73"/>
        <v/>
      </c>
      <c r="AF589" t="b">
        <f t="shared" si="53"/>
        <v>0</v>
      </c>
    </row>
    <row r="590" spans="1:32">
      <c r="AE590" t="str">
        <f t="shared" si="73"/>
        <v/>
      </c>
      <c r="AF590" t="b">
        <f t="shared" si="53"/>
        <v>0</v>
      </c>
    </row>
    <row r="591" spans="1:32">
      <c r="AE591" t="str">
        <f t="shared" si="73"/>
        <v/>
      </c>
      <c r="AF591" t="b">
        <f t="shared" si="53"/>
        <v>0</v>
      </c>
    </row>
    <row r="592" spans="1:32">
      <c r="AE592" t="str">
        <f t="shared" si="73"/>
        <v/>
      </c>
      <c r="AF592" t="b">
        <f t="shared" si="53"/>
        <v>0</v>
      </c>
    </row>
    <row r="593" spans="31:32">
      <c r="AE593" t="str">
        <f t="shared" si="73"/>
        <v/>
      </c>
      <c r="AF593" t="b">
        <f t="shared" si="53"/>
        <v>0</v>
      </c>
    </row>
    <row r="594" spans="31:32">
      <c r="AE594" t="str">
        <f t="shared" si="73"/>
        <v/>
      </c>
      <c r="AF594" t="b">
        <f t="shared" si="53"/>
        <v>0</v>
      </c>
    </row>
    <row r="595" spans="31:32">
      <c r="AE595" t="str">
        <f t="shared" si="73"/>
        <v/>
      </c>
      <c r="AF595" t="b">
        <f t="shared" si="53"/>
        <v>0</v>
      </c>
    </row>
    <row r="596" spans="31:32">
      <c r="AE596" t="str">
        <f t="shared" si="73"/>
        <v/>
      </c>
      <c r="AF596" t="b">
        <f t="shared" si="53"/>
        <v>0</v>
      </c>
    </row>
    <row r="597" spans="31:32">
      <c r="AE597" t="str">
        <f t="shared" si="73"/>
        <v/>
      </c>
      <c r="AF597" t="b">
        <f t="shared" si="53"/>
        <v>0</v>
      </c>
    </row>
    <row r="598" spans="31:32">
      <c r="AE598" t="str">
        <f t="shared" si="73"/>
        <v/>
      </c>
      <c r="AF598" t="b">
        <f t="shared" si="53"/>
        <v>0</v>
      </c>
    </row>
    <row r="599" spans="31:32">
      <c r="AE599" t="str">
        <f t="shared" si="73"/>
        <v/>
      </c>
      <c r="AF599" t="b">
        <f t="shared" si="53"/>
        <v>0</v>
      </c>
    </row>
    <row r="600" spans="31:32">
      <c r="AE600" t="str">
        <f t="shared" si="73"/>
        <v/>
      </c>
      <c r="AF600" t="b">
        <f t="shared" si="53"/>
        <v>0</v>
      </c>
    </row>
    <row r="601" spans="31:32">
      <c r="AE601" t="str">
        <f t="shared" si="73"/>
        <v/>
      </c>
      <c r="AF601" t="b">
        <f t="shared" si="53"/>
        <v>0</v>
      </c>
    </row>
    <row r="602" spans="31:32">
      <c r="AE602" t="str">
        <f t="shared" si="73"/>
        <v/>
      </c>
      <c r="AF602" t="b">
        <f t="shared" si="53"/>
        <v>0</v>
      </c>
    </row>
    <row r="603" spans="31:32">
      <c r="AE603" t="str">
        <f t="shared" si="73"/>
        <v/>
      </c>
      <c r="AF603" t="b">
        <f t="shared" si="53"/>
        <v>0</v>
      </c>
    </row>
    <row r="604" spans="31:32">
      <c r="AE604" t="str">
        <f t="shared" si="73"/>
        <v/>
      </c>
      <c r="AF604" t="b">
        <f t="shared" si="53"/>
        <v>0</v>
      </c>
    </row>
    <row r="605" spans="31:32">
      <c r="AE605" t="str">
        <f t="shared" si="73"/>
        <v/>
      </c>
      <c r="AF605" t="b">
        <f t="shared" si="53"/>
        <v>0</v>
      </c>
    </row>
    <row r="606" spans="31:32">
      <c r="AE606" t="str">
        <f t="shared" si="73"/>
        <v/>
      </c>
      <c r="AF606" t="b">
        <f t="shared" si="53"/>
        <v>0</v>
      </c>
    </row>
    <row r="607" spans="31:32">
      <c r="AE607" t="str">
        <f t="shared" ref="AE607:AE643" si="74">IF(NOT(ISBLANK(A607)), LEN(_xlfn.CONCAT(C607:AC607))&gt;0, "")</f>
        <v/>
      </c>
      <c r="AF607" t="b">
        <f t="shared" si="53"/>
        <v>0</v>
      </c>
    </row>
    <row r="608" spans="31:32">
      <c r="AE608" t="str">
        <f t="shared" si="74"/>
        <v/>
      </c>
      <c r="AF608" t="b">
        <f t="shared" si="53"/>
        <v>0</v>
      </c>
    </row>
    <row r="609" spans="31:32">
      <c r="AE609" t="str">
        <f t="shared" si="74"/>
        <v/>
      </c>
      <c r="AF609" t="b">
        <f t="shared" si="53"/>
        <v>0</v>
      </c>
    </row>
    <row r="610" spans="31:32">
      <c r="AE610" t="str">
        <f t="shared" si="74"/>
        <v/>
      </c>
      <c r="AF610" t="b">
        <f t="shared" si="53"/>
        <v>0</v>
      </c>
    </row>
    <row r="611" spans="31:32">
      <c r="AE611" t="str">
        <f t="shared" si="74"/>
        <v/>
      </c>
      <c r="AF611" t="b">
        <f t="shared" si="53"/>
        <v>0</v>
      </c>
    </row>
    <row r="612" spans="31:32">
      <c r="AE612" t="str">
        <f t="shared" si="74"/>
        <v/>
      </c>
      <c r="AF612" t="b">
        <f t="shared" ref="AF612:AF643" si="75">AND(ISNUMBER(SEARCH("kw",_xlfn.CONCAT(O612:AD612))), ISNUMBER(SEARCH("thm",_xlfn.CONCAT(O612:AD612))))</f>
        <v>0</v>
      </c>
    </row>
    <row r="613" spans="31:32">
      <c r="AE613" t="str">
        <f t="shared" si="74"/>
        <v/>
      </c>
      <c r="AF613" t="b">
        <f t="shared" si="75"/>
        <v>0</v>
      </c>
    </row>
    <row r="614" spans="31:32">
      <c r="AE614" t="str">
        <f t="shared" si="74"/>
        <v/>
      </c>
      <c r="AF614" t="b">
        <f t="shared" si="75"/>
        <v>0</v>
      </c>
    </row>
    <row r="615" spans="31:32">
      <c r="AE615" t="str">
        <f t="shared" si="74"/>
        <v/>
      </c>
      <c r="AF615" t="b">
        <f t="shared" si="75"/>
        <v>0</v>
      </c>
    </row>
    <row r="616" spans="31:32">
      <c r="AE616" t="str">
        <f t="shared" si="74"/>
        <v/>
      </c>
      <c r="AF616" t="b">
        <f t="shared" si="75"/>
        <v>0</v>
      </c>
    </row>
    <row r="617" spans="31:32">
      <c r="AE617" t="str">
        <f t="shared" si="74"/>
        <v/>
      </c>
      <c r="AF617" t="b">
        <f t="shared" si="75"/>
        <v>0</v>
      </c>
    </row>
    <row r="618" spans="31:32">
      <c r="AE618" t="str">
        <f t="shared" si="74"/>
        <v/>
      </c>
      <c r="AF618" t="b">
        <f t="shared" si="75"/>
        <v>0</v>
      </c>
    </row>
    <row r="619" spans="31:32">
      <c r="AE619" t="str">
        <f t="shared" si="74"/>
        <v/>
      </c>
      <c r="AF619" t="b">
        <f t="shared" si="75"/>
        <v>0</v>
      </c>
    </row>
    <row r="620" spans="31:32">
      <c r="AE620" t="str">
        <f t="shared" si="74"/>
        <v/>
      </c>
      <c r="AF620" t="b">
        <f t="shared" si="75"/>
        <v>0</v>
      </c>
    </row>
    <row r="621" spans="31:32">
      <c r="AE621" t="str">
        <f t="shared" si="74"/>
        <v/>
      </c>
      <c r="AF621" t="b">
        <f t="shared" si="75"/>
        <v>0</v>
      </c>
    </row>
    <row r="622" spans="31:32">
      <c r="AE622" t="str">
        <f t="shared" si="74"/>
        <v/>
      </c>
      <c r="AF622" t="b">
        <f t="shared" si="75"/>
        <v>0</v>
      </c>
    </row>
    <row r="623" spans="31:32">
      <c r="AE623" t="str">
        <f t="shared" si="74"/>
        <v/>
      </c>
      <c r="AF623" t="b">
        <f t="shared" si="75"/>
        <v>0</v>
      </c>
    </row>
    <row r="624" spans="31:32">
      <c r="AE624" t="str">
        <f t="shared" si="74"/>
        <v/>
      </c>
      <c r="AF624" t="b">
        <f t="shared" si="75"/>
        <v>0</v>
      </c>
    </row>
    <row r="625" spans="31:32">
      <c r="AE625" t="str">
        <f t="shared" si="74"/>
        <v/>
      </c>
      <c r="AF625" t="b">
        <f t="shared" si="75"/>
        <v>0</v>
      </c>
    </row>
    <row r="626" spans="31:32">
      <c r="AE626" t="str">
        <f t="shared" si="74"/>
        <v/>
      </c>
      <c r="AF626" t="b">
        <f t="shared" si="75"/>
        <v>0</v>
      </c>
    </row>
    <row r="627" spans="31:32">
      <c r="AE627" t="str">
        <f t="shared" si="74"/>
        <v/>
      </c>
      <c r="AF627" t="b">
        <f t="shared" si="75"/>
        <v>0</v>
      </c>
    </row>
    <row r="628" spans="31:32">
      <c r="AE628" t="str">
        <f t="shared" si="74"/>
        <v/>
      </c>
      <c r="AF628" t="b">
        <f t="shared" si="75"/>
        <v>0</v>
      </c>
    </row>
    <row r="629" spans="31:32">
      <c r="AE629" t="str">
        <f t="shared" si="74"/>
        <v/>
      </c>
      <c r="AF629" t="b">
        <f t="shared" si="75"/>
        <v>0</v>
      </c>
    </row>
    <row r="630" spans="31:32">
      <c r="AE630" t="str">
        <f t="shared" si="74"/>
        <v/>
      </c>
      <c r="AF630" t="b">
        <f t="shared" si="75"/>
        <v>0</v>
      </c>
    </row>
    <row r="631" spans="31:32">
      <c r="AE631" t="str">
        <f t="shared" si="74"/>
        <v/>
      </c>
      <c r="AF631" t="b">
        <f t="shared" si="75"/>
        <v>0</v>
      </c>
    </row>
    <row r="632" spans="31:32">
      <c r="AE632" t="str">
        <f t="shared" si="74"/>
        <v/>
      </c>
      <c r="AF632" t="b">
        <f t="shared" si="75"/>
        <v>0</v>
      </c>
    </row>
    <row r="633" spans="31:32">
      <c r="AE633" t="str">
        <f t="shared" si="74"/>
        <v/>
      </c>
      <c r="AF633" t="b">
        <f t="shared" si="75"/>
        <v>0</v>
      </c>
    </row>
    <row r="634" spans="31:32">
      <c r="AE634" t="str">
        <f t="shared" si="74"/>
        <v/>
      </c>
      <c r="AF634" t="b">
        <f t="shared" si="75"/>
        <v>0</v>
      </c>
    </row>
    <row r="635" spans="31:32">
      <c r="AE635" t="str">
        <f t="shared" si="74"/>
        <v/>
      </c>
      <c r="AF635" t="b">
        <f t="shared" si="75"/>
        <v>0</v>
      </c>
    </row>
    <row r="636" spans="31:32">
      <c r="AE636" t="str">
        <f t="shared" si="74"/>
        <v/>
      </c>
      <c r="AF636" t="b">
        <f t="shared" si="75"/>
        <v>0</v>
      </c>
    </row>
    <row r="637" spans="31:32">
      <c r="AE637" t="str">
        <f t="shared" si="74"/>
        <v/>
      </c>
      <c r="AF637" t="b">
        <f t="shared" si="75"/>
        <v>0</v>
      </c>
    </row>
    <row r="638" spans="31:32">
      <c r="AE638" t="str">
        <f t="shared" si="74"/>
        <v/>
      </c>
      <c r="AF638" t="b">
        <f t="shared" si="75"/>
        <v>0</v>
      </c>
    </row>
    <row r="639" spans="31:32">
      <c r="AE639" t="str">
        <f t="shared" si="74"/>
        <v/>
      </c>
      <c r="AF639" t="b">
        <f t="shared" si="75"/>
        <v>0</v>
      </c>
    </row>
    <row r="640" spans="31:32">
      <c r="AE640" t="str">
        <f t="shared" si="74"/>
        <v/>
      </c>
      <c r="AF640" t="b">
        <f t="shared" si="75"/>
        <v>0</v>
      </c>
    </row>
    <row r="641" spans="31:32">
      <c r="AE641" t="str">
        <f t="shared" si="74"/>
        <v/>
      </c>
      <c r="AF641" t="b">
        <f t="shared" si="75"/>
        <v>0</v>
      </c>
    </row>
    <row r="642" spans="31:32">
      <c r="AE642" t="str">
        <f t="shared" si="74"/>
        <v/>
      </c>
      <c r="AF642" t="b">
        <f t="shared" si="75"/>
        <v>0</v>
      </c>
    </row>
    <row r="643" spans="31:32">
      <c r="AE643" t="str">
        <f t="shared" si="74"/>
        <v/>
      </c>
      <c r="AF643" t="b">
        <f t="shared" si="75"/>
        <v>0</v>
      </c>
    </row>
  </sheetData>
  <autoFilter ref="A1:AJ643" xr:uid="{66000173-5E05-41E4-B642-52C15CDAAA70}"/>
  <conditionalFormatting sqref="H2">
    <cfRule type="duplicateValues" dxfId="192" priority="65"/>
  </conditionalFormatting>
  <conditionalFormatting sqref="A299:A319 A254:A274 A233:A249 A221:A226 A335:A355 A362:A373 A386:A1048576 A1:A218">
    <cfRule type="expression" dxfId="191" priority="62">
      <formula>NOT(AE1)</formula>
    </cfRule>
  </conditionalFormatting>
  <conditionalFormatting sqref="F412:F1048576 F338:F373 F1:F226 F304:F319 F233:F297 F386:F405">
    <cfRule type="duplicateValues" dxfId="190" priority="471"/>
  </conditionalFormatting>
  <conditionalFormatting sqref="D386:D1048576 D338:D373 D1:D209 D218:D226 D233:D319 D216">
    <cfRule type="duplicateValues" dxfId="189" priority="496"/>
  </conditionalFormatting>
  <conditionalFormatting sqref="E467:E1048576 E338:E373 E1:E226 E233:E319 E386:E453">
    <cfRule type="duplicateValues" dxfId="188" priority="500"/>
  </conditionalFormatting>
  <conditionalFormatting sqref="D320:D337">
    <cfRule type="duplicateValues" dxfId="187" priority="565"/>
  </conditionalFormatting>
  <conditionalFormatting sqref="E320:E337">
    <cfRule type="duplicateValues" dxfId="186" priority="568"/>
  </conditionalFormatting>
  <conditionalFormatting sqref="F320:F337">
    <cfRule type="duplicateValues" dxfId="185" priority="571"/>
  </conditionalFormatting>
  <conditionalFormatting sqref="G320:H337">
    <cfRule type="duplicateValues" dxfId="184" priority="574"/>
  </conditionalFormatting>
  <conditionalFormatting sqref="C320:C337">
    <cfRule type="duplicateValues" dxfId="183" priority="576"/>
  </conditionalFormatting>
  <conditionalFormatting sqref="D217">
    <cfRule type="duplicateValues" dxfId="182" priority="612"/>
  </conditionalFormatting>
  <conditionalFormatting sqref="A447">
    <cfRule type="expression" dxfId="181" priority="37">
      <formula>NOT(AE454)</formula>
    </cfRule>
  </conditionalFormatting>
  <conditionalFormatting sqref="A450">
    <cfRule type="expression" dxfId="180" priority="38">
      <formula>NOT(AE455)</formula>
    </cfRule>
  </conditionalFormatting>
  <conditionalFormatting sqref="G466:H1048576 G338:H373 G3:H196 G199:H203 G275:H319 G255:H256 G197:G198 I197:K198 I257:K274 G2 G205:G226 G257:G274 G1:K1 H464:H465 G233:G254 G386:H463">
    <cfRule type="duplicateValues" dxfId="179" priority="753"/>
  </conditionalFormatting>
  <conditionalFormatting sqref="AF386:AF1048576 AF1:AF373">
    <cfRule type="cellIs" dxfId="178" priority="35" operator="equal">
      <formula>TRUE</formula>
    </cfRule>
  </conditionalFormatting>
  <conditionalFormatting sqref="A431:A448">
    <cfRule type="expression" dxfId="177" priority="774">
      <formula>NOT(#REF!)</formula>
    </cfRule>
  </conditionalFormatting>
  <conditionalFormatting sqref="A449">
    <cfRule type="expression" dxfId="176" priority="775">
      <formula>NOT(AE454)</formula>
    </cfRule>
  </conditionalFormatting>
  <conditionalFormatting sqref="A425:A426 A435:A436 A445">
    <cfRule type="expression" dxfId="175" priority="776">
      <formula>NOT(#REF!)</formula>
    </cfRule>
  </conditionalFormatting>
  <conditionalFormatting sqref="A427:A428 A437:A438">
    <cfRule type="expression" dxfId="174" priority="777">
      <formula>NOT(#REF!)</formula>
    </cfRule>
  </conditionalFormatting>
  <conditionalFormatting sqref="A429:A430 A439:A440">
    <cfRule type="expression" dxfId="173" priority="778">
      <formula>NOT(#REF!)</formula>
    </cfRule>
  </conditionalFormatting>
  <conditionalFormatting sqref="A446">
    <cfRule type="expression" dxfId="172" priority="783">
      <formula>NOT(AE454)</formula>
    </cfRule>
  </conditionalFormatting>
  <conditionalFormatting sqref="A451:A454">
    <cfRule type="expression" dxfId="171" priority="33">
      <formula>NOT(AE455)</formula>
    </cfRule>
  </conditionalFormatting>
  <conditionalFormatting sqref="A323:A334 A296:A297 A290:A292 A278:A286">
    <cfRule type="expression" dxfId="170" priority="804">
      <formula>NOT(AE275)</formula>
    </cfRule>
  </conditionalFormatting>
  <conditionalFormatting sqref="A227:A229">
    <cfRule type="expression" dxfId="169" priority="25">
      <formula>NOT(AE227)</formula>
    </cfRule>
  </conditionalFormatting>
  <conditionalFormatting sqref="F227:F229">
    <cfRule type="duplicateValues" dxfId="168" priority="26"/>
  </conditionalFormatting>
  <conditionalFormatting sqref="D227:D229">
    <cfRule type="duplicateValues" dxfId="167" priority="27"/>
  </conditionalFormatting>
  <conditionalFormatting sqref="E227:E229">
    <cfRule type="duplicateValues" dxfId="166" priority="28"/>
  </conditionalFormatting>
  <conditionalFormatting sqref="G227:G229">
    <cfRule type="duplicateValues" dxfId="165" priority="29"/>
  </conditionalFormatting>
  <conditionalFormatting sqref="A227:A229">
    <cfRule type="duplicateValues" dxfId="164" priority="30"/>
  </conditionalFormatting>
  <conditionalFormatting sqref="C227:C229">
    <cfRule type="duplicateValues" dxfId="163" priority="31"/>
  </conditionalFormatting>
  <conditionalFormatting sqref="A230:A232">
    <cfRule type="expression" dxfId="162" priority="17">
      <formula>NOT(AE230)</formula>
    </cfRule>
  </conditionalFormatting>
  <conditionalFormatting sqref="F230:F232">
    <cfRule type="duplicateValues" dxfId="161" priority="18"/>
  </conditionalFormatting>
  <conditionalFormatting sqref="D230:D232">
    <cfRule type="duplicateValues" dxfId="160" priority="19"/>
  </conditionalFormatting>
  <conditionalFormatting sqref="E230:E232">
    <cfRule type="duplicateValues" dxfId="159" priority="20"/>
  </conditionalFormatting>
  <conditionalFormatting sqref="G230:G232">
    <cfRule type="duplicateValues" dxfId="158" priority="21"/>
  </conditionalFormatting>
  <conditionalFormatting sqref="A230:A232">
    <cfRule type="duplicateValues" dxfId="157" priority="22"/>
  </conditionalFormatting>
  <conditionalFormatting sqref="C230:C232">
    <cfRule type="duplicateValues" dxfId="156" priority="23"/>
  </conditionalFormatting>
  <conditionalFormatting sqref="C338:C373 C2:C226 C233:C319 C386:C454">
    <cfRule type="duplicateValues" dxfId="155" priority="851"/>
  </conditionalFormatting>
  <conditionalFormatting sqref="A386:A1048576 A233:A248 A254:A274 A221:A226 A323:A355 A278:A319 A362:A373 A1:A218">
    <cfRule type="duplicateValues" dxfId="154" priority="902"/>
  </conditionalFormatting>
  <conditionalFormatting sqref="A298">
    <cfRule type="expression" dxfId="153" priority="936">
      <formula>NOT(AE278)</formula>
    </cfRule>
  </conditionalFormatting>
  <conditionalFormatting sqref="A252:A253">
    <cfRule type="expression" dxfId="152" priority="1385">
      <formula>NOT(AE252)</formula>
    </cfRule>
  </conditionalFormatting>
  <conditionalFormatting sqref="A249 A252:A253">
    <cfRule type="duplicateValues" dxfId="151" priority="1428"/>
  </conditionalFormatting>
  <conditionalFormatting sqref="A250:A251">
    <cfRule type="expression" dxfId="150" priority="8">
      <formula>NOT(AE250)</formula>
    </cfRule>
  </conditionalFormatting>
  <conditionalFormatting sqref="A250:A251">
    <cfRule type="duplicateValues" dxfId="149" priority="9"/>
  </conditionalFormatting>
  <conditionalFormatting sqref="A221:A373 A386:A1048576 A1:A218">
    <cfRule type="expression" dxfId="148" priority="7">
      <formula>NOT(ISBLANK(M1))</formula>
    </cfRule>
  </conditionalFormatting>
  <conditionalFormatting sqref="A293:A295">
    <cfRule type="expression" dxfId="147" priority="1470">
      <formula>NOT(AE278)</formula>
    </cfRule>
  </conditionalFormatting>
  <conditionalFormatting sqref="A219:A220">
    <cfRule type="expression" dxfId="146" priority="2">
      <formula>NOT(AE219)</formula>
    </cfRule>
  </conditionalFormatting>
  <conditionalFormatting sqref="A219:A220">
    <cfRule type="duplicateValues" dxfId="145" priority="3"/>
  </conditionalFormatting>
  <conditionalFormatting sqref="A219:A220">
    <cfRule type="expression" dxfId="144" priority="1">
      <formula>NOT(ISBLANK(M219))</formula>
    </cfRule>
  </conditionalFormatting>
  <conditionalFormatting sqref="A455:A1048576 A199:A203 A1:A65 A87:A196">
    <cfRule type="duplicateValues" dxfId="143" priority="1601"/>
  </conditionalFormatting>
  <conditionalFormatting sqref="A448">
    <cfRule type="expression" dxfId="142" priority="1626">
      <formula>NOT(AE192)</formula>
    </cfRule>
  </conditionalFormatting>
  <conditionalFormatting sqref="A449">
    <cfRule type="expression" dxfId="141" priority="1628">
      <formula>NOT(AE192)</formula>
    </cfRule>
  </conditionalFormatting>
  <conditionalFormatting sqref="A450">
    <cfRule type="expression" dxfId="140" priority="1648">
      <formula>NOT(AE192)</formula>
    </cfRule>
  </conditionalFormatting>
  <conditionalFormatting sqref="A287:A289">
    <cfRule type="expression" dxfId="139" priority="1721">
      <formula>NOT(AE278)</formula>
    </cfRule>
  </conditionalFormatting>
  <dataValidations disablePrompts="1" count="1">
    <dataValidation showInputMessage="1" showErrorMessage="1" sqref="C1" xr:uid="{D36396D2-B89E-43E9-B85A-7B8A9A16C9A7}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139F-85EF-460D-8F9B-CB93545317C9}">
  <sheetPr codeName="Sheet3"/>
  <dimension ref="A1:AM598"/>
  <sheetViews>
    <sheetView zoomScaleNormal="100" workbookViewId="0">
      <pane xSplit="1" ySplit="1" topLeftCell="B416" activePane="bottomRight" state="frozen"/>
      <selection pane="topRight" activeCell="B1" sqref="B1"/>
      <selection pane="bottomLeft" activeCell="A2" sqref="A2"/>
      <selection pane="bottomRight" activeCell="O442" sqref="O442"/>
    </sheetView>
  </sheetViews>
  <sheetFormatPr defaultColWidth="8.85546875" defaultRowHeight="15" outlineLevelCol="1"/>
  <cols>
    <col min="1" max="1" width="37.42578125" customWidth="1"/>
    <col min="2" max="2" width="13.42578125" customWidth="1"/>
    <col min="3" max="3" width="21.85546875" hidden="1" customWidth="1" outlineLevel="1"/>
    <col min="4" max="4" width="19.140625" hidden="1" customWidth="1" outlineLevel="1"/>
    <col min="5" max="5" width="21.140625" hidden="1" customWidth="1" outlineLevel="1"/>
    <col min="6" max="6" width="16.7109375" hidden="1" customWidth="1" outlineLevel="1"/>
    <col min="7" max="7" width="18.42578125" hidden="1" customWidth="1" outlineLevel="1"/>
    <col min="8" max="8" width="23.85546875" hidden="1" customWidth="1" outlineLevel="1"/>
    <col min="9" max="9" width="18.85546875" hidden="1" customWidth="1" outlineLevel="1"/>
    <col min="10" max="10" width="20.42578125" hidden="1" customWidth="1" outlineLevel="1"/>
    <col min="11" max="11" width="15" hidden="1" customWidth="1" outlineLevel="1"/>
    <col min="12" max="12" width="28" hidden="1" customWidth="1" outlineLevel="1"/>
    <col min="13" max="13" width="15" hidden="1" customWidth="1" outlineLevel="1"/>
    <col min="14" max="14" width="5.85546875" customWidth="1" collapsed="1"/>
    <col min="15" max="15" width="5.85546875" customWidth="1"/>
    <col min="16" max="16" width="7.28515625" hidden="1" customWidth="1"/>
    <col min="17" max="17" width="9.7109375" customWidth="1"/>
    <col min="18" max="18" width="54" customWidth="1"/>
    <col min="19" max="19" width="32.42578125" hidden="1" customWidth="1" outlineLevel="1"/>
    <col min="20" max="20" width="73" hidden="1" customWidth="1" outlineLevel="1"/>
    <col min="21" max="21" width="49" hidden="1" customWidth="1" outlineLevel="1"/>
    <col min="22" max="23" width="12.42578125" hidden="1" customWidth="1" outlineLevel="1"/>
    <col min="24" max="24" width="35.140625" hidden="1" customWidth="1" outlineLevel="1"/>
    <col min="25" max="25" width="8.28515625" hidden="1" customWidth="1" outlineLevel="1"/>
    <col min="26" max="26" width="10.42578125" customWidth="1" collapsed="1"/>
    <col min="27" max="27" width="66.42578125" customWidth="1"/>
    <col min="28" max="28" width="93.140625" customWidth="1" outlineLevel="1"/>
    <col min="29" max="29" width="39" customWidth="1" outlineLevel="1"/>
    <col min="30" max="30" width="50.42578125" customWidth="1" outlineLevel="1"/>
    <col min="31" max="31" width="14.42578125" customWidth="1"/>
    <col min="32" max="32" width="10.140625" customWidth="1"/>
    <col min="33" max="34" width="9.7109375" customWidth="1"/>
    <col min="35" max="35" width="29.7109375" customWidth="1"/>
    <col min="36" max="36" width="22.42578125" customWidth="1"/>
    <col min="37" max="37" width="31.42578125" customWidth="1"/>
  </cols>
  <sheetData>
    <row r="1" spans="1:38">
      <c r="A1" s="6" t="str">
        <f>"out_" &amp; SourceDef!A34</f>
        <v>out_net_claim</v>
      </c>
      <c r="B1" t="s">
        <v>1718</v>
      </c>
      <c r="C1" s="6" t="str">
        <f>"src_" &amp; SourceDef!A5</f>
        <v>src_cedars_custom_claim</v>
      </c>
      <c r="D1" s="6" t="str">
        <f>"src_" &amp; SourceDef!A6</f>
        <v>src_SampleControl</v>
      </c>
      <c r="E1" s="6" t="str">
        <f>"src_" &amp; SourceDef!A9</f>
        <v>src_evalclaim</v>
      </c>
      <c r="F1" s="6" t="str">
        <f>"src_" &amp; SourceDef!A10</f>
        <v>src_net_site_wkb</v>
      </c>
      <c r="G1" s="6" t="str">
        <f>"src_" &amp; SourceDef!A8</f>
        <v>src_projecttracker</v>
      </c>
      <c r="H1" s="6" t="str">
        <f>"src_" &amp; SourceDef!A12</f>
        <v>src_subsample</v>
      </c>
      <c r="I1" s="6" t="str">
        <f>"src_" &amp; SourceDef!A7</f>
        <v>src_claimtracker</v>
      </c>
      <c r="J1" s="6" t="str">
        <f>"src_" &amp; SourceDef!A19</f>
        <v>src_netcompletes</v>
      </c>
      <c r="K1" s="6" t="str">
        <f>"src_" &amp; SourceDef!A23</f>
        <v>src_netdispo</v>
      </c>
      <c r="L1" s="6" t="str">
        <f>"src_" &amp; SourceDef!A35</f>
        <v>src_gross_domain_summary</v>
      </c>
      <c r="M1" s="6" t="str">
        <f>"src_" &amp; SourceDef!A33</f>
        <v>src_gross_claim</v>
      </c>
      <c r="N1" s="6" t="s">
        <v>652</v>
      </c>
      <c r="O1" s="6" t="s">
        <v>657</v>
      </c>
      <c r="P1" t="s">
        <v>0</v>
      </c>
      <c r="Q1" t="s">
        <v>616</v>
      </c>
      <c r="R1" t="s">
        <v>602</v>
      </c>
      <c r="S1" t="s">
        <v>610</v>
      </c>
      <c r="T1" t="s">
        <v>611</v>
      </c>
      <c r="U1" t="s">
        <v>612</v>
      </c>
      <c r="V1" t="s">
        <v>624</v>
      </c>
      <c r="W1" t="s">
        <v>628</v>
      </c>
      <c r="X1" t="s">
        <v>677</v>
      </c>
      <c r="Y1" t="s">
        <v>678</v>
      </c>
      <c r="Z1" t="s">
        <v>613</v>
      </c>
      <c r="AA1" t="s">
        <v>617</v>
      </c>
      <c r="AB1" t="s">
        <v>1</v>
      </c>
      <c r="AC1" t="s">
        <v>2</v>
      </c>
      <c r="AD1" t="s">
        <v>3</v>
      </c>
      <c r="AE1" t="s">
        <v>595</v>
      </c>
      <c r="AF1" t="s">
        <v>4</v>
      </c>
      <c r="AG1" t="s">
        <v>5</v>
      </c>
      <c r="AH1" t="s">
        <v>720</v>
      </c>
      <c r="AI1" t="s">
        <v>6</v>
      </c>
      <c r="AJ1" t="s">
        <v>7</v>
      </c>
      <c r="AK1" t="s">
        <v>8</v>
      </c>
      <c r="AL1" t="s">
        <v>2169</v>
      </c>
    </row>
    <row r="2" spans="1:38">
      <c r="A2" s="5" t="s">
        <v>9</v>
      </c>
      <c r="B2" t="s">
        <v>1719</v>
      </c>
      <c r="C2" s="5" t="s">
        <v>9</v>
      </c>
      <c r="D2" t="s">
        <v>9</v>
      </c>
      <c r="E2" t="s">
        <v>83</v>
      </c>
      <c r="F2" t="s">
        <v>83</v>
      </c>
      <c r="H2" t="s">
        <v>9</v>
      </c>
      <c r="I2" t="s">
        <v>9</v>
      </c>
      <c r="M2" t="s">
        <v>9</v>
      </c>
      <c r="AG2" t="b">
        <f>IF(NOT(ISBLANK(A2)), LEN(_xlfn.CONCAT(C2:AF2))&gt;0, "")</f>
        <v>1</v>
      </c>
      <c r="AH2" t="b">
        <f t="shared" ref="AH2:AH88" si="0">AND(ISNUMBER(SEARCH("kw",_xlfn.CONCAT(Q2:AF2))), ISNUMBER(SEARCH("thm",_xlfn.CONCAT(Q2:AF2))))</f>
        <v>0</v>
      </c>
    </row>
    <row r="3" spans="1:38">
      <c r="A3" t="str">
        <f>D3</f>
        <v>Frame_Electric</v>
      </c>
      <c r="D3" t="s">
        <v>1771</v>
      </c>
      <c r="AG3" t="b">
        <f>IF(NOT(ISBLANK(A3)), LEN(_xlfn.CONCAT(C3:AF3))&gt;0, "")</f>
        <v>1</v>
      </c>
      <c r="AH3" t="b">
        <f>AND(ISNUMBER(SEARCH("kw",_xlfn.CONCAT(Q3:AF3))), ISNUMBER(SEARCH("thm",_xlfn.CONCAT(Q3:AF3))))</f>
        <v>0</v>
      </c>
    </row>
    <row r="4" spans="1:38">
      <c r="A4" t="str">
        <f>D4</f>
        <v>Frame_Gas</v>
      </c>
      <c r="D4" t="s">
        <v>1772</v>
      </c>
      <c r="AG4" t="b">
        <f>IF(NOT(ISBLANK(A4)), LEN(_xlfn.CONCAT(C4:AF4))&gt;0, "")</f>
        <v>1</v>
      </c>
      <c r="AH4" t="b">
        <f>AND(ISNUMBER(SEARCH("kw",_xlfn.CONCAT(Q4:AF4))), ISNUMBER(SEARCH("thm",_xlfn.CONCAT(Q4:AF4))))</f>
        <v>0</v>
      </c>
    </row>
    <row r="5" spans="1:38">
      <c r="A5" t="s">
        <v>1553</v>
      </c>
      <c r="M5" t="s">
        <v>1553</v>
      </c>
      <c r="AG5" t="b">
        <f>IF(NOT(ISBLANK(A5)), LEN(_xlfn.CONCAT(C5:AF5))&gt;0, "")</f>
        <v>1</v>
      </c>
      <c r="AH5" t="b">
        <f>AND(ISNUMBER(SEARCH("kw",_xlfn.CONCAT(Q5:AF5))), ISNUMBER(SEARCH("thm",_xlfn.CONCAT(Q5:AF5))))</f>
        <v>0</v>
      </c>
    </row>
    <row r="6" spans="1:38">
      <c r="A6" t="str">
        <f>L6</f>
        <v>dom_eval_RR_kW_AG</v>
      </c>
      <c r="L6" t="s">
        <v>1818</v>
      </c>
      <c r="AG6" t="b">
        <f t="shared" ref="AG6:AG11" si="1">IF(NOT(ISBLANK(A6)), LEN(_xlfn.CONCAT(C6:AF6))&gt;0, "")</f>
        <v>1</v>
      </c>
      <c r="AH6" t="b">
        <f t="shared" ref="AH6:AH11" si="2">AND(ISNUMBER(SEARCH("kw",_xlfn.CONCAT(Q6:AF6))), ISNUMBER(SEARCH("thm",_xlfn.CONCAT(Q6:AF6))))</f>
        <v>0</v>
      </c>
    </row>
    <row r="7" spans="1:38">
      <c r="A7" t="str">
        <f>L7</f>
        <v>dom_eval_RR_kWh_AG</v>
      </c>
      <c r="L7" t="s">
        <v>1817</v>
      </c>
      <c r="AG7" t="b">
        <f t="shared" si="1"/>
        <v>1</v>
      </c>
      <c r="AH7" t="b">
        <f t="shared" si="2"/>
        <v>0</v>
      </c>
    </row>
    <row r="8" spans="1:38">
      <c r="A8" t="str">
        <f t="shared" ref="A8:A49" si="3">L8</f>
        <v>dom_eval_RR_thm_AG</v>
      </c>
      <c r="L8" t="s">
        <v>1827</v>
      </c>
      <c r="AG8" t="b">
        <f t="shared" si="1"/>
        <v>1</v>
      </c>
      <c r="AH8" t="b">
        <f t="shared" si="2"/>
        <v>0</v>
      </c>
    </row>
    <row r="9" spans="1:38">
      <c r="A9" t="str">
        <f t="shared" si="3"/>
        <v>dom_eval_RR_kW_LG</v>
      </c>
      <c r="L9" t="s">
        <v>1833</v>
      </c>
      <c r="AG9" t="b">
        <f t="shared" si="1"/>
        <v>1</v>
      </c>
      <c r="AH9" t="b">
        <f t="shared" si="2"/>
        <v>0</v>
      </c>
    </row>
    <row r="10" spans="1:38">
      <c r="A10" t="str">
        <f t="shared" si="3"/>
        <v>dom_eval_RR_kWh_LG</v>
      </c>
      <c r="L10" t="s">
        <v>1832</v>
      </c>
      <c r="AG10" t="b">
        <f t="shared" si="1"/>
        <v>1</v>
      </c>
      <c r="AH10" t="b">
        <f t="shared" si="2"/>
        <v>0</v>
      </c>
    </row>
    <row r="11" spans="1:38">
      <c r="A11" t="str">
        <f t="shared" si="3"/>
        <v>dom_eval_RR_thm_LG</v>
      </c>
      <c r="L11" t="s">
        <v>1842</v>
      </c>
      <c r="AG11" t="b">
        <f t="shared" si="1"/>
        <v>1</v>
      </c>
      <c r="AH11" t="b">
        <f t="shared" si="2"/>
        <v>0</v>
      </c>
    </row>
    <row r="12" spans="1:38">
      <c r="A12" t="str">
        <f t="shared" si="3"/>
        <v>dom_eval_EUL_RR_kWh</v>
      </c>
      <c r="L12" t="s">
        <v>2389</v>
      </c>
      <c r="AG12" t="b">
        <f t="shared" ref="AG12:AG49" si="4">IF(NOT(ISBLANK(A12)), LEN(_xlfn.CONCAT(C12:AF12))&gt;0, "")</f>
        <v>1</v>
      </c>
      <c r="AH12" t="b">
        <f t="shared" ref="AH12:AH49" si="5">AND(ISNUMBER(SEARCH("kw",_xlfn.CONCAT(Q12:AF12))), ISNUMBER(SEARCH("thm",_xlfn.CONCAT(Q12:AF12))))</f>
        <v>0</v>
      </c>
    </row>
    <row r="13" spans="1:38">
      <c r="A13" t="str">
        <f t="shared" si="3"/>
        <v>rp_dom_eval_RR_kWh_AG</v>
      </c>
      <c r="L13" t="s">
        <v>1819</v>
      </c>
      <c r="AG13" t="b">
        <f t="shared" si="4"/>
        <v>1</v>
      </c>
      <c r="AH13" t="b">
        <f t="shared" si="5"/>
        <v>0</v>
      </c>
    </row>
    <row r="14" spans="1:38">
      <c r="A14" t="str">
        <f t="shared" si="3"/>
        <v>rp_dom_eval_RR_kW_AG</v>
      </c>
      <c r="L14" t="s">
        <v>1820</v>
      </c>
      <c r="AG14" t="b">
        <f t="shared" si="4"/>
        <v>1</v>
      </c>
      <c r="AH14" t="b">
        <f t="shared" si="5"/>
        <v>0</v>
      </c>
    </row>
    <row r="15" spans="1:38">
      <c r="A15" t="str">
        <f t="shared" si="3"/>
        <v>dom_eval_EUL_RR_thm</v>
      </c>
      <c r="L15" t="s">
        <v>2390</v>
      </c>
      <c r="AG15" t="b">
        <f t="shared" si="4"/>
        <v>1</v>
      </c>
      <c r="AH15" t="b">
        <f t="shared" si="5"/>
        <v>0</v>
      </c>
    </row>
    <row r="16" spans="1:38">
      <c r="A16" t="str">
        <f t="shared" si="3"/>
        <v>rp_dom_eval_RR_thm_AG</v>
      </c>
      <c r="L16" t="s">
        <v>1828</v>
      </c>
      <c r="AG16" t="b">
        <f t="shared" si="4"/>
        <v>1</v>
      </c>
      <c r="AH16" t="b">
        <f t="shared" si="5"/>
        <v>0</v>
      </c>
    </row>
    <row r="17" spans="1:34">
      <c r="A17" t="str">
        <f t="shared" si="3"/>
        <v>rp_dom_eval_RR_kWh_LG</v>
      </c>
      <c r="L17" t="s">
        <v>1834</v>
      </c>
      <c r="AG17" t="b">
        <f t="shared" si="4"/>
        <v>1</v>
      </c>
      <c r="AH17" t="b">
        <f t="shared" si="5"/>
        <v>0</v>
      </c>
    </row>
    <row r="18" spans="1:34">
      <c r="A18" t="str">
        <f t="shared" si="3"/>
        <v>rp_dom_eval_RR_kW_LG</v>
      </c>
      <c r="L18" t="s">
        <v>1835</v>
      </c>
      <c r="AG18" t="b">
        <f t="shared" si="4"/>
        <v>1</v>
      </c>
      <c r="AH18" t="b">
        <f t="shared" si="5"/>
        <v>0</v>
      </c>
    </row>
    <row r="19" spans="1:34">
      <c r="A19" t="str">
        <f t="shared" si="3"/>
        <v>rp_dom_eval_RR_thm_LG</v>
      </c>
      <c r="L19" t="s">
        <v>1843</v>
      </c>
      <c r="AG19" t="b">
        <f t="shared" si="4"/>
        <v>1</v>
      </c>
      <c r="AH19" t="b">
        <f t="shared" si="5"/>
        <v>0</v>
      </c>
    </row>
    <row r="20" spans="1:34">
      <c r="A20" t="str">
        <f t="shared" si="3"/>
        <v>dom_eval_RR_kWh_1G</v>
      </c>
      <c r="L20" t="s">
        <v>2746</v>
      </c>
      <c r="AG20" t="b">
        <f t="shared" ref="AG20:AG25" si="6">IF(NOT(ISBLANK(A20)), LEN(_xlfn.CONCAT(C20:AF20))&gt;0, "")</f>
        <v>1</v>
      </c>
      <c r="AH20" t="b">
        <f t="shared" ref="AH20:AH25" si="7">AND(ISNUMBER(SEARCH("kw",_xlfn.CONCAT(Q20:AF20))), ISNUMBER(SEARCH("thm",_xlfn.CONCAT(Q20:AF20))))</f>
        <v>0</v>
      </c>
    </row>
    <row r="21" spans="1:34">
      <c r="A21" t="str">
        <f t="shared" si="3"/>
        <v>dom_eval_RR_kW_1G</v>
      </c>
      <c r="L21" t="s">
        <v>2747</v>
      </c>
      <c r="AG21" t="b">
        <f t="shared" si="6"/>
        <v>1</v>
      </c>
      <c r="AH21" t="b">
        <f t="shared" si="7"/>
        <v>0</v>
      </c>
    </row>
    <row r="22" spans="1:34">
      <c r="A22" t="str">
        <f t="shared" si="3"/>
        <v>dom_eval_gross_svgs_kWh_1G</v>
      </c>
      <c r="L22" t="s">
        <v>2752</v>
      </c>
      <c r="O22" t="s">
        <v>658</v>
      </c>
      <c r="AG22" t="b">
        <f t="shared" si="6"/>
        <v>1</v>
      </c>
      <c r="AH22" t="b">
        <f t="shared" si="7"/>
        <v>0</v>
      </c>
    </row>
    <row r="23" spans="1:34">
      <c r="A23" t="str">
        <f t="shared" si="3"/>
        <v>dom_eval_gross_svgs_kW_1G</v>
      </c>
      <c r="L23" t="s">
        <v>2753</v>
      </c>
      <c r="O23" t="s">
        <v>658</v>
      </c>
      <c r="AG23" t="b">
        <f t="shared" si="6"/>
        <v>1</v>
      </c>
      <c r="AH23" t="b">
        <f t="shared" si="7"/>
        <v>0</v>
      </c>
    </row>
    <row r="24" spans="1:34">
      <c r="A24" t="str">
        <f t="shared" si="3"/>
        <v>dom_eval_RR_thm_1G</v>
      </c>
      <c r="L24" t="s">
        <v>2748</v>
      </c>
      <c r="AG24" t="b">
        <f t="shared" si="6"/>
        <v>1</v>
      </c>
      <c r="AH24" t="b">
        <f t="shared" si="7"/>
        <v>0</v>
      </c>
    </row>
    <row r="25" spans="1:34">
      <c r="A25" t="str">
        <f t="shared" si="3"/>
        <v>dom_eval_gross_svgs_thm_1G</v>
      </c>
      <c r="L25" t="s">
        <v>2754</v>
      </c>
      <c r="O25" t="s">
        <v>658</v>
      </c>
      <c r="AG25" t="b">
        <f t="shared" si="6"/>
        <v>1</v>
      </c>
      <c r="AH25" t="b">
        <f t="shared" si="7"/>
        <v>0</v>
      </c>
    </row>
    <row r="26" spans="1:34">
      <c r="A26" t="str">
        <f t="shared" si="3"/>
        <v>meas_ct</v>
      </c>
      <c r="L26" t="s">
        <v>2222</v>
      </c>
      <c r="AG26" t="b">
        <f t="shared" si="4"/>
        <v>1</v>
      </c>
      <c r="AH26" t="b">
        <f t="shared" si="5"/>
        <v>0</v>
      </c>
    </row>
    <row r="27" spans="1:34">
      <c r="A27" t="str">
        <f t="shared" si="3"/>
        <v>ea_AnnGross_kWh</v>
      </c>
      <c r="L27" t="s">
        <v>2223</v>
      </c>
      <c r="AG27" t="b">
        <f t="shared" si="4"/>
        <v>1</v>
      </c>
      <c r="AH27" t="b">
        <f t="shared" si="5"/>
        <v>0</v>
      </c>
    </row>
    <row r="28" spans="1:34">
      <c r="A28" t="str">
        <f t="shared" si="3"/>
        <v>ea_AnnGross_kW</v>
      </c>
      <c r="L28" t="s">
        <v>2224</v>
      </c>
      <c r="AG28" t="b">
        <f t="shared" si="4"/>
        <v>1</v>
      </c>
      <c r="AH28" t="b">
        <f t="shared" si="5"/>
        <v>0</v>
      </c>
    </row>
    <row r="29" spans="1:34">
      <c r="A29" t="str">
        <f t="shared" si="3"/>
        <v>ea_LCGross_kWh</v>
      </c>
      <c r="L29" t="s">
        <v>2225</v>
      </c>
      <c r="AG29" t="b">
        <f t="shared" si="4"/>
        <v>1</v>
      </c>
      <c r="AH29" t="b">
        <f t="shared" si="5"/>
        <v>0</v>
      </c>
    </row>
    <row r="30" spans="1:34">
      <c r="A30" t="str">
        <f t="shared" si="3"/>
        <v>ea_LCGross_kW</v>
      </c>
      <c r="L30" t="s">
        <v>2226</v>
      </c>
      <c r="AG30" t="b">
        <f t="shared" si="4"/>
        <v>1</v>
      </c>
      <c r="AH30" t="b">
        <f t="shared" si="5"/>
        <v>0</v>
      </c>
    </row>
    <row r="31" spans="1:34">
      <c r="A31" t="str">
        <f t="shared" si="3"/>
        <v>ea_AnnGross_thm</v>
      </c>
      <c r="L31" t="s">
        <v>2227</v>
      </c>
      <c r="AG31" t="b">
        <f t="shared" si="4"/>
        <v>1</v>
      </c>
      <c r="AH31" t="b">
        <f t="shared" si="5"/>
        <v>0</v>
      </c>
    </row>
    <row r="32" spans="1:34">
      <c r="A32" t="str">
        <f t="shared" si="3"/>
        <v>ea_LCGross_thm</v>
      </c>
      <c r="L32" t="s">
        <v>2228</v>
      </c>
      <c r="AG32" t="b">
        <f t="shared" si="4"/>
        <v>1</v>
      </c>
      <c r="AH32" t="b">
        <f t="shared" si="5"/>
        <v>0</v>
      </c>
    </row>
    <row r="33" spans="1:34">
      <c r="A33" t="str">
        <f t="shared" si="3"/>
        <v>ea_AnnNet_kWh</v>
      </c>
      <c r="L33" t="s">
        <v>2229</v>
      </c>
      <c r="AG33" t="b">
        <f t="shared" si="4"/>
        <v>1</v>
      </c>
      <c r="AH33" t="b">
        <f t="shared" si="5"/>
        <v>0</v>
      </c>
    </row>
    <row r="34" spans="1:34">
      <c r="A34" t="str">
        <f t="shared" si="3"/>
        <v>ea_AnnNet_kW</v>
      </c>
      <c r="L34" t="s">
        <v>2230</v>
      </c>
      <c r="AG34" t="b">
        <f t="shared" si="4"/>
        <v>1</v>
      </c>
      <c r="AH34" t="b">
        <f t="shared" si="5"/>
        <v>0</v>
      </c>
    </row>
    <row r="35" spans="1:34">
      <c r="A35" t="str">
        <f t="shared" si="3"/>
        <v>ea_LCNet_kWh</v>
      </c>
      <c r="L35" t="s">
        <v>2231</v>
      </c>
      <c r="AG35" t="b">
        <f t="shared" si="4"/>
        <v>1</v>
      </c>
      <c r="AH35" t="b">
        <f t="shared" si="5"/>
        <v>0</v>
      </c>
    </row>
    <row r="36" spans="1:34">
      <c r="A36" t="str">
        <f t="shared" si="3"/>
        <v>ea_LCNet_kW</v>
      </c>
      <c r="L36" t="s">
        <v>2232</v>
      </c>
      <c r="AG36" t="b">
        <f t="shared" si="4"/>
        <v>1</v>
      </c>
      <c r="AH36" t="b">
        <f t="shared" si="5"/>
        <v>0</v>
      </c>
    </row>
    <row r="37" spans="1:34">
      <c r="A37" t="str">
        <f t="shared" si="3"/>
        <v>ea_AnnNet_thm</v>
      </c>
      <c r="L37" t="s">
        <v>2233</v>
      </c>
      <c r="AG37" t="b">
        <f t="shared" si="4"/>
        <v>1</v>
      </c>
      <c r="AH37" t="b">
        <f t="shared" si="5"/>
        <v>0</v>
      </c>
    </row>
    <row r="38" spans="1:34">
      <c r="A38" t="str">
        <f t="shared" si="3"/>
        <v>ea_LCNet_thm</v>
      </c>
      <c r="L38" t="s">
        <v>2234</v>
      </c>
      <c r="AG38" t="b">
        <f t="shared" si="4"/>
        <v>1</v>
      </c>
      <c r="AH38" t="b">
        <f t="shared" si="5"/>
        <v>0</v>
      </c>
    </row>
    <row r="39" spans="1:34">
      <c r="A39" t="str">
        <f t="shared" si="3"/>
        <v>ep_AnnGross_kWh</v>
      </c>
      <c r="L39" t="s">
        <v>2235</v>
      </c>
      <c r="AG39" t="b">
        <f t="shared" si="4"/>
        <v>1</v>
      </c>
      <c r="AH39" t="b">
        <f t="shared" si="5"/>
        <v>0</v>
      </c>
    </row>
    <row r="40" spans="1:34">
      <c r="A40" t="str">
        <f t="shared" si="3"/>
        <v>ep_AnnGross_kW</v>
      </c>
      <c r="L40" t="s">
        <v>2236</v>
      </c>
      <c r="AG40" t="b">
        <f t="shared" si="4"/>
        <v>1</v>
      </c>
      <c r="AH40" t="b">
        <f t="shared" si="5"/>
        <v>0</v>
      </c>
    </row>
    <row r="41" spans="1:34">
      <c r="A41" t="str">
        <f t="shared" si="3"/>
        <v>ep_LCGross_kWh</v>
      </c>
      <c r="L41" t="s">
        <v>2237</v>
      </c>
      <c r="AG41" t="b">
        <f t="shared" si="4"/>
        <v>1</v>
      </c>
      <c r="AH41" t="b">
        <f t="shared" si="5"/>
        <v>0</v>
      </c>
    </row>
    <row r="42" spans="1:34">
      <c r="A42" t="str">
        <f t="shared" si="3"/>
        <v>ep_LCGross_kW</v>
      </c>
      <c r="L42" t="s">
        <v>2238</v>
      </c>
      <c r="AG42" t="b">
        <f t="shared" si="4"/>
        <v>1</v>
      </c>
      <c r="AH42" t="b">
        <f t="shared" si="5"/>
        <v>0</v>
      </c>
    </row>
    <row r="43" spans="1:34">
      <c r="A43" t="str">
        <f t="shared" si="3"/>
        <v>ep_AnnGross_thm</v>
      </c>
      <c r="L43" t="s">
        <v>2239</v>
      </c>
      <c r="AG43" t="b">
        <f t="shared" si="4"/>
        <v>1</v>
      </c>
      <c r="AH43" t="b">
        <f t="shared" si="5"/>
        <v>0</v>
      </c>
    </row>
    <row r="44" spans="1:34">
      <c r="A44" t="str">
        <f t="shared" si="3"/>
        <v>ep_LCGross_thm</v>
      </c>
      <c r="L44" t="s">
        <v>2240</v>
      </c>
      <c r="AG44" t="b">
        <f t="shared" si="4"/>
        <v>1</v>
      </c>
      <c r="AH44" t="b">
        <f t="shared" si="5"/>
        <v>0</v>
      </c>
    </row>
    <row r="45" spans="1:34">
      <c r="A45" t="str">
        <f t="shared" si="3"/>
        <v>GrossCompl</v>
      </c>
      <c r="L45" t="s">
        <v>2244</v>
      </c>
      <c r="AG45" t="b">
        <f t="shared" si="4"/>
        <v>1</v>
      </c>
      <c r="AH45" t="b">
        <f t="shared" si="5"/>
        <v>0</v>
      </c>
    </row>
    <row r="46" spans="1:34">
      <c r="A46" t="str">
        <f t="shared" si="3"/>
        <v>ea_EUL_kWh</v>
      </c>
      <c r="L46" t="s">
        <v>2391</v>
      </c>
      <c r="AG46" t="b">
        <f t="shared" si="4"/>
        <v>1</v>
      </c>
      <c r="AH46" t="b">
        <f t="shared" si="5"/>
        <v>0</v>
      </c>
    </row>
    <row r="47" spans="1:34">
      <c r="A47" t="str">
        <f t="shared" si="3"/>
        <v>ea_EUL_thm</v>
      </c>
      <c r="L47" t="s">
        <v>2392</v>
      </c>
      <c r="AG47" t="b">
        <f t="shared" si="4"/>
        <v>1</v>
      </c>
      <c r="AH47" t="b">
        <f t="shared" si="5"/>
        <v>0</v>
      </c>
    </row>
    <row r="48" spans="1:34">
      <c r="A48" t="str">
        <f t="shared" si="3"/>
        <v>ep_EUL_kWh</v>
      </c>
      <c r="L48" t="s">
        <v>2245</v>
      </c>
      <c r="AG48" t="b">
        <f t="shared" si="4"/>
        <v>1</v>
      </c>
      <c r="AH48" t="b">
        <f t="shared" si="5"/>
        <v>0</v>
      </c>
    </row>
    <row r="49" spans="1:34">
      <c r="A49" t="str">
        <f t="shared" si="3"/>
        <v>ep_EUL_thm</v>
      </c>
      <c r="L49" t="s">
        <v>2246</v>
      </c>
      <c r="AG49" t="b">
        <f t="shared" si="4"/>
        <v>1</v>
      </c>
      <c r="AH49" t="b">
        <f t="shared" si="5"/>
        <v>0</v>
      </c>
    </row>
    <row r="50" spans="1:34">
      <c r="A50" s="5" t="s">
        <v>42</v>
      </c>
      <c r="B50" t="s">
        <v>1719</v>
      </c>
      <c r="C50" s="5" t="s">
        <v>42</v>
      </c>
      <c r="AG50" t="b">
        <f t="shared" ref="AG50:AG81" si="8">IF(NOT(ISBLANK(A50)), LEN(_xlfn.CONCAT(C50:AF50))&gt;0, "")</f>
        <v>1</v>
      </c>
      <c r="AH50" t="b">
        <f t="shared" si="0"/>
        <v>0</v>
      </c>
    </row>
    <row r="51" spans="1:34">
      <c r="A51" s="5" t="s">
        <v>43</v>
      </c>
      <c r="B51" t="s">
        <v>1719</v>
      </c>
      <c r="C51" s="5" t="s">
        <v>43</v>
      </c>
      <c r="AG51" t="b">
        <f t="shared" si="8"/>
        <v>1</v>
      </c>
      <c r="AH51" t="b">
        <f t="shared" si="0"/>
        <v>0</v>
      </c>
    </row>
    <row r="52" spans="1:34">
      <c r="A52" s="5" t="s">
        <v>44</v>
      </c>
      <c r="B52" t="s">
        <v>1719</v>
      </c>
      <c r="C52" s="5" t="s">
        <v>44</v>
      </c>
      <c r="AG52" t="b">
        <f t="shared" si="8"/>
        <v>1</v>
      </c>
      <c r="AH52" t="b">
        <f t="shared" si="0"/>
        <v>0</v>
      </c>
    </row>
    <row r="53" spans="1:34">
      <c r="A53" s="5" t="s">
        <v>45</v>
      </c>
      <c r="B53" t="s">
        <v>1719</v>
      </c>
      <c r="C53" s="5" t="s">
        <v>45</v>
      </c>
      <c r="O53" t="s">
        <v>658</v>
      </c>
      <c r="AG53" t="b">
        <f t="shared" si="8"/>
        <v>1</v>
      </c>
      <c r="AH53" t="b">
        <f t="shared" si="0"/>
        <v>0</v>
      </c>
    </row>
    <row r="54" spans="1:34">
      <c r="A54" s="5" t="s">
        <v>23</v>
      </c>
      <c r="B54" t="s">
        <v>1719</v>
      </c>
      <c r="C54" s="5" t="s">
        <v>23</v>
      </c>
      <c r="O54" t="s">
        <v>658</v>
      </c>
      <c r="AG54" t="b">
        <f t="shared" si="8"/>
        <v>1</v>
      </c>
      <c r="AH54" t="b">
        <f t="shared" si="0"/>
        <v>0</v>
      </c>
    </row>
    <row r="55" spans="1:34">
      <c r="A55" s="10" t="s">
        <v>109</v>
      </c>
      <c r="B55" t="s">
        <v>1719</v>
      </c>
      <c r="C55" s="5" t="s">
        <v>109</v>
      </c>
      <c r="O55" t="s">
        <v>658</v>
      </c>
      <c r="AG55" t="b">
        <f t="shared" si="8"/>
        <v>1</v>
      </c>
      <c r="AH55" t="b">
        <f t="shared" si="0"/>
        <v>0</v>
      </c>
    </row>
    <row r="56" spans="1:34">
      <c r="A56" s="10" t="s">
        <v>110</v>
      </c>
      <c r="B56" t="s">
        <v>1719</v>
      </c>
      <c r="C56" s="5" t="s">
        <v>110</v>
      </c>
      <c r="O56" t="s">
        <v>658</v>
      </c>
      <c r="AG56" t="b">
        <f t="shared" si="8"/>
        <v>1</v>
      </c>
      <c r="AH56" t="b">
        <f t="shared" si="0"/>
        <v>0</v>
      </c>
    </row>
    <row r="57" spans="1:34">
      <c r="A57" s="10" t="s">
        <v>111</v>
      </c>
      <c r="B57" t="s">
        <v>1719</v>
      </c>
      <c r="C57" s="5" t="s">
        <v>111</v>
      </c>
      <c r="O57" t="s">
        <v>658</v>
      </c>
      <c r="AG57" t="b">
        <f t="shared" si="8"/>
        <v>1</v>
      </c>
      <c r="AH57" t="b">
        <f t="shared" si="0"/>
        <v>0</v>
      </c>
    </row>
    <row r="58" spans="1:34">
      <c r="A58" s="10" t="s">
        <v>112</v>
      </c>
      <c r="B58" t="s">
        <v>1719</v>
      </c>
      <c r="C58" s="5" t="s">
        <v>112</v>
      </c>
      <c r="O58" t="s">
        <v>658</v>
      </c>
      <c r="AG58" t="b">
        <f t="shared" si="8"/>
        <v>1</v>
      </c>
      <c r="AH58" t="b">
        <f t="shared" si="0"/>
        <v>0</v>
      </c>
    </row>
    <row r="59" spans="1:34">
      <c r="A59" s="10" t="s">
        <v>113</v>
      </c>
      <c r="B59" t="s">
        <v>1719</v>
      </c>
      <c r="C59" s="5" t="s">
        <v>113</v>
      </c>
      <c r="O59" t="s">
        <v>658</v>
      </c>
      <c r="AG59" t="b">
        <f t="shared" si="8"/>
        <v>1</v>
      </c>
      <c r="AH59" t="b">
        <f t="shared" si="0"/>
        <v>0</v>
      </c>
    </row>
    <row r="60" spans="1:34">
      <c r="A60" s="10" t="s">
        <v>114</v>
      </c>
      <c r="B60" t="s">
        <v>1719</v>
      </c>
      <c r="C60" s="5" t="s">
        <v>114</v>
      </c>
      <c r="O60" t="s">
        <v>658</v>
      </c>
      <c r="AG60" t="b">
        <f t="shared" si="8"/>
        <v>1</v>
      </c>
      <c r="AH60" t="b">
        <f t="shared" si="0"/>
        <v>0</v>
      </c>
    </row>
    <row r="61" spans="1:34">
      <c r="A61" s="10" t="s">
        <v>115</v>
      </c>
      <c r="B61" t="s">
        <v>1719</v>
      </c>
      <c r="C61" s="5" t="s">
        <v>115</v>
      </c>
      <c r="O61" t="s">
        <v>658</v>
      </c>
      <c r="AG61" t="b">
        <f t="shared" si="8"/>
        <v>1</v>
      </c>
      <c r="AH61" t="b">
        <f t="shared" si="0"/>
        <v>0</v>
      </c>
    </row>
    <row r="62" spans="1:34">
      <c r="A62" s="10" t="s">
        <v>116</v>
      </c>
      <c r="B62" t="s">
        <v>1719</v>
      </c>
      <c r="C62" s="5" t="s">
        <v>116</v>
      </c>
      <c r="O62" t="s">
        <v>658</v>
      </c>
      <c r="AG62" t="b">
        <f t="shared" si="8"/>
        <v>1</v>
      </c>
      <c r="AH62" t="b">
        <f t="shared" si="0"/>
        <v>0</v>
      </c>
    </row>
    <row r="63" spans="1:34">
      <c r="A63" s="10" t="s">
        <v>117</v>
      </c>
      <c r="B63" t="s">
        <v>1719</v>
      </c>
      <c r="C63" s="5" t="s">
        <v>117</v>
      </c>
      <c r="O63" t="s">
        <v>658</v>
      </c>
      <c r="AG63" t="b">
        <f t="shared" si="8"/>
        <v>1</v>
      </c>
      <c r="AH63" t="b">
        <f t="shared" si="0"/>
        <v>0</v>
      </c>
    </row>
    <row r="64" spans="1:34">
      <c r="A64" s="10" t="s">
        <v>118</v>
      </c>
      <c r="B64" t="s">
        <v>1719</v>
      </c>
      <c r="C64" s="5" t="s">
        <v>118</v>
      </c>
      <c r="O64" t="s">
        <v>658</v>
      </c>
      <c r="AG64" t="b">
        <f t="shared" si="8"/>
        <v>1</v>
      </c>
      <c r="AH64" t="b">
        <f t="shared" si="0"/>
        <v>0</v>
      </c>
    </row>
    <row r="65" spans="1:34">
      <c r="A65" s="10" t="s">
        <v>119</v>
      </c>
      <c r="B65" t="s">
        <v>1719</v>
      </c>
      <c r="C65" s="5" t="s">
        <v>119</v>
      </c>
      <c r="O65" t="s">
        <v>658</v>
      </c>
      <c r="AG65" t="b">
        <f t="shared" si="8"/>
        <v>1</v>
      </c>
      <c r="AH65" t="b">
        <f t="shared" si="0"/>
        <v>0</v>
      </c>
    </row>
    <row r="66" spans="1:34">
      <c r="A66" s="10" t="s">
        <v>120</v>
      </c>
      <c r="B66" t="s">
        <v>1719</v>
      </c>
      <c r="C66" s="5" t="s">
        <v>120</v>
      </c>
      <c r="O66" t="s">
        <v>658</v>
      </c>
      <c r="AG66" t="b">
        <f t="shared" si="8"/>
        <v>1</v>
      </c>
      <c r="AH66" t="b">
        <f t="shared" si="0"/>
        <v>0</v>
      </c>
    </row>
    <row r="67" spans="1:34">
      <c r="A67" t="str">
        <f>C67</f>
        <v>ExAnteFirstYearGrosskW</v>
      </c>
      <c r="B67" t="s">
        <v>1719</v>
      </c>
      <c r="C67" s="5" t="s">
        <v>48</v>
      </c>
      <c r="O67" t="s">
        <v>658</v>
      </c>
      <c r="AG67" t="b">
        <f t="shared" si="8"/>
        <v>1</v>
      </c>
      <c r="AH67" t="b">
        <f t="shared" si="0"/>
        <v>0</v>
      </c>
    </row>
    <row r="68" spans="1:34">
      <c r="A68" t="str">
        <f t="shared" ref="A68:A138" si="9">C68</f>
        <v>ExAnteFirstYearGrosskWh</v>
      </c>
      <c r="B68" t="s">
        <v>1719</v>
      </c>
      <c r="C68" s="5" t="s">
        <v>49</v>
      </c>
      <c r="O68" t="s">
        <v>658</v>
      </c>
      <c r="AG68" t="b">
        <f t="shared" si="8"/>
        <v>1</v>
      </c>
      <c r="AH68" t="b">
        <f t="shared" si="0"/>
        <v>0</v>
      </c>
    </row>
    <row r="69" spans="1:34">
      <c r="A69" t="str">
        <f t="shared" si="9"/>
        <v>ExAnteFirstYearGrossTherm</v>
      </c>
      <c r="B69" t="s">
        <v>1719</v>
      </c>
      <c r="C69" s="5" t="s">
        <v>50</v>
      </c>
      <c r="O69" t="s">
        <v>658</v>
      </c>
      <c r="AG69" t="b">
        <f t="shared" si="8"/>
        <v>1</v>
      </c>
      <c r="AH69" t="b">
        <f t="shared" si="0"/>
        <v>0</v>
      </c>
    </row>
    <row r="70" spans="1:34">
      <c r="A70" t="str">
        <f t="shared" si="9"/>
        <v>ExAnteFirstYearNetkW</v>
      </c>
      <c r="B70" t="s">
        <v>1719</v>
      </c>
      <c r="C70" s="5" t="s">
        <v>51</v>
      </c>
      <c r="O70" t="s">
        <v>658</v>
      </c>
      <c r="AG70" t="b">
        <f t="shared" si="8"/>
        <v>1</v>
      </c>
      <c r="AH70" t="b">
        <f t="shared" si="0"/>
        <v>0</v>
      </c>
    </row>
    <row r="71" spans="1:34">
      <c r="A71" t="str">
        <f t="shared" si="9"/>
        <v>ExAnteFirstYearNetkWh</v>
      </c>
      <c r="B71" t="s">
        <v>1719</v>
      </c>
      <c r="C71" s="5" t="s">
        <v>52</v>
      </c>
      <c r="O71" t="s">
        <v>658</v>
      </c>
      <c r="AG71" t="b">
        <f t="shared" si="8"/>
        <v>1</v>
      </c>
      <c r="AH71" t="b">
        <f t="shared" si="0"/>
        <v>0</v>
      </c>
    </row>
    <row r="72" spans="1:34">
      <c r="A72" t="str">
        <f t="shared" si="9"/>
        <v>ExAnteFirstYearNetTherm</v>
      </c>
      <c r="B72" t="s">
        <v>1719</v>
      </c>
      <c r="C72" s="5" t="s">
        <v>53</v>
      </c>
      <c r="O72" t="s">
        <v>658</v>
      </c>
      <c r="AG72" t="b">
        <f t="shared" si="8"/>
        <v>1</v>
      </c>
      <c r="AH72" t="b">
        <f t="shared" si="0"/>
        <v>0</v>
      </c>
    </row>
    <row r="73" spans="1:34">
      <c r="A73" t="str">
        <f t="shared" si="9"/>
        <v>ExAnteLifecycleGrosskW</v>
      </c>
      <c r="B73" t="s">
        <v>1719</v>
      </c>
      <c r="C73" s="5" t="s">
        <v>54</v>
      </c>
      <c r="O73" t="s">
        <v>658</v>
      </c>
      <c r="AG73" t="b">
        <f t="shared" si="8"/>
        <v>1</v>
      </c>
      <c r="AH73" t="b">
        <f t="shared" si="0"/>
        <v>0</v>
      </c>
    </row>
    <row r="74" spans="1:34">
      <c r="A74" t="str">
        <f t="shared" si="9"/>
        <v>ExAnteLifecycleGrosskWh</v>
      </c>
      <c r="B74" t="s">
        <v>1719</v>
      </c>
      <c r="C74" s="5" t="s">
        <v>55</v>
      </c>
      <c r="O74" t="s">
        <v>658</v>
      </c>
      <c r="AG74" t="b">
        <f t="shared" si="8"/>
        <v>1</v>
      </c>
      <c r="AH74" t="b">
        <f t="shared" si="0"/>
        <v>0</v>
      </c>
    </row>
    <row r="75" spans="1:34">
      <c r="A75" t="str">
        <f t="shared" si="9"/>
        <v>ExAnteLifecycleGrossTherm</v>
      </c>
      <c r="B75" t="s">
        <v>1719</v>
      </c>
      <c r="C75" s="5" t="s">
        <v>56</v>
      </c>
      <c r="O75" t="s">
        <v>658</v>
      </c>
      <c r="AG75" t="b">
        <f t="shared" si="8"/>
        <v>1</v>
      </c>
      <c r="AH75" t="b">
        <f t="shared" si="0"/>
        <v>0</v>
      </c>
    </row>
    <row r="76" spans="1:34">
      <c r="A76" t="str">
        <f t="shared" si="9"/>
        <v>ExAnteLifecycleNetkW</v>
      </c>
      <c r="B76" t="s">
        <v>1719</v>
      </c>
      <c r="C76" s="5" t="s">
        <v>57</v>
      </c>
      <c r="O76" t="s">
        <v>658</v>
      </c>
      <c r="AG76" t="b">
        <f t="shared" si="8"/>
        <v>1</v>
      </c>
      <c r="AH76" t="b">
        <f t="shared" si="0"/>
        <v>0</v>
      </c>
    </row>
    <row r="77" spans="1:34">
      <c r="A77" t="str">
        <f t="shared" si="9"/>
        <v>ExAnteLifecycleNetkWh</v>
      </c>
      <c r="B77" t="s">
        <v>1719</v>
      </c>
      <c r="C77" s="5" t="s">
        <v>58</v>
      </c>
      <c r="O77" t="s">
        <v>658</v>
      </c>
      <c r="AG77" t="b">
        <f t="shared" si="8"/>
        <v>1</v>
      </c>
      <c r="AH77" t="b">
        <f t="shared" si="0"/>
        <v>0</v>
      </c>
    </row>
    <row r="78" spans="1:34">
      <c r="A78" t="str">
        <f t="shared" si="9"/>
        <v>ExAnteLifecycleNetTherm</v>
      </c>
      <c r="B78" t="s">
        <v>1719</v>
      </c>
      <c r="C78" s="5" t="s">
        <v>59</v>
      </c>
      <c r="O78" t="s">
        <v>658</v>
      </c>
      <c r="AG78" t="b">
        <f t="shared" si="8"/>
        <v>1</v>
      </c>
      <c r="AH78" t="b">
        <f t="shared" si="0"/>
        <v>0</v>
      </c>
    </row>
    <row r="79" spans="1:34">
      <c r="A79" t="str">
        <f t="shared" si="9"/>
        <v>ExAnteFirstYearGrossBTU</v>
      </c>
      <c r="B79" t="s">
        <v>1719</v>
      </c>
      <c r="C79" s="5" t="s">
        <v>143</v>
      </c>
      <c r="O79" t="s">
        <v>658</v>
      </c>
      <c r="AG79" t="b">
        <f t="shared" si="8"/>
        <v>1</v>
      </c>
      <c r="AH79" t="b">
        <f t="shared" si="0"/>
        <v>0</v>
      </c>
    </row>
    <row r="80" spans="1:34">
      <c r="A80" t="str">
        <f t="shared" si="9"/>
        <v>ExAnteGrossMeasureCost</v>
      </c>
      <c r="B80" t="s">
        <v>1719</v>
      </c>
      <c r="C80" s="5" t="s">
        <v>144</v>
      </c>
      <c r="O80" t="s">
        <v>658</v>
      </c>
      <c r="AG80" t="b">
        <f t="shared" si="8"/>
        <v>1</v>
      </c>
      <c r="AH80" t="b">
        <f t="shared" si="0"/>
        <v>0</v>
      </c>
    </row>
    <row r="81" spans="1:38">
      <c r="A81" t="str">
        <f t="shared" si="9"/>
        <v>ExAnteGrossMeasureCost_ER</v>
      </c>
      <c r="B81" t="s">
        <v>1719</v>
      </c>
      <c r="C81" s="5" t="s">
        <v>145</v>
      </c>
      <c r="O81" t="s">
        <v>658</v>
      </c>
      <c r="AG81" t="b">
        <f t="shared" si="8"/>
        <v>1</v>
      </c>
      <c r="AH81" t="b">
        <f t="shared" si="0"/>
        <v>0</v>
      </c>
    </row>
    <row r="82" spans="1:38">
      <c r="A82" t="str">
        <f t="shared" si="9"/>
        <v>ExAnteGrossIncentive</v>
      </c>
      <c r="B82" t="s">
        <v>1719</v>
      </c>
      <c r="C82" s="5" t="s">
        <v>146</v>
      </c>
      <c r="O82" t="s">
        <v>658</v>
      </c>
      <c r="AG82" t="b">
        <f t="shared" ref="AG82:AG106" si="10">IF(NOT(ISBLANK(A82)), LEN(_xlfn.CONCAT(C82:AF82))&gt;0, "")</f>
        <v>1</v>
      </c>
      <c r="AH82" t="b">
        <f t="shared" si="0"/>
        <v>0</v>
      </c>
    </row>
    <row r="83" spans="1:38">
      <c r="A83" t="s">
        <v>596</v>
      </c>
      <c r="M83" t="str">
        <f>map_gross!A60</f>
        <v>ExAnteBase1kWSvgs</v>
      </c>
      <c r="AG83" t="b">
        <f t="shared" si="10"/>
        <v>1</v>
      </c>
      <c r="AH83" t="b">
        <f t="shared" si="0"/>
        <v>0</v>
      </c>
    </row>
    <row r="84" spans="1:38">
      <c r="A84" t="s">
        <v>597</v>
      </c>
      <c r="M84" t="str">
        <f>map_gross!A61</f>
        <v>ExAnteBase1kWhSvgs</v>
      </c>
      <c r="AG84" t="b">
        <f t="shared" si="10"/>
        <v>1</v>
      </c>
      <c r="AH84" t="b">
        <f t="shared" si="0"/>
        <v>0</v>
      </c>
    </row>
    <row r="85" spans="1:38">
      <c r="A85" t="s">
        <v>598</v>
      </c>
      <c r="M85" t="str">
        <f>map_gross!A62</f>
        <v>ExAnteBase1ThermSvgs</v>
      </c>
      <c r="AG85" t="b">
        <f t="shared" si="10"/>
        <v>1</v>
      </c>
      <c r="AH85" t="b">
        <f t="shared" si="0"/>
        <v>0</v>
      </c>
    </row>
    <row r="86" spans="1:38">
      <c r="A86" t="s">
        <v>599</v>
      </c>
      <c r="M86" t="str">
        <f>map_gross!A63</f>
        <v>ExAnteBase2kWSvgs</v>
      </c>
      <c r="AG86" t="b">
        <f t="shared" si="10"/>
        <v>1</v>
      </c>
      <c r="AH86" t="b">
        <f t="shared" si="0"/>
        <v>0</v>
      </c>
    </row>
    <row r="87" spans="1:38">
      <c r="A87" t="s">
        <v>600</v>
      </c>
      <c r="M87" t="str">
        <f>map_gross!A64</f>
        <v>ExAnteBase2kWhSvgs</v>
      </c>
      <c r="AG87" t="b">
        <f t="shared" si="10"/>
        <v>1</v>
      </c>
      <c r="AH87" t="b">
        <f t="shared" si="0"/>
        <v>0</v>
      </c>
    </row>
    <row r="88" spans="1:38">
      <c r="A88" t="s">
        <v>601</v>
      </c>
      <c r="M88" t="str">
        <f>map_gross!A65</f>
        <v>ExAnteBase2ThermSvgs</v>
      </c>
      <c r="AG88" t="b">
        <f t="shared" si="10"/>
        <v>1</v>
      </c>
      <c r="AH88" t="b">
        <f t="shared" si="0"/>
        <v>0</v>
      </c>
    </row>
    <row r="89" spans="1:38">
      <c r="A89" t="s">
        <v>1633</v>
      </c>
      <c r="M89" t="str">
        <f>map_gross!A66</f>
        <v>ExAnte_LifeCycleGross_NoRR_kW</v>
      </c>
      <c r="AG89" t="b">
        <f t="shared" si="10"/>
        <v>1</v>
      </c>
      <c r="AH89" t="b">
        <f t="shared" ref="AH89:AH106" si="11">AND(ISNUMBER(SEARCH("kw",_xlfn.CONCAT(Q89:AF89))), ISNUMBER(SEARCH("thm",_xlfn.CONCAT(Q89:AF89))))</f>
        <v>0</v>
      </c>
      <c r="AL89">
        <v>24</v>
      </c>
    </row>
    <row r="90" spans="1:38">
      <c r="A90" t="s">
        <v>1634</v>
      </c>
      <c r="M90" t="str">
        <f>map_gross!A67</f>
        <v>ExAnte_LifeCycleGross_NoRR_kWh</v>
      </c>
      <c r="AG90" t="b">
        <f t="shared" si="10"/>
        <v>1</v>
      </c>
      <c r="AH90" t="b">
        <f t="shared" si="11"/>
        <v>0</v>
      </c>
      <c r="AL90">
        <v>24</v>
      </c>
    </row>
    <row r="91" spans="1:38">
      <c r="A91" t="s">
        <v>1635</v>
      </c>
      <c r="M91" t="str">
        <f>map_gross!A68</f>
        <v>ExAnte_LifeCycleGross_NoRR_thm</v>
      </c>
      <c r="AG91" t="b">
        <f t="shared" si="10"/>
        <v>1</v>
      </c>
      <c r="AH91" t="b">
        <f t="shared" si="11"/>
        <v>0</v>
      </c>
      <c r="AL91">
        <v>24</v>
      </c>
    </row>
    <row r="92" spans="1:38">
      <c r="A92" t="s">
        <v>1657</v>
      </c>
      <c r="M92" t="str">
        <f>map_gross!A69</f>
        <v>ExAnte_LifeCycleNet_NoRR_kW</v>
      </c>
      <c r="AG92" t="b">
        <f t="shared" si="10"/>
        <v>1</v>
      </c>
      <c r="AH92" t="b">
        <f t="shared" si="11"/>
        <v>0</v>
      </c>
      <c r="AL92">
        <v>24</v>
      </c>
    </row>
    <row r="93" spans="1:38">
      <c r="A93" t="s">
        <v>1658</v>
      </c>
      <c r="M93" t="str">
        <f>map_gross!A70</f>
        <v>ExAnte_LifeCycleNet_NoRR_kWh</v>
      </c>
      <c r="AG93" t="b">
        <f t="shared" si="10"/>
        <v>1</v>
      </c>
      <c r="AH93" t="b">
        <f t="shared" si="11"/>
        <v>0</v>
      </c>
      <c r="AL93">
        <v>24</v>
      </c>
    </row>
    <row r="94" spans="1:38">
      <c r="A94" t="s">
        <v>1659</v>
      </c>
      <c r="M94" t="str">
        <f>map_gross!A71</f>
        <v>ExAnte_LifeCycleNet_NoRR_thm</v>
      </c>
      <c r="AG94" t="b">
        <f t="shared" si="10"/>
        <v>1</v>
      </c>
      <c r="AH94" t="b">
        <f t="shared" si="11"/>
        <v>0</v>
      </c>
      <c r="AL94">
        <v>24</v>
      </c>
    </row>
    <row r="95" spans="1:38">
      <c r="A95" t="s">
        <v>1636</v>
      </c>
      <c r="M95" t="str">
        <f>map_gross!A75</f>
        <v>ExAnte_Annualized_kW</v>
      </c>
      <c r="AG95" t="b">
        <f t="shared" si="10"/>
        <v>1</v>
      </c>
      <c r="AH95" t="b">
        <f t="shared" si="11"/>
        <v>0</v>
      </c>
    </row>
    <row r="96" spans="1:38">
      <c r="A96" t="s">
        <v>1637</v>
      </c>
      <c r="M96" t="str">
        <f>map_gross!A76</f>
        <v>ExAnte_Annualized_kWh</v>
      </c>
      <c r="AG96" t="b">
        <f t="shared" si="10"/>
        <v>1</v>
      </c>
      <c r="AH96" t="b">
        <f t="shared" si="11"/>
        <v>0</v>
      </c>
    </row>
    <row r="97" spans="1:34">
      <c r="A97" t="s">
        <v>2249</v>
      </c>
      <c r="M97" t="str">
        <f>map_gross!A77</f>
        <v>ExAnte_Annualized_thm</v>
      </c>
      <c r="AG97" t="b">
        <f t="shared" si="10"/>
        <v>1</v>
      </c>
      <c r="AH97" t="b">
        <f t="shared" si="11"/>
        <v>0</v>
      </c>
    </row>
    <row r="98" spans="1:34">
      <c r="A98" t="s">
        <v>747</v>
      </c>
      <c r="O98" t="s">
        <v>658</v>
      </c>
      <c r="AG98" t="b">
        <f t="shared" si="10"/>
        <v>1</v>
      </c>
      <c r="AH98" t="b">
        <f t="shared" si="11"/>
        <v>0</v>
      </c>
    </row>
    <row r="99" spans="1:34">
      <c r="A99" t="s">
        <v>748</v>
      </c>
      <c r="O99" t="s">
        <v>658</v>
      </c>
      <c r="AG99" t="b">
        <f t="shared" si="10"/>
        <v>1</v>
      </c>
      <c r="AH99" t="b">
        <f t="shared" si="11"/>
        <v>0</v>
      </c>
    </row>
    <row r="100" spans="1:34">
      <c r="A100" t="s">
        <v>749</v>
      </c>
      <c r="O100" t="s">
        <v>658</v>
      </c>
      <c r="AG100" t="b">
        <f t="shared" si="10"/>
        <v>1</v>
      </c>
      <c r="AH100" t="b">
        <f t="shared" si="11"/>
        <v>0</v>
      </c>
    </row>
    <row r="101" spans="1:34">
      <c r="A101" t="s">
        <v>750</v>
      </c>
      <c r="O101" t="s">
        <v>658</v>
      </c>
      <c r="AG101" t="b">
        <f t="shared" si="10"/>
        <v>1</v>
      </c>
      <c r="AH101" t="b">
        <f t="shared" si="11"/>
        <v>0</v>
      </c>
    </row>
    <row r="102" spans="1:34">
      <c r="A102" t="s">
        <v>751</v>
      </c>
      <c r="O102" t="s">
        <v>658</v>
      </c>
      <c r="AG102" t="b">
        <f t="shared" si="10"/>
        <v>1</v>
      </c>
      <c r="AH102" t="b">
        <f t="shared" si="11"/>
        <v>0</v>
      </c>
    </row>
    <row r="103" spans="1:34">
      <c r="A103" t="s">
        <v>752</v>
      </c>
      <c r="O103" t="s">
        <v>658</v>
      </c>
      <c r="AG103" t="b">
        <f t="shared" si="10"/>
        <v>1</v>
      </c>
      <c r="AH103" t="b">
        <f t="shared" si="11"/>
        <v>0</v>
      </c>
    </row>
    <row r="104" spans="1:34">
      <c r="A104" t="s">
        <v>1654</v>
      </c>
      <c r="M104" t="str">
        <f>map_gross!A84</f>
        <v>ExAnte_Annualized_Net_NoRR_kW</v>
      </c>
      <c r="AG104" t="b">
        <f t="shared" si="10"/>
        <v>1</v>
      </c>
      <c r="AH104" t="b">
        <f t="shared" si="11"/>
        <v>0</v>
      </c>
    </row>
    <row r="105" spans="1:34">
      <c r="A105" t="s">
        <v>1656</v>
      </c>
      <c r="M105" t="str">
        <f>map_gross!A85</f>
        <v>ExAnte_Annualized_Net_NoRR_kWh</v>
      </c>
      <c r="AG105" t="b">
        <f t="shared" si="10"/>
        <v>1</v>
      </c>
      <c r="AH105" t="b">
        <f t="shared" si="11"/>
        <v>0</v>
      </c>
    </row>
    <row r="106" spans="1:34">
      <c r="A106" t="s">
        <v>1655</v>
      </c>
      <c r="M106" t="str">
        <f>map_gross!A86</f>
        <v>ExAnte_Annualized_Net_NoRR_thm</v>
      </c>
      <c r="AG106" t="b">
        <f t="shared" si="10"/>
        <v>1</v>
      </c>
      <c r="AH106" t="b">
        <f t="shared" si="11"/>
        <v>0</v>
      </c>
    </row>
    <row r="107" spans="1:34">
      <c r="A107" t="s">
        <v>2251</v>
      </c>
      <c r="R107" t="str">
        <f>A83 &amp; " * " &amp; $A$9</f>
        <v>ExAnteBase1kWSvgs * dom_eval_RR_kW_LG</v>
      </c>
      <c r="AG107" t="b">
        <f t="shared" ref="AG107:AG124" si="12">IF(NOT(ISBLANK(A107)), LEN(_xlfn.CONCAT(C107:AF107))&gt;0, "")</f>
        <v>1</v>
      </c>
      <c r="AH107" t="b">
        <f t="shared" ref="AH107:AH124" si="13">AND(ISNUMBER(SEARCH("kw",_xlfn.CONCAT(Q107:AF107))), ISNUMBER(SEARCH("thm",_xlfn.CONCAT(Q107:AF107))))</f>
        <v>0</v>
      </c>
    </row>
    <row r="108" spans="1:34">
      <c r="A108" t="s">
        <v>2252</v>
      </c>
      <c r="R108" t="str">
        <f>A84 &amp; " * " &amp; $A$10</f>
        <v>ExAnteBase1kWhSvgs * dom_eval_RR_kWh_LG</v>
      </c>
      <c r="AG108" t="b">
        <f t="shared" si="12"/>
        <v>1</v>
      </c>
      <c r="AH108" t="b">
        <f t="shared" si="13"/>
        <v>0</v>
      </c>
    </row>
    <row r="109" spans="1:34">
      <c r="A109" t="s">
        <v>2253</v>
      </c>
      <c r="R109" t="str">
        <f>A85 &amp; " * " &amp; $A$11</f>
        <v>ExAnteBase1ThermSvgs * dom_eval_RR_thm_LG</v>
      </c>
      <c r="AG109" t="b">
        <f t="shared" si="12"/>
        <v>1</v>
      </c>
      <c r="AH109" t="b">
        <f t="shared" si="13"/>
        <v>0</v>
      </c>
    </row>
    <row r="110" spans="1:34">
      <c r="A110" t="s">
        <v>2254</v>
      </c>
      <c r="R110" t="str">
        <f>A86 &amp; " * " &amp; $A$9</f>
        <v>ExAnteBase2kWSvgs * dom_eval_RR_kW_LG</v>
      </c>
      <c r="AG110" t="b">
        <f t="shared" si="12"/>
        <v>1</v>
      </c>
      <c r="AH110" t="b">
        <f t="shared" si="13"/>
        <v>0</v>
      </c>
    </row>
    <row r="111" spans="1:34">
      <c r="A111" t="s">
        <v>2255</v>
      </c>
      <c r="R111" t="str">
        <f>A87 &amp; " * " &amp; $A$10</f>
        <v>ExAnteBase2kWhSvgs * dom_eval_RR_kWh_LG</v>
      </c>
      <c r="AG111" t="b">
        <f t="shared" si="12"/>
        <v>1</v>
      </c>
      <c r="AH111" t="b">
        <f t="shared" si="13"/>
        <v>0</v>
      </c>
    </row>
    <row r="112" spans="1:34">
      <c r="A112" t="s">
        <v>2256</v>
      </c>
      <c r="R112" t="str">
        <f>A88 &amp; " * " &amp; $A$11</f>
        <v>ExAnteBase2ThermSvgs * dom_eval_RR_thm_LG</v>
      </c>
      <c r="AG112" t="b">
        <f t="shared" si="12"/>
        <v>1</v>
      </c>
      <c r="AH112" t="b">
        <f t="shared" si="13"/>
        <v>0</v>
      </c>
    </row>
    <row r="113" spans="1:34">
      <c r="A113" t="s">
        <v>2257</v>
      </c>
      <c r="O113" t="s">
        <v>658</v>
      </c>
      <c r="R113" t="str">
        <f>A89 &amp; " * " &amp; $A$9</f>
        <v>ExAnte_LifeCycleGross_NoRR_kW * dom_eval_RR_kW_LG</v>
      </c>
      <c r="AG113" t="b">
        <f t="shared" si="12"/>
        <v>1</v>
      </c>
      <c r="AH113" t="b">
        <f t="shared" si="13"/>
        <v>0</v>
      </c>
    </row>
    <row r="114" spans="1:34">
      <c r="A114" t="s">
        <v>2258</v>
      </c>
      <c r="O114" t="s">
        <v>658</v>
      </c>
      <c r="R114" t="str">
        <f>A90 &amp; " * " &amp; $A$10</f>
        <v>ExAnte_LifeCycleGross_NoRR_kWh * dom_eval_RR_kWh_LG</v>
      </c>
      <c r="AG114" t="b">
        <f t="shared" si="12"/>
        <v>1</v>
      </c>
      <c r="AH114" t="b">
        <f t="shared" si="13"/>
        <v>0</v>
      </c>
    </row>
    <row r="115" spans="1:34">
      <c r="A115" t="s">
        <v>2259</v>
      </c>
      <c r="O115" t="s">
        <v>658</v>
      </c>
      <c r="R115" t="str">
        <f>A91 &amp; " * " &amp; $A$11</f>
        <v>ExAnte_LifeCycleGross_NoRR_thm * dom_eval_RR_thm_LG</v>
      </c>
      <c r="AG115" t="b">
        <f t="shared" si="12"/>
        <v>1</v>
      </c>
      <c r="AH115" t="b">
        <f t="shared" si="13"/>
        <v>0</v>
      </c>
    </row>
    <row r="116" spans="1:34">
      <c r="A116" t="s">
        <v>2260</v>
      </c>
      <c r="O116" t="s">
        <v>658</v>
      </c>
      <c r="AG116" t="b">
        <f t="shared" si="12"/>
        <v>1</v>
      </c>
      <c r="AH116" t="b">
        <f t="shared" si="13"/>
        <v>0</v>
      </c>
    </row>
    <row r="117" spans="1:34">
      <c r="A117" t="s">
        <v>2261</v>
      </c>
      <c r="O117" t="s">
        <v>658</v>
      </c>
      <c r="AG117" t="b">
        <f t="shared" si="12"/>
        <v>1</v>
      </c>
      <c r="AH117" t="b">
        <f t="shared" si="13"/>
        <v>0</v>
      </c>
    </row>
    <row r="118" spans="1:34">
      <c r="A118" t="s">
        <v>2262</v>
      </c>
      <c r="O118" t="s">
        <v>658</v>
      </c>
      <c r="AG118" t="b">
        <f t="shared" si="12"/>
        <v>1</v>
      </c>
      <c r="AH118" t="b">
        <f t="shared" si="13"/>
        <v>0</v>
      </c>
    </row>
    <row r="119" spans="1:34">
      <c r="A119" t="s">
        <v>2263</v>
      </c>
      <c r="O119" t="s">
        <v>658</v>
      </c>
      <c r="R119" t="str">
        <f>A95 &amp; " * " &amp; $A$6</f>
        <v>ExAnte_Annualized_NoRR_kW * dom_eval_RR_kW_AG</v>
      </c>
      <c r="AG119" t="b">
        <f t="shared" si="12"/>
        <v>1</v>
      </c>
      <c r="AH119" t="b">
        <f t="shared" si="13"/>
        <v>0</v>
      </c>
    </row>
    <row r="120" spans="1:34">
      <c r="A120" t="s">
        <v>2264</v>
      </c>
      <c r="O120" t="s">
        <v>658</v>
      </c>
      <c r="R120" t="str">
        <f>A96 &amp; " * " &amp; $A$7</f>
        <v>ExAnte_Annualized_NoRR_kWh * dom_eval_RR_kWh_AG</v>
      </c>
      <c r="AG120" t="b">
        <f t="shared" si="12"/>
        <v>1</v>
      </c>
      <c r="AH120" t="b">
        <f t="shared" si="13"/>
        <v>0</v>
      </c>
    </row>
    <row r="121" spans="1:34">
      <c r="A121" t="s">
        <v>2265</v>
      </c>
      <c r="O121" t="s">
        <v>658</v>
      </c>
      <c r="R121" t="str">
        <f>A97 &amp; " * " &amp; $A$8</f>
        <v>ExAnte_Annualized_NoRR_thm * dom_eval_RR_thm_AG</v>
      </c>
      <c r="AG121" t="b">
        <f t="shared" si="12"/>
        <v>1</v>
      </c>
      <c r="AH121" t="b">
        <f t="shared" si="13"/>
        <v>0</v>
      </c>
    </row>
    <row r="122" spans="1:34">
      <c r="A122" t="s">
        <v>2266</v>
      </c>
      <c r="O122" t="s">
        <v>658</v>
      </c>
      <c r="AG122" t="b">
        <f t="shared" si="12"/>
        <v>1</v>
      </c>
      <c r="AH122" t="b">
        <f t="shared" si="13"/>
        <v>0</v>
      </c>
    </row>
    <row r="123" spans="1:34">
      <c r="A123" t="s">
        <v>2267</v>
      </c>
      <c r="O123" t="s">
        <v>658</v>
      </c>
      <c r="AG123" t="b">
        <f t="shared" si="12"/>
        <v>1</v>
      </c>
      <c r="AH123" t="b">
        <f t="shared" si="13"/>
        <v>0</v>
      </c>
    </row>
    <row r="124" spans="1:34">
      <c r="A124" t="s">
        <v>2268</v>
      </c>
      <c r="O124" t="s">
        <v>658</v>
      </c>
      <c r="AG124" t="b">
        <f t="shared" si="12"/>
        <v>1</v>
      </c>
      <c r="AH124" t="b">
        <f t="shared" si="13"/>
        <v>0</v>
      </c>
    </row>
    <row r="125" spans="1:34">
      <c r="A125" t="str">
        <f t="shared" si="9"/>
        <v>MeasAppType</v>
      </c>
      <c r="B125" t="s">
        <v>1719</v>
      </c>
      <c r="C125" s="5" t="s">
        <v>16</v>
      </c>
      <c r="AG125" t="b">
        <f t="shared" ref="AG125:AG133" si="14">IF(NOT(ISBLANK(A125)), LEN(_xlfn.CONCAT(C125:AF125))&gt;0, "")</f>
        <v>1</v>
      </c>
      <c r="AH125" t="b">
        <f t="shared" ref="AH125:AH190" si="15">AND(ISNUMBER(SEARCH("kw",_xlfn.CONCAT(Q125:AF125))), ISNUMBER(SEARCH("thm",_xlfn.CONCAT(Q125:AF125))))</f>
        <v>0</v>
      </c>
    </row>
    <row r="126" spans="1:34">
      <c r="A126" t="str">
        <f t="shared" si="9"/>
        <v>UnitkW1stBaseline</v>
      </c>
      <c r="B126" t="s">
        <v>1719</v>
      </c>
      <c r="C126" s="5" t="s">
        <v>30</v>
      </c>
      <c r="O126" t="s">
        <v>658</v>
      </c>
      <c r="AG126" t="b">
        <f t="shared" si="14"/>
        <v>1</v>
      </c>
      <c r="AH126" t="b">
        <f t="shared" si="15"/>
        <v>0</v>
      </c>
    </row>
    <row r="127" spans="1:34">
      <c r="A127" t="str">
        <f t="shared" si="9"/>
        <v>UnitkWh1stBaseline</v>
      </c>
      <c r="B127" t="s">
        <v>1719</v>
      </c>
      <c r="C127" s="5" t="s">
        <v>31</v>
      </c>
      <c r="O127" t="s">
        <v>658</v>
      </c>
      <c r="AG127" t="b">
        <f t="shared" si="14"/>
        <v>1</v>
      </c>
      <c r="AH127" t="b">
        <f t="shared" si="15"/>
        <v>0</v>
      </c>
    </row>
    <row r="128" spans="1:34">
      <c r="A128" t="str">
        <f t="shared" si="9"/>
        <v>UnitTherm1stBaseline</v>
      </c>
      <c r="B128" t="s">
        <v>1719</v>
      </c>
      <c r="C128" s="5" t="s">
        <v>32</v>
      </c>
      <c r="O128" t="s">
        <v>658</v>
      </c>
      <c r="AG128" t="b">
        <f t="shared" si="14"/>
        <v>1</v>
      </c>
      <c r="AH128" t="b">
        <f t="shared" si="15"/>
        <v>0</v>
      </c>
    </row>
    <row r="129" spans="1:37">
      <c r="A129" t="str">
        <f t="shared" si="9"/>
        <v>UnitkW2ndBaseline</v>
      </c>
      <c r="B129" t="s">
        <v>1719</v>
      </c>
      <c r="C129" s="5" t="s">
        <v>33</v>
      </c>
      <c r="O129" t="s">
        <v>658</v>
      </c>
      <c r="AG129" t="b">
        <f t="shared" si="14"/>
        <v>1</v>
      </c>
      <c r="AH129" t="b">
        <f t="shared" si="15"/>
        <v>0</v>
      </c>
    </row>
    <row r="130" spans="1:37">
      <c r="A130" t="str">
        <f t="shared" si="9"/>
        <v>UnitkWh2ndBaseline</v>
      </c>
      <c r="B130" t="s">
        <v>1719</v>
      </c>
      <c r="C130" s="5" t="s">
        <v>34</v>
      </c>
      <c r="O130" t="s">
        <v>658</v>
      </c>
      <c r="AG130" t="b">
        <f t="shared" si="14"/>
        <v>1</v>
      </c>
      <c r="AH130" t="b">
        <f t="shared" si="15"/>
        <v>0</v>
      </c>
    </row>
    <row r="131" spans="1:37">
      <c r="A131" t="str">
        <f t="shared" si="9"/>
        <v>UnitTherm2ndBaseline</v>
      </c>
      <c r="B131" t="s">
        <v>1719</v>
      </c>
      <c r="C131" s="5" t="s">
        <v>35</v>
      </c>
      <c r="O131" t="s">
        <v>658</v>
      </c>
      <c r="AC131" s="3"/>
      <c r="AG131" t="b">
        <f t="shared" si="14"/>
        <v>1</v>
      </c>
      <c r="AH131" t="b">
        <f t="shared" si="15"/>
        <v>0</v>
      </c>
      <c r="AK131" s="3"/>
    </row>
    <row r="132" spans="1:37">
      <c r="A132" s="3" t="str">
        <f>C132</f>
        <v>EUL_Yrs</v>
      </c>
      <c r="B132" s="3"/>
      <c r="C132" s="32" t="s">
        <v>46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AC132" s="3"/>
      <c r="AG132" t="b">
        <f t="shared" si="14"/>
        <v>1</v>
      </c>
      <c r="AH132" t="b">
        <f t="shared" si="15"/>
        <v>0</v>
      </c>
      <c r="AK132" s="3"/>
    </row>
    <row r="133" spans="1:37">
      <c r="A133" s="3" t="str">
        <f>C133</f>
        <v>RUL_Yrs</v>
      </c>
      <c r="B133" s="3"/>
      <c r="C133" s="32" t="s">
        <v>47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AC133" s="3"/>
      <c r="AG133" t="b">
        <f t="shared" si="14"/>
        <v>1</v>
      </c>
      <c r="AH133" t="b">
        <f t="shared" si="15"/>
        <v>0</v>
      </c>
      <c r="AK133" s="3"/>
    </row>
    <row r="134" spans="1:37">
      <c r="A134" s="3" t="s">
        <v>2269</v>
      </c>
      <c r="B134" s="3" t="s">
        <v>2627</v>
      </c>
      <c r="C134" s="3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AA134" t="str">
        <f>$A$3&amp; " ==True, " &amp; A132 &amp; " * " &amp; $A$12 &amp; "; " &amp; $A$4 &amp; " ==True, " &amp;  A132 &amp;   " * " &amp; $A$15  &amp; ", np.nan"</f>
        <v>Frame_Electric ==True, EUL_Yrs * dom_eval_EUL_RR_kWh; Frame_Gas ==True, EUL_Yrs * dom_eval_EUL_RR_thm, np.nan</v>
      </c>
      <c r="AC134" s="3"/>
      <c r="AG134" t="b">
        <f t="shared" ref="AG134:AG135" si="16">IF(NOT(ISBLANK(A134)), LEN(_xlfn.CONCAT(C134:AF134))&gt;0, "")</f>
        <v>1</v>
      </c>
      <c r="AH134" t="b">
        <f t="shared" ref="AH134:AH135" si="17">AND(ISNUMBER(SEARCH("kw",_xlfn.CONCAT(Q134:AF134))), ISNUMBER(SEARCH("thm",_xlfn.CONCAT(Q134:AF134))))</f>
        <v>1</v>
      </c>
      <c r="AK134" s="3"/>
    </row>
    <row r="135" spans="1:37">
      <c r="A135" s="3" t="s">
        <v>2270</v>
      </c>
      <c r="B135" s="3" t="s">
        <v>2627</v>
      </c>
      <c r="C135" s="3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AA135" t="str">
        <f>$A$3&amp; " ==True, " &amp; A133 &amp; " * " &amp; $A$12 &amp; "; " &amp; $A$4 &amp; " ==True, " &amp;  A133 &amp;   " * " &amp; $A$15  &amp; ", np.nan"</f>
        <v>Frame_Electric ==True, RUL_Yrs * dom_eval_EUL_RR_kWh; Frame_Gas ==True, RUL_Yrs * dom_eval_EUL_RR_thm, np.nan</v>
      </c>
      <c r="AC135" s="3"/>
      <c r="AG135" t="b">
        <f t="shared" si="16"/>
        <v>1</v>
      </c>
      <c r="AH135" t="b">
        <f t="shared" si="17"/>
        <v>1</v>
      </c>
      <c r="AK135" s="3"/>
    </row>
    <row r="136" spans="1:37">
      <c r="A136" t="str">
        <f t="shared" si="9"/>
        <v>RealizationRatekW</v>
      </c>
      <c r="B136" t="s">
        <v>1719</v>
      </c>
      <c r="C136" s="5" t="s">
        <v>39</v>
      </c>
      <c r="AG136" t="b">
        <f t="shared" ref="AG136:AG172" si="18">IF(NOT(ISBLANK(A136)), LEN(_xlfn.CONCAT(C136:AF136))&gt;0, "")</f>
        <v>1</v>
      </c>
      <c r="AH136" t="b">
        <f t="shared" si="15"/>
        <v>0</v>
      </c>
    </row>
    <row r="137" spans="1:37">
      <c r="A137" t="str">
        <f t="shared" si="9"/>
        <v>RealizationRatekWh</v>
      </c>
      <c r="B137" t="s">
        <v>1719</v>
      </c>
      <c r="C137" s="5" t="s">
        <v>40</v>
      </c>
      <c r="AG137" t="b">
        <f t="shared" si="18"/>
        <v>1</v>
      </c>
      <c r="AH137" t="b">
        <f t="shared" si="15"/>
        <v>0</v>
      </c>
    </row>
    <row r="138" spans="1:37">
      <c r="A138" t="str">
        <f t="shared" si="9"/>
        <v>RealizationRateTherm</v>
      </c>
      <c r="B138" t="s">
        <v>1719</v>
      </c>
      <c r="C138" s="5" t="s">
        <v>41</v>
      </c>
      <c r="AG138" t="b">
        <f t="shared" si="18"/>
        <v>1</v>
      </c>
      <c r="AH138" t="b">
        <f t="shared" si="15"/>
        <v>0</v>
      </c>
    </row>
    <row r="139" spans="1:37">
      <c r="A139" t="str">
        <f>D139</f>
        <v>PA</v>
      </c>
      <c r="B139" t="s">
        <v>1719</v>
      </c>
      <c r="D139" t="s">
        <v>11</v>
      </c>
      <c r="AG139" t="b">
        <f t="shared" si="18"/>
        <v>1</v>
      </c>
      <c r="AH139" t="b">
        <f t="shared" si="15"/>
        <v>0</v>
      </c>
    </row>
    <row r="140" spans="1:37">
      <c r="A140" t="str">
        <f t="shared" ref="A140:A187" si="19">D140</f>
        <v>ProgramName</v>
      </c>
      <c r="B140" t="s">
        <v>1719</v>
      </c>
      <c r="D140" t="s">
        <v>13</v>
      </c>
      <c r="AG140" t="b">
        <f t="shared" si="18"/>
        <v>1</v>
      </c>
      <c r="AH140" t="b">
        <f t="shared" si="15"/>
        <v>0</v>
      </c>
    </row>
    <row r="141" spans="1:37">
      <c r="A141" t="str">
        <f t="shared" si="19"/>
        <v>PrimarySector</v>
      </c>
      <c r="B141" t="s">
        <v>1719</v>
      </c>
      <c r="D141" t="s">
        <v>197</v>
      </c>
      <c r="AG141" t="b">
        <f t="shared" si="18"/>
        <v>1</v>
      </c>
      <c r="AH141" t="b">
        <f t="shared" si="15"/>
        <v>0</v>
      </c>
    </row>
    <row r="142" spans="1:37">
      <c r="A142" t="str">
        <f t="shared" si="19"/>
        <v>Prg_Sector</v>
      </c>
      <c r="D142" t="s">
        <v>198</v>
      </c>
      <c r="AG142" t="b">
        <f t="shared" si="18"/>
        <v>1</v>
      </c>
      <c r="AH142" t="b">
        <f t="shared" si="15"/>
        <v>0</v>
      </c>
    </row>
    <row r="143" spans="1:37">
      <c r="A143" t="str">
        <f t="shared" si="19"/>
        <v>ProgramImplementer</v>
      </c>
      <c r="B143" t="s">
        <v>1719</v>
      </c>
      <c r="D143" t="s">
        <v>199</v>
      </c>
      <c r="AG143" t="b">
        <f t="shared" si="18"/>
        <v>1</v>
      </c>
      <c r="AH143" t="b">
        <f t="shared" si="15"/>
        <v>0</v>
      </c>
    </row>
    <row r="144" spans="1:37">
      <c r="A144" t="str">
        <f t="shared" si="19"/>
        <v>ProgramCategory</v>
      </c>
      <c r="B144" t="s">
        <v>1719</v>
      </c>
      <c r="D144" t="s">
        <v>200</v>
      </c>
      <c r="AG144" t="b">
        <f t="shared" si="18"/>
        <v>1</v>
      </c>
      <c r="AH144" t="b">
        <f t="shared" si="15"/>
        <v>0</v>
      </c>
    </row>
    <row r="145" spans="1:34">
      <c r="A145" t="str">
        <f t="shared" si="19"/>
        <v>StatewideProgram</v>
      </c>
      <c r="B145" t="s">
        <v>1719</v>
      </c>
      <c r="D145" t="s">
        <v>201</v>
      </c>
      <c r="O145" t="s">
        <v>658</v>
      </c>
      <c r="AG145" t="b">
        <f t="shared" si="18"/>
        <v>1</v>
      </c>
      <c r="AH145" t="b">
        <f t="shared" si="15"/>
        <v>0</v>
      </c>
    </row>
    <row r="146" spans="1:34">
      <c r="A146" t="str">
        <f t="shared" si="19"/>
        <v>ImplementationContractor</v>
      </c>
      <c r="B146" t="s">
        <v>1719</v>
      </c>
      <c r="D146" t="s">
        <v>202</v>
      </c>
      <c r="O146" t="s">
        <v>658</v>
      </c>
      <c r="AG146" t="b">
        <f t="shared" si="18"/>
        <v>1</v>
      </c>
      <c r="AH146" t="b">
        <f t="shared" si="15"/>
        <v>0</v>
      </c>
    </row>
    <row r="147" spans="1:34">
      <c r="A147" t="str">
        <f t="shared" si="19"/>
        <v>ProgramManager</v>
      </c>
      <c r="B147" t="s">
        <v>1719</v>
      </c>
      <c r="D147" t="s">
        <v>203</v>
      </c>
      <c r="O147" t="s">
        <v>658</v>
      </c>
      <c r="AG147" t="b">
        <f t="shared" si="18"/>
        <v>1</v>
      </c>
      <c r="AH147" t="b">
        <f t="shared" si="15"/>
        <v>0</v>
      </c>
    </row>
    <row r="148" spans="1:34">
      <c r="A148" t="str">
        <f t="shared" si="19"/>
        <v>StartYear</v>
      </c>
      <c r="B148" t="s">
        <v>1719</v>
      </c>
      <c r="D148" t="s">
        <v>204</v>
      </c>
      <c r="O148" t="s">
        <v>658</v>
      </c>
      <c r="AG148" t="b">
        <f t="shared" si="18"/>
        <v>1</v>
      </c>
      <c r="AH148" t="b">
        <f t="shared" si="15"/>
        <v>0</v>
      </c>
    </row>
    <row r="149" spans="1:34">
      <c r="A149" t="str">
        <f t="shared" si="19"/>
        <v>EndYear</v>
      </c>
      <c r="B149" t="s">
        <v>1719</v>
      </c>
      <c r="D149" t="s">
        <v>205</v>
      </c>
      <c r="O149" t="s">
        <v>658</v>
      </c>
      <c r="AG149" t="b">
        <f t="shared" si="18"/>
        <v>1</v>
      </c>
      <c r="AH149" t="b">
        <f t="shared" si="15"/>
        <v>0</v>
      </c>
    </row>
    <row r="150" spans="1:34">
      <c r="A150" t="str">
        <f t="shared" si="19"/>
        <v>Resource_Flag</v>
      </c>
      <c r="B150" t="s">
        <v>1719</v>
      </c>
      <c r="D150" t="s">
        <v>206</v>
      </c>
      <c r="O150" t="s">
        <v>658</v>
      </c>
      <c r="AG150" t="b">
        <f t="shared" si="18"/>
        <v>1</v>
      </c>
      <c r="AH150" t="b">
        <f t="shared" si="15"/>
        <v>0</v>
      </c>
    </row>
    <row r="151" spans="1:34">
      <c r="A151" t="str">
        <f t="shared" si="19"/>
        <v>NonResource_Flag</v>
      </c>
      <c r="B151" t="s">
        <v>1719</v>
      </c>
      <c r="D151" t="s">
        <v>207</v>
      </c>
      <c r="O151" t="s">
        <v>658</v>
      </c>
      <c r="AG151" t="b">
        <f t="shared" si="18"/>
        <v>1</v>
      </c>
      <c r="AH151" t="b">
        <f t="shared" si="15"/>
        <v>0</v>
      </c>
    </row>
    <row r="152" spans="1:34">
      <c r="A152" t="str">
        <f t="shared" si="19"/>
        <v>Deemed_Flag</v>
      </c>
      <c r="B152" t="s">
        <v>1719</v>
      </c>
      <c r="D152" t="s">
        <v>208</v>
      </c>
      <c r="O152" t="s">
        <v>658</v>
      </c>
      <c r="AG152" t="b">
        <f t="shared" si="18"/>
        <v>1</v>
      </c>
      <c r="AH152" t="b">
        <f t="shared" si="15"/>
        <v>0</v>
      </c>
    </row>
    <row r="153" spans="1:34">
      <c r="A153" t="str">
        <f t="shared" si="19"/>
        <v>Custom_Flag</v>
      </c>
      <c r="B153" t="s">
        <v>1719</v>
      </c>
      <c r="D153" t="s">
        <v>209</v>
      </c>
      <c r="O153" t="s">
        <v>658</v>
      </c>
      <c r="AG153" t="b">
        <f t="shared" si="18"/>
        <v>1</v>
      </c>
      <c r="AH153" t="b">
        <f t="shared" si="15"/>
        <v>0</v>
      </c>
    </row>
    <row r="154" spans="1:34">
      <c r="A154" t="str">
        <f t="shared" si="19"/>
        <v>Prg_Upstream_Flag</v>
      </c>
      <c r="D154" t="s">
        <v>210</v>
      </c>
      <c r="O154" t="s">
        <v>658</v>
      </c>
      <c r="AG154" t="b">
        <f t="shared" si="18"/>
        <v>1</v>
      </c>
      <c r="AH154" t="b">
        <f t="shared" si="15"/>
        <v>0</v>
      </c>
    </row>
    <row r="155" spans="1:34">
      <c r="A155" t="str">
        <f t="shared" si="19"/>
        <v>Midstream_Flag</v>
      </c>
      <c r="B155" t="s">
        <v>1719</v>
      </c>
      <c r="D155" t="s">
        <v>211</v>
      </c>
      <c r="O155" t="s">
        <v>658</v>
      </c>
      <c r="AG155" t="b">
        <f t="shared" si="18"/>
        <v>1</v>
      </c>
      <c r="AH155" t="b">
        <f t="shared" si="15"/>
        <v>0</v>
      </c>
    </row>
    <row r="156" spans="1:34">
      <c r="A156" t="str">
        <f t="shared" si="19"/>
        <v>Downstream_Flag</v>
      </c>
      <c r="B156" t="s">
        <v>1719</v>
      </c>
      <c r="D156" t="s">
        <v>212</v>
      </c>
      <c r="O156" t="s">
        <v>658</v>
      </c>
      <c r="AG156" t="b">
        <f t="shared" si="18"/>
        <v>1</v>
      </c>
      <c r="AH156" t="b">
        <f t="shared" si="15"/>
        <v>0</v>
      </c>
    </row>
    <row r="157" spans="1:34">
      <c r="A157" t="str">
        <f t="shared" si="19"/>
        <v>DirectInstall</v>
      </c>
      <c r="B157" t="s">
        <v>1719</v>
      </c>
      <c r="D157" t="s">
        <v>213</v>
      </c>
      <c r="O157" t="s">
        <v>658</v>
      </c>
      <c r="AG157" t="b">
        <f t="shared" si="18"/>
        <v>1</v>
      </c>
      <c r="AH157" t="b">
        <f t="shared" si="15"/>
        <v>0</v>
      </c>
    </row>
    <row r="158" spans="1:34">
      <c r="A158" t="str">
        <f t="shared" si="19"/>
        <v>Audit_Flag</v>
      </c>
      <c r="B158" t="s">
        <v>1719</v>
      </c>
      <c r="D158" t="s">
        <v>214</v>
      </c>
      <c r="O158" t="s">
        <v>658</v>
      </c>
      <c r="AG158" t="b">
        <f t="shared" si="18"/>
        <v>1</v>
      </c>
      <c r="AH158" t="b">
        <f t="shared" si="15"/>
        <v>0</v>
      </c>
    </row>
    <row r="159" spans="1:34">
      <c r="A159" t="str">
        <f t="shared" si="19"/>
        <v>Financing</v>
      </c>
      <c r="B159" t="s">
        <v>1719</v>
      </c>
      <c r="D159" t="s">
        <v>215</v>
      </c>
      <c r="O159" t="s">
        <v>658</v>
      </c>
      <c r="AG159" t="b">
        <f t="shared" si="18"/>
        <v>1</v>
      </c>
      <c r="AH159" t="b">
        <f t="shared" si="15"/>
        <v>0</v>
      </c>
    </row>
    <row r="160" spans="1:34">
      <c r="A160" t="str">
        <f t="shared" si="19"/>
        <v>ParentProgram</v>
      </c>
      <c r="B160" t="s">
        <v>1719</v>
      </c>
      <c r="D160" t="s">
        <v>216</v>
      </c>
      <c r="O160" t="s">
        <v>658</v>
      </c>
      <c r="AG160" t="b">
        <f t="shared" si="18"/>
        <v>1</v>
      </c>
      <c r="AH160" t="b">
        <f t="shared" si="15"/>
        <v>0</v>
      </c>
    </row>
    <row r="161" spans="1:34">
      <c r="A161" t="str">
        <f t="shared" si="19"/>
        <v>Exclude_From_Budget</v>
      </c>
      <c r="B161" t="s">
        <v>1719</v>
      </c>
      <c r="D161" t="s">
        <v>217</v>
      </c>
      <c r="O161" t="s">
        <v>658</v>
      </c>
      <c r="AG161" t="b">
        <f t="shared" si="18"/>
        <v>1</v>
      </c>
      <c r="AH161" t="b">
        <f t="shared" si="15"/>
        <v>0</v>
      </c>
    </row>
    <row r="162" spans="1:34">
      <c r="A162" t="str">
        <f t="shared" si="19"/>
        <v>Exclude_From_CE</v>
      </c>
      <c r="B162" t="s">
        <v>1719</v>
      </c>
      <c r="D162" t="s">
        <v>218</v>
      </c>
      <c r="O162" t="s">
        <v>658</v>
      </c>
      <c r="AG162" t="b">
        <f t="shared" si="18"/>
        <v>1</v>
      </c>
      <c r="AH162" t="b">
        <f t="shared" si="15"/>
        <v>0</v>
      </c>
    </row>
    <row r="163" spans="1:34">
      <c r="A163" t="str">
        <f t="shared" si="19"/>
        <v>SBW_Sector</v>
      </c>
      <c r="D163" t="s">
        <v>219</v>
      </c>
      <c r="AG163" t="b">
        <f t="shared" si="18"/>
        <v>1</v>
      </c>
      <c r="AH163" t="b">
        <f t="shared" si="15"/>
        <v>0</v>
      </c>
    </row>
    <row r="164" spans="1:34">
      <c r="A164" t="str">
        <f t="shared" si="19"/>
        <v>SBW_InstallYr</v>
      </c>
      <c r="D164" t="s">
        <v>220</v>
      </c>
      <c r="O164" t="s">
        <v>658</v>
      </c>
      <c r="AG164" t="b">
        <f t="shared" si="18"/>
        <v>1</v>
      </c>
      <c r="AH164" t="b">
        <f t="shared" si="15"/>
        <v>0</v>
      </c>
    </row>
    <row r="165" spans="1:34">
      <c r="A165" t="str">
        <f t="shared" si="19"/>
        <v>SBW_InstallInClaimYr</v>
      </c>
      <c r="D165" t="s">
        <v>221</v>
      </c>
      <c r="O165" t="s">
        <v>658</v>
      </c>
      <c r="AG165" t="b">
        <f t="shared" si="18"/>
        <v>1</v>
      </c>
      <c r="AH165" t="b">
        <f t="shared" si="15"/>
        <v>0</v>
      </c>
    </row>
    <row r="166" spans="1:34">
      <c r="A166" t="str">
        <f t="shared" si="19"/>
        <v>SBW_ImpactType</v>
      </c>
      <c r="D166" t="s">
        <v>222</v>
      </c>
      <c r="AG166" t="b">
        <f t="shared" si="18"/>
        <v>1</v>
      </c>
      <c r="AH166" t="b">
        <f t="shared" si="15"/>
        <v>0</v>
      </c>
    </row>
    <row r="167" spans="1:34">
      <c r="A167" t="str">
        <f t="shared" si="19"/>
        <v>Study</v>
      </c>
      <c r="D167" t="s">
        <v>223</v>
      </c>
      <c r="AG167" t="b">
        <f t="shared" si="18"/>
        <v>1</v>
      </c>
      <c r="AH167" t="b">
        <f t="shared" si="15"/>
        <v>0</v>
      </c>
    </row>
    <row r="168" spans="1:34">
      <c r="A168" t="str">
        <f t="shared" si="19"/>
        <v>Sampled</v>
      </c>
      <c r="D168" t="s">
        <v>224</v>
      </c>
      <c r="O168" t="s">
        <v>658</v>
      </c>
      <c r="AG168" t="b">
        <f t="shared" si="18"/>
        <v>1</v>
      </c>
      <c r="AH168" t="b">
        <f t="shared" si="15"/>
        <v>0</v>
      </c>
    </row>
    <row r="169" spans="1:34">
      <c r="A169" t="str">
        <f t="shared" si="19"/>
        <v>SampleOrder</v>
      </c>
      <c r="D169" t="s">
        <v>225</v>
      </c>
      <c r="O169" t="s">
        <v>658</v>
      </c>
      <c r="AG169" t="b">
        <f t="shared" si="18"/>
        <v>1</v>
      </c>
      <c r="AH169" t="b">
        <f t="shared" si="15"/>
        <v>0</v>
      </c>
    </row>
    <row r="170" spans="1:34">
      <c r="A170" t="str">
        <f t="shared" si="19"/>
        <v>Treatment</v>
      </c>
      <c r="D170" t="s">
        <v>226</v>
      </c>
      <c r="O170" t="s">
        <v>658</v>
      </c>
      <c r="AG170" t="b">
        <f t="shared" si="18"/>
        <v>1</v>
      </c>
      <c r="AH170" t="b">
        <f t="shared" si="15"/>
        <v>0</v>
      </c>
    </row>
    <row r="171" spans="1:34">
      <c r="A171" t="str">
        <f t="shared" si="19"/>
        <v>Pretest</v>
      </c>
      <c r="D171" t="s">
        <v>227</v>
      </c>
      <c r="O171" t="s">
        <v>658</v>
      </c>
      <c r="AG171" t="b">
        <f t="shared" si="18"/>
        <v>1</v>
      </c>
      <c r="AH171" t="b">
        <f t="shared" si="15"/>
        <v>0</v>
      </c>
    </row>
    <row r="172" spans="1:34">
      <c r="A172" t="str">
        <f t="shared" si="19"/>
        <v>ExAnteWaterGallons</v>
      </c>
      <c r="B172" t="s">
        <v>1719</v>
      </c>
      <c r="D172" t="s">
        <v>191</v>
      </c>
      <c r="O172" t="s">
        <v>658</v>
      </c>
      <c r="AG172" t="b">
        <f t="shared" si="18"/>
        <v>1</v>
      </c>
      <c r="AH172" t="b">
        <f t="shared" si="15"/>
        <v>0</v>
      </c>
    </row>
    <row r="173" spans="1:34">
      <c r="A173" t="str">
        <f t="shared" si="19"/>
        <v>ExAnteWaterTherm</v>
      </c>
      <c r="B173" t="s">
        <v>1719</v>
      </c>
      <c r="D173" t="s">
        <v>192</v>
      </c>
      <c r="O173" t="s">
        <v>658</v>
      </c>
      <c r="AG173" t="b">
        <f t="shared" ref="AG173:AG249" si="20">IF(NOT(ISBLANK(A173)), LEN(_xlfn.CONCAT(C173:AF173))&gt;0, "")</f>
        <v>1</v>
      </c>
      <c r="AH173" t="b">
        <f t="shared" si="15"/>
        <v>0</v>
      </c>
    </row>
    <row r="174" spans="1:34">
      <c r="A174" t="str">
        <f t="shared" si="19"/>
        <v>ExAnteWaterIouKwh</v>
      </c>
      <c r="B174" t="s">
        <v>1719</v>
      </c>
      <c r="D174" t="s">
        <v>193</v>
      </c>
      <c r="O174" t="s">
        <v>658</v>
      </c>
      <c r="AG174" t="b">
        <f t="shared" si="20"/>
        <v>1</v>
      </c>
      <c r="AH174" t="b">
        <f t="shared" si="15"/>
        <v>0</v>
      </c>
    </row>
    <row r="175" spans="1:34">
      <c r="A175" t="str">
        <f t="shared" si="19"/>
        <v>ExAnteWaterNonIouKwh</v>
      </c>
      <c r="B175" t="s">
        <v>1719</v>
      </c>
      <c r="D175" t="s">
        <v>194</v>
      </c>
      <c r="O175" t="s">
        <v>658</v>
      </c>
      <c r="AG175" t="b">
        <f t="shared" si="20"/>
        <v>1</v>
      </c>
      <c r="AH175" t="b">
        <f t="shared" si="15"/>
        <v>0</v>
      </c>
    </row>
    <row r="176" spans="1:34">
      <c r="A176" t="str">
        <f t="shared" si="19"/>
        <v>SBW_ProjID</v>
      </c>
      <c r="D176" t="s">
        <v>180</v>
      </c>
      <c r="L176" t="s">
        <v>180</v>
      </c>
      <c r="AG176" t="b">
        <f t="shared" si="20"/>
        <v>1</v>
      </c>
      <c r="AH176" t="b">
        <f t="shared" si="15"/>
        <v>0</v>
      </c>
    </row>
    <row r="177" spans="1:34">
      <c r="A177" t="str">
        <f t="shared" si="19"/>
        <v>domain</v>
      </c>
      <c r="D177" t="s">
        <v>181</v>
      </c>
      <c r="AG177" t="b">
        <f t="shared" si="20"/>
        <v>1</v>
      </c>
      <c r="AH177" t="b">
        <f t="shared" si="15"/>
        <v>0</v>
      </c>
    </row>
    <row r="178" spans="1:34">
      <c r="A178" t="str">
        <f t="shared" si="19"/>
        <v>stratum_kWh</v>
      </c>
      <c r="D178" t="s">
        <v>182</v>
      </c>
      <c r="AG178" t="b">
        <f t="shared" si="20"/>
        <v>1</v>
      </c>
      <c r="AH178" t="b">
        <f t="shared" si="15"/>
        <v>0</v>
      </c>
    </row>
    <row r="179" spans="1:34">
      <c r="A179" t="str">
        <f t="shared" si="19"/>
        <v>stratum_thm</v>
      </c>
      <c r="D179" t="s">
        <v>183</v>
      </c>
      <c r="AG179" t="b">
        <f t="shared" si="20"/>
        <v>1</v>
      </c>
      <c r="AH179" t="b">
        <f t="shared" si="15"/>
        <v>0</v>
      </c>
    </row>
    <row r="180" spans="1:34">
      <c r="A180" t="str">
        <f t="shared" si="19"/>
        <v>sampled_kWh</v>
      </c>
      <c r="D180" t="s">
        <v>184</v>
      </c>
      <c r="AG180" t="b">
        <f t="shared" si="20"/>
        <v>1</v>
      </c>
      <c r="AH180" t="b">
        <f t="shared" si="15"/>
        <v>0</v>
      </c>
    </row>
    <row r="181" spans="1:34">
      <c r="A181" t="str">
        <f t="shared" si="19"/>
        <v>sampled_thm</v>
      </c>
      <c r="D181" t="s">
        <v>185</v>
      </c>
      <c r="AG181" t="b">
        <f t="shared" si="20"/>
        <v>1</v>
      </c>
      <c r="AH181" t="b">
        <f t="shared" si="15"/>
        <v>0</v>
      </c>
    </row>
    <row r="182" spans="1:34">
      <c r="A182" t="str">
        <f t="shared" si="19"/>
        <v>smpld_primary</v>
      </c>
      <c r="D182" t="s">
        <v>186</v>
      </c>
      <c r="AG182" t="b">
        <f t="shared" si="20"/>
        <v>1</v>
      </c>
      <c r="AH182" t="b">
        <f t="shared" si="15"/>
        <v>0</v>
      </c>
    </row>
    <row r="183" spans="1:34">
      <c r="A183" t="str">
        <f t="shared" si="19"/>
        <v>smpld_net_kWh</v>
      </c>
      <c r="D183" t="s">
        <v>187</v>
      </c>
      <c r="AG183" t="b">
        <f t="shared" si="20"/>
        <v>1</v>
      </c>
      <c r="AH183" t="b">
        <f t="shared" si="15"/>
        <v>0</v>
      </c>
    </row>
    <row r="184" spans="1:34">
      <c r="A184" t="str">
        <f t="shared" si="19"/>
        <v>smpld_net_thm</v>
      </c>
      <c r="D184" t="s">
        <v>188</v>
      </c>
      <c r="AG184" t="b">
        <f t="shared" si="20"/>
        <v>1</v>
      </c>
      <c r="AH184" t="b">
        <f t="shared" si="15"/>
        <v>0</v>
      </c>
    </row>
    <row r="185" spans="1:34">
      <c r="A185" t="str">
        <f t="shared" si="19"/>
        <v>smpld_net</v>
      </c>
      <c r="D185" t="s">
        <v>189</v>
      </c>
      <c r="AG185" t="b">
        <f t="shared" si="20"/>
        <v>1</v>
      </c>
      <c r="AH185" t="b">
        <f t="shared" si="15"/>
        <v>0</v>
      </c>
    </row>
    <row r="186" spans="1:34">
      <c r="A186" t="str">
        <f t="shared" si="19"/>
        <v>smpld_net_new</v>
      </c>
      <c r="D186" t="s">
        <v>1577</v>
      </c>
      <c r="AG186" t="b">
        <f t="shared" si="20"/>
        <v>1</v>
      </c>
      <c r="AH186" t="b">
        <f t="shared" si="15"/>
        <v>0</v>
      </c>
    </row>
    <row r="187" spans="1:34">
      <c r="A187" t="str">
        <f t="shared" si="19"/>
        <v>SampleID</v>
      </c>
      <c r="D187" t="s">
        <v>63</v>
      </c>
      <c r="G187" t="s">
        <v>63</v>
      </c>
      <c r="J187" t="s">
        <v>771</v>
      </c>
      <c r="K187" t="s">
        <v>771</v>
      </c>
      <c r="AG187" t="b">
        <f t="shared" si="20"/>
        <v>1</v>
      </c>
      <c r="AH187" t="b">
        <f t="shared" si="15"/>
        <v>0</v>
      </c>
    </row>
    <row r="188" spans="1:34">
      <c r="A188" t="str">
        <f>E188</f>
        <v>EvalMeasID</v>
      </c>
      <c r="E188" t="s">
        <v>229</v>
      </c>
      <c r="AG188" t="b">
        <f t="shared" si="20"/>
        <v>1</v>
      </c>
      <c r="AH188" t="b">
        <f t="shared" si="15"/>
        <v>0</v>
      </c>
    </row>
    <row r="189" spans="1:34">
      <c r="A189" t="str">
        <f t="shared" ref="A189:A207" si="21">E189</f>
        <v>SampledAny</v>
      </c>
      <c r="E189" t="s">
        <v>230</v>
      </c>
      <c r="AG189" t="b">
        <f t="shared" si="20"/>
        <v>1</v>
      </c>
      <c r="AH189" t="b">
        <f t="shared" si="15"/>
        <v>0</v>
      </c>
    </row>
    <row r="190" spans="1:34">
      <c r="A190" t="str">
        <f>G190</f>
        <v>SavingsAnalysisComplQC</v>
      </c>
      <c r="G190" t="s">
        <v>541</v>
      </c>
      <c r="O190" t="s">
        <v>658</v>
      </c>
      <c r="AG190" t="b">
        <f t="shared" si="20"/>
        <v>1</v>
      </c>
      <c r="AH190" t="b">
        <f t="shared" si="15"/>
        <v>0</v>
      </c>
    </row>
    <row r="191" spans="1:34">
      <c r="A191" t="str">
        <f>G191</f>
        <v>NetSurveyComplDate</v>
      </c>
      <c r="G191" t="s">
        <v>552</v>
      </c>
      <c r="AG191" t="b">
        <f t="shared" si="20"/>
        <v>1</v>
      </c>
      <c r="AH191" t="b">
        <f t="shared" ref="AH191:AH263" si="22">AND(ISNUMBER(SEARCH("kw",_xlfn.CONCAT(Q191:AF191))), ISNUMBER(SEARCH("thm",_xlfn.CONCAT(Q191:AF191))))</f>
        <v>0</v>
      </c>
    </row>
    <row r="192" spans="1:34">
      <c r="A192" t="s">
        <v>1533</v>
      </c>
      <c r="J192" t="s">
        <v>772</v>
      </c>
      <c r="AG192" t="b">
        <f t="shared" si="20"/>
        <v>1</v>
      </c>
      <c r="AH192" t="b">
        <f t="shared" si="22"/>
        <v>0</v>
      </c>
    </row>
    <row r="193" spans="1:34">
      <c r="A193" t="s">
        <v>1552</v>
      </c>
      <c r="K193" t="s">
        <v>1551</v>
      </c>
      <c r="AG193" t="b">
        <f t="shared" si="20"/>
        <v>1</v>
      </c>
      <c r="AH193" t="b">
        <f t="shared" si="22"/>
        <v>0</v>
      </c>
    </row>
    <row r="194" spans="1:34">
      <c r="A194" t="str">
        <f>K194</f>
        <v>dispositioncategory</v>
      </c>
      <c r="K194" t="s">
        <v>1918</v>
      </c>
      <c r="AG194" t="b">
        <f t="shared" si="20"/>
        <v>1</v>
      </c>
      <c r="AH194" t="b">
        <f t="shared" si="22"/>
        <v>0</v>
      </c>
    </row>
    <row r="195" spans="1:34">
      <c r="A195" t="str">
        <f>G195</f>
        <v>ProjectDropped</v>
      </c>
      <c r="G195" t="s">
        <v>753</v>
      </c>
      <c r="AG195" t="b">
        <f t="shared" si="20"/>
        <v>1</v>
      </c>
      <c r="AH195" t="b">
        <f t="shared" si="22"/>
        <v>0</v>
      </c>
    </row>
    <row r="196" spans="1:34">
      <c r="A196" t="str">
        <f t="shared" si="21"/>
        <v>CustomerAgreementDate_Eval</v>
      </c>
      <c r="E196" t="s">
        <v>231</v>
      </c>
      <c r="O196" t="s">
        <v>658</v>
      </c>
      <c r="AG196" t="b">
        <f t="shared" si="20"/>
        <v>1</v>
      </c>
      <c r="AH196" t="b">
        <f t="shared" si="22"/>
        <v>0</v>
      </c>
    </row>
    <row r="197" spans="1:34">
      <c r="A197" t="str">
        <f t="shared" si="21"/>
        <v>InstallationDate_Eval</v>
      </c>
      <c r="E197" t="s">
        <v>232</v>
      </c>
      <c r="O197" t="s">
        <v>658</v>
      </c>
      <c r="AG197" t="b">
        <f t="shared" si="20"/>
        <v>1</v>
      </c>
      <c r="AH197" t="b">
        <f t="shared" si="22"/>
        <v>0</v>
      </c>
    </row>
    <row r="198" spans="1:34">
      <c r="A198" t="str">
        <f t="shared" si="21"/>
        <v>BaselineDef_Eval</v>
      </c>
      <c r="E198" t="s">
        <v>298</v>
      </c>
      <c r="O198" t="s">
        <v>658</v>
      </c>
      <c r="AG198" t="b">
        <f t="shared" si="20"/>
        <v>1</v>
      </c>
      <c r="AH198" t="b">
        <f t="shared" si="22"/>
        <v>0</v>
      </c>
    </row>
    <row r="199" spans="1:34">
      <c r="A199" t="str">
        <f t="shared" si="21"/>
        <v>Baseline2Def_Eval</v>
      </c>
      <c r="E199" t="s">
        <v>299</v>
      </c>
      <c r="O199" t="s">
        <v>658</v>
      </c>
      <c r="AG199" t="b">
        <f t="shared" si="20"/>
        <v>1</v>
      </c>
      <c r="AH199" t="b">
        <f t="shared" si="22"/>
        <v>0</v>
      </c>
    </row>
    <row r="200" spans="1:34">
      <c r="A200" t="str">
        <f t="shared" si="21"/>
        <v>MeasDescription_Eval</v>
      </c>
      <c r="E200" t="s">
        <v>306</v>
      </c>
      <c r="O200" t="s">
        <v>658</v>
      </c>
      <c r="AG200" t="b">
        <f t="shared" si="20"/>
        <v>1</v>
      </c>
      <c r="AH200" t="b">
        <f t="shared" si="22"/>
        <v>0</v>
      </c>
    </row>
    <row r="201" spans="1:34">
      <c r="A201" t="str">
        <f t="shared" si="21"/>
        <v>BldgLoc_Eval</v>
      </c>
      <c r="E201" t="s">
        <v>307</v>
      </c>
      <c r="O201" t="s">
        <v>658</v>
      </c>
      <c r="AG201" t="b">
        <f t="shared" si="20"/>
        <v>1</v>
      </c>
      <c r="AH201" t="b">
        <f t="shared" si="22"/>
        <v>0</v>
      </c>
    </row>
    <row r="202" spans="1:34">
      <c r="A202" t="str">
        <f t="shared" si="21"/>
        <v>CM_MeasAppType_Eval</v>
      </c>
      <c r="E202" t="s">
        <v>309</v>
      </c>
      <c r="AG202" t="b">
        <f t="shared" si="20"/>
        <v>1</v>
      </c>
      <c r="AH202" t="b">
        <f t="shared" si="22"/>
        <v>0</v>
      </c>
    </row>
    <row r="203" spans="1:34">
      <c r="A203" t="str">
        <f t="shared" si="21"/>
        <v>TotalGrossIncentive_Eval</v>
      </c>
      <c r="E203" t="s">
        <v>320</v>
      </c>
      <c r="O203" t="s">
        <v>658</v>
      </c>
      <c r="AG203" t="b">
        <f t="shared" si="20"/>
        <v>1</v>
      </c>
      <c r="AH203" t="b">
        <f t="shared" si="22"/>
        <v>0</v>
      </c>
    </row>
    <row r="204" spans="1:34">
      <c r="A204" t="str">
        <f t="shared" si="21"/>
        <v>IncentivesToOthers_Eval</v>
      </c>
      <c r="E204" t="s">
        <v>323</v>
      </c>
      <c r="O204" t="s">
        <v>658</v>
      </c>
      <c r="AG204" t="b">
        <f t="shared" si="20"/>
        <v>1</v>
      </c>
      <c r="AH204" t="b">
        <f t="shared" si="22"/>
        <v>0</v>
      </c>
    </row>
    <row r="205" spans="1:34">
      <c r="A205" t="str">
        <f t="shared" si="21"/>
        <v>TotalGrossMeasureCost_Eval</v>
      </c>
      <c r="E205" t="s">
        <v>324</v>
      </c>
      <c r="O205" t="s">
        <v>658</v>
      </c>
      <c r="AG205" t="b">
        <f t="shared" si="20"/>
        <v>1</v>
      </c>
      <c r="AH205" t="b">
        <f t="shared" si="22"/>
        <v>0</v>
      </c>
    </row>
    <row r="206" spans="1:34">
      <c r="A206" t="str">
        <f t="shared" si="21"/>
        <v>TotalGrossMeasureCost_ER_Eval</v>
      </c>
      <c r="E206" t="s">
        <v>325</v>
      </c>
      <c r="O206" t="s">
        <v>658</v>
      </c>
      <c r="AG206" t="b">
        <f t="shared" si="20"/>
        <v>1</v>
      </c>
      <c r="AH206" t="b">
        <f t="shared" si="22"/>
        <v>0</v>
      </c>
    </row>
    <row r="207" spans="1:34">
      <c r="A207" t="str">
        <f t="shared" si="21"/>
        <v>WaterSvgs_Eval</v>
      </c>
      <c r="E207" t="s">
        <v>341</v>
      </c>
      <c r="O207" t="s">
        <v>658</v>
      </c>
      <c r="AG207" t="b">
        <f t="shared" si="20"/>
        <v>1</v>
      </c>
      <c r="AH207" t="b">
        <f t="shared" si="22"/>
        <v>0</v>
      </c>
    </row>
    <row r="208" spans="1:34">
      <c r="A208" t="str">
        <f t="shared" ref="A208:A213" si="23">E208 &amp; "_orig"</f>
        <v>EvalBase1kWSvgs_orig</v>
      </c>
      <c r="E208" t="s">
        <v>60</v>
      </c>
      <c r="O208" t="s">
        <v>658</v>
      </c>
      <c r="AG208" t="b">
        <f t="shared" si="20"/>
        <v>1</v>
      </c>
      <c r="AH208" t="b">
        <f t="shared" si="22"/>
        <v>0</v>
      </c>
    </row>
    <row r="209" spans="1:35">
      <c r="A209" t="str">
        <f t="shared" si="23"/>
        <v>EvalBase1kWhSvgs_orig</v>
      </c>
      <c r="E209" t="s">
        <v>61</v>
      </c>
      <c r="O209" t="s">
        <v>658</v>
      </c>
      <c r="AG209" t="b">
        <f t="shared" si="20"/>
        <v>1</v>
      </c>
      <c r="AH209" t="b">
        <f t="shared" si="22"/>
        <v>0</v>
      </c>
    </row>
    <row r="210" spans="1:35">
      <c r="A210" t="str">
        <f t="shared" si="23"/>
        <v>EvalBase1ThermSvgs_orig</v>
      </c>
      <c r="E210" t="s">
        <v>62</v>
      </c>
      <c r="O210" t="s">
        <v>658</v>
      </c>
      <c r="AG210" t="b">
        <f t="shared" si="20"/>
        <v>1</v>
      </c>
      <c r="AH210" t="b">
        <f t="shared" si="22"/>
        <v>0</v>
      </c>
    </row>
    <row r="211" spans="1:35">
      <c r="A211" t="str">
        <f t="shared" si="23"/>
        <v>EvalBase2kWSvgs_orig</v>
      </c>
      <c r="E211" t="s">
        <v>334</v>
      </c>
      <c r="O211" t="s">
        <v>658</v>
      </c>
      <c r="AG211" t="b">
        <f t="shared" si="20"/>
        <v>1</v>
      </c>
      <c r="AH211" t="b">
        <f t="shared" si="22"/>
        <v>0</v>
      </c>
    </row>
    <row r="212" spans="1:35">
      <c r="A212" t="str">
        <f t="shared" si="23"/>
        <v>EvalBase2kWhSvgs_orig</v>
      </c>
      <c r="E212" t="s">
        <v>336</v>
      </c>
      <c r="O212" t="s">
        <v>658</v>
      </c>
      <c r="AG212" t="b">
        <f t="shared" si="20"/>
        <v>1</v>
      </c>
      <c r="AH212" t="b">
        <f t="shared" si="22"/>
        <v>0</v>
      </c>
    </row>
    <row r="213" spans="1:35">
      <c r="A213" t="str">
        <f t="shared" si="23"/>
        <v>EvalBase2ThermSvgs_orig</v>
      </c>
      <c r="E213" t="s">
        <v>338</v>
      </c>
      <c r="O213" t="s">
        <v>658</v>
      </c>
      <c r="AG213" t="b">
        <f t="shared" si="20"/>
        <v>1</v>
      </c>
      <c r="AH213" t="b">
        <f t="shared" si="22"/>
        <v>0</v>
      </c>
    </row>
    <row r="214" spans="1:35">
      <c r="A214" t="s">
        <v>581</v>
      </c>
      <c r="I214" t="s">
        <v>581</v>
      </c>
      <c r="O214" t="s">
        <v>658</v>
      </c>
      <c r="AG214" t="b">
        <f t="shared" si="20"/>
        <v>1</v>
      </c>
      <c r="AH214" t="b">
        <f t="shared" si="22"/>
        <v>0</v>
      </c>
    </row>
    <row r="215" spans="1:35">
      <c r="A215" t="s">
        <v>582</v>
      </c>
      <c r="I215" t="s">
        <v>582</v>
      </c>
      <c r="O215" t="s">
        <v>658</v>
      </c>
      <c r="AG215" t="b">
        <f t="shared" si="20"/>
        <v>1</v>
      </c>
      <c r="AH215" t="b">
        <f t="shared" si="22"/>
        <v>0</v>
      </c>
    </row>
    <row r="216" spans="1:35">
      <c r="A216" t="s">
        <v>606</v>
      </c>
      <c r="AA216" s="33"/>
      <c r="AB216" s="33" t="str">
        <f>"( " &amp;A125 &amp; " )"</f>
        <v>( MeasAppType )</v>
      </c>
      <c r="AC216" s="33" t="str">
        <f>"( " &amp; A202 &amp; " )"</f>
        <v>( CM_MeasAppType_Eval )</v>
      </c>
      <c r="AD216" s="33" t="str">
        <f>"( " &amp; A202 &amp; " .isnull())"</f>
        <v>( CM_MeasAppType_Eval .isnull())</v>
      </c>
      <c r="AG216" t="b">
        <f t="shared" si="20"/>
        <v>1</v>
      </c>
      <c r="AH216" t="b">
        <f t="shared" si="22"/>
        <v>0</v>
      </c>
      <c r="AI216" t="s">
        <v>607</v>
      </c>
    </row>
    <row r="217" spans="1:35">
      <c r="A217" t="s">
        <v>605</v>
      </c>
      <c r="Q217" t="str">
        <f>A125</f>
        <v>MeasAppType</v>
      </c>
      <c r="AA217" s="33"/>
      <c r="AB217" s="33" t="str">
        <f>"( " &amp; A216 &amp; " )"</f>
        <v>( RawEvalMeasAppType )</v>
      </c>
      <c r="AC217" s="34" t="s">
        <v>609</v>
      </c>
      <c r="AD217" s="33" t="str">
        <f>"( " &amp; A216 &amp; " !='ER')"</f>
        <v>( RawEvalMeasAppType !='ER')</v>
      </c>
      <c r="AG217" t="b">
        <f t="shared" si="20"/>
        <v>1</v>
      </c>
      <c r="AH217" t="b">
        <f t="shared" si="22"/>
        <v>0</v>
      </c>
      <c r="AI217" t="s">
        <v>608</v>
      </c>
    </row>
    <row r="218" spans="1:35">
      <c r="A218" t="s">
        <v>2194</v>
      </c>
      <c r="AA218" s="3" t="str">
        <f>A217 &amp; " .notnull(), ( " &amp; A217 &amp; " ) , ( " &amp; A125 &amp; " )"</f>
        <v>EvalMeasAppType .notnull(), ( EvalMeasAppType ) , ( MeasAppType )</v>
      </c>
      <c r="AB218" s="3"/>
      <c r="AC218" s="3"/>
      <c r="AD218" s="3"/>
      <c r="AG218" t="b">
        <f>IF(NOT(ISBLANK(A218)), LEN(_xlfn.CONCAT(C218:AF218))&gt;0, "")</f>
        <v>1</v>
      </c>
      <c r="AH218" t="b">
        <f>AND(ISNUMBER(SEARCH("kw",_xlfn.CONCAT(Q218:AF218))), ISNUMBER(SEARCH("thm",_xlfn.CONCAT(Q218:AF218))))</f>
        <v>0</v>
      </c>
    </row>
    <row r="219" spans="1:35">
      <c r="A219" t="s">
        <v>2195</v>
      </c>
      <c r="R219" t="str">
        <f>"( " &amp; A218 &amp; " =='AR' ) | ( " &amp; A218 &amp; " =='ER' )"</f>
        <v>( combined_MeasAppType =='AR' ) | ( combined_MeasAppType =='ER' )</v>
      </c>
      <c r="AD219" s="3"/>
      <c r="AG219" t="b">
        <f>IF(NOT(ISBLANK(A219)), LEN(_xlfn.CONCAT(C219:AF219))&gt;0, "")</f>
        <v>1</v>
      </c>
      <c r="AH219" t="b">
        <f>AND(ISNUMBER(SEARCH("kw",_xlfn.CONCAT(Q219:AF219))), ISNUMBER(SEARCH("thm",_xlfn.CONCAT(Q219:AF219))))</f>
        <v>0</v>
      </c>
    </row>
    <row r="220" spans="1:35">
      <c r="A220" t="str">
        <f>G220</f>
        <v>RigorkWh</v>
      </c>
      <c r="G220" t="s">
        <v>506</v>
      </c>
      <c r="O220" t="s">
        <v>658</v>
      </c>
      <c r="AG220" t="b">
        <f t="shared" si="20"/>
        <v>1</v>
      </c>
      <c r="AH220" t="b">
        <f t="shared" si="22"/>
        <v>0</v>
      </c>
    </row>
    <row r="221" spans="1:35">
      <c r="A221" t="str">
        <f>G221</f>
        <v>RigorTherm</v>
      </c>
      <c r="G221" t="s">
        <v>507</v>
      </c>
      <c r="O221" t="s">
        <v>658</v>
      </c>
      <c r="AG221" t="b">
        <f t="shared" si="20"/>
        <v>1</v>
      </c>
      <c r="AH221" t="b">
        <f t="shared" si="22"/>
        <v>0</v>
      </c>
    </row>
    <row r="222" spans="1:35">
      <c r="A222" t="str">
        <f>G222</f>
        <v>NetTrack</v>
      </c>
      <c r="G222" t="s">
        <v>369</v>
      </c>
      <c r="O222" t="s">
        <v>658</v>
      </c>
      <c r="AG222" t="b">
        <f t="shared" si="20"/>
        <v>1</v>
      </c>
      <c r="AH222" t="b">
        <f t="shared" si="22"/>
        <v>0</v>
      </c>
    </row>
    <row r="223" spans="1:35">
      <c r="A223" t="str">
        <f t="shared" ref="A223:A228" si="24">H223</f>
        <v>certaintykwh</v>
      </c>
      <c r="H223" t="s">
        <v>587</v>
      </c>
      <c r="AG223" t="b">
        <f t="shared" si="20"/>
        <v>1</v>
      </c>
      <c r="AH223" t="b">
        <f t="shared" si="22"/>
        <v>0</v>
      </c>
    </row>
    <row r="224" spans="1:35">
      <c r="A224" t="str">
        <f>H224</f>
        <v>certaintythm</v>
      </c>
      <c r="H224" t="s">
        <v>591</v>
      </c>
      <c r="AG224" t="b">
        <f t="shared" si="20"/>
        <v>1</v>
      </c>
      <c r="AH224" t="b">
        <f t="shared" si="22"/>
        <v>0</v>
      </c>
    </row>
    <row r="225" spans="1:34">
      <c r="A225" t="str">
        <f t="shared" si="24"/>
        <v>Sampled_kwh</v>
      </c>
      <c r="H225" t="s">
        <v>589</v>
      </c>
      <c r="O225" t="s">
        <v>658</v>
      </c>
      <c r="AG225" t="b">
        <f t="shared" si="20"/>
        <v>1</v>
      </c>
      <c r="AH225" t="b">
        <f t="shared" si="22"/>
        <v>0</v>
      </c>
    </row>
    <row r="226" spans="1:34">
      <c r="A226" t="str">
        <f t="shared" si="24"/>
        <v>Sampled_thm</v>
      </c>
      <c r="H226" t="s">
        <v>593</v>
      </c>
      <c r="O226" t="s">
        <v>658</v>
      </c>
      <c r="AG226" t="b">
        <f t="shared" si="20"/>
        <v>1</v>
      </c>
      <c r="AH226" t="b">
        <f t="shared" si="22"/>
        <v>0</v>
      </c>
    </row>
    <row r="227" spans="1:34">
      <c r="A227" t="str">
        <f t="shared" si="24"/>
        <v>poolkwh</v>
      </c>
      <c r="H227" t="s">
        <v>588</v>
      </c>
      <c r="AG227" t="b">
        <f t="shared" si="20"/>
        <v>1</v>
      </c>
      <c r="AH227" t="b">
        <f t="shared" si="22"/>
        <v>0</v>
      </c>
    </row>
    <row r="228" spans="1:34">
      <c r="A228" t="str">
        <f t="shared" si="24"/>
        <v>poolthm</v>
      </c>
      <c r="H228" t="s">
        <v>592</v>
      </c>
      <c r="AG228" t="b">
        <f t="shared" si="20"/>
        <v>1</v>
      </c>
      <c r="AH228" t="b">
        <f t="shared" si="22"/>
        <v>0</v>
      </c>
    </row>
    <row r="229" spans="1:34">
      <c r="A229" t="s">
        <v>618</v>
      </c>
      <c r="M229" t="str">
        <f>map_gross!A217</f>
        <v>ss_stratum_kwh</v>
      </c>
      <c r="AA229" t="str">
        <f>A223 &amp; " ==True, 3; " &amp; A227 &amp; " ==True, 2; " &amp; A227 &amp; " ==False, 1, None"</f>
        <v>certaintykwh ==True, 3; poolkwh ==True, 2; poolkwh ==False, 1, None</v>
      </c>
      <c r="AG229" t="b">
        <f>IF(NOT(ISBLANK(A229)), LEN(_xlfn.CONCAT(C229:AF229))&gt;0, "")</f>
        <v>1</v>
      </c>
      <c r="AH229" t="b">
        <f>AND(ISNUMBER(SEARCH("kw",_xlfn.CONCAT(Q229:AF229))), ISNUMBER(SEARCH("thm",_xlfn.CONCAT(Q229:AF229))))</f>
        <v>0</v>
      </c>
    </row>
    <row r="230" spans="1:34">
      <c r="A230" t="s">
        <v>619</v>
      </c>
      <c r="M230" t="str">
        <f>map_gross!A218</f>
        <v>ss_stratum_thm</v>
      </c>
      <c r="AA230" t="str">
        <f>A224 &amp; " ==True, 3; " &amp; A228 &amp; " ==True, 2; " &amp; A228 &amp; " ==False, 1, None"</f>
        <v>certaintythm ==True, 3; poolthm ==True, 2; poolthm ==False, 1, None</v>
      </c>
      <c r="AG230" t="b">
        <f>IF(NOT(ISBLANK(A230)), LEN(_xlfn.CONCAT(C230:AF230))&gt;0, "")</f>
        <v>1</v>
      </c>
      <c r="AH230" t="b">
        <f>AND(ISNUMBER(SEARCH("kw",_xlfn.CONCAT(Q230:AF230))), ISNUMBER(SEARCH("thm",_xlfn.CONCAT(Q230:AF230))))</f>
        <v>0</v>
      </c>
    </row>
    <row r="231" spans="1:34">
      <c r="A231" t="s">
        <v>1730</v>
      </c>
      <c r="O231" t="s">
        <v>658</v>
      </c>
      <c r="AA231" t="str">
        <f>"( " &amp; A168 &amp; " =='Net/Replacement') | ( ( " &amp; A186 &amp; " !='N' ) &amp; " &amp; A186 &amp; " .notnull()), True, False"</f>
        <v>( Sampled =='Net/Replacement') | ( ( smpld_net_new !='N' ) &amp; smpld_net_new .notnull()), True, False</v>
      </c>
      <c r="AG231" t="b">
        <f t="shared" si="20"/>
        <v>1</v>
      </c>
      <c r="AH231" t="b">
        <f t="shared" si="22"/>
        <v>0</v>
      </c>
    </row>
    <row r="232" spans="1:34">
      <c r="A232" t="s">
        <v>2419</v>
      </c>
      <c r="M232" t="s">
        <v>2419</v>
      </c>
      <c r="R232" t="str">
        <f>"( " &amp;$A$189 &amp; " ) &amp; ( " &amp; A229 &amp; " !=1)"</f>
        <v>( SampledAny ) &amp; ( ss_stratum_kwh !=1)</v>
      </c>
      <c r="AG232" t="b">
        <f t="shared" ref="AG232:AG233" si="25">IF(NOT(ISBLANK(A232)), LEN(_xlfn.CONCAT(C232:AF232))&gt;0, "")</f>
        <v>1</v>
      </c>
      <c r="AH232" t="b">
        <f t="shared" ref="AH232:AH233" si="26">AND(ISNUMBER(SEARCH("kw",_xlfn.CONCAT(Q232:AF232))), ISNUMBER(SEARCH("thm",_xlfn.CONCAT(Q232:AF232))))</f>
        <v>0</v>
      </c>
    </row>
    <row r="233" spans="1:34">
      <c r="A233" t="s">
        <v>2420</v>
      </c>
      <c r="M233" t="s">
        <v>2420</v>
      </c>
      <c r="R233" t="str">
        <f>"( " &amp;$A$189 &amp; " ) &amp; ( " &amp; A230 &amp; " !=1)"</f>
        <v>( SampledAny ) &amp; ( ss_stratum_thm !=1)</v>
      </c>
      <c r="AG233" t="b">
        <f t="shared" si="25"/>
        <v>1</v>
      </c>
      <c r="AH233" t="b">
        <f t="shared" si="26"/>
        <v>0</v>
      </c>
    </row>
    <row r="234" spans="1:34">
      <c r="A234" t="s">
        <v>2669</v>
      </c>
      <c r="R234" s="35" t="str">
        <f>"( " &amp; $A$193 &amp; " .notnull() &amp; ( " &amp; $A$193 &amp; " !='NOT YET RECRUITED' ) )  &amp; ( ( " &amp;A183 &amp; " =='Y' ) | ( " &amp;$A$186 &amp; " =='kWh' )  | ( " &amp;$A$186 &amp; " =='both' ) | ( " &amp;A180 &amp; " =='Y' ) )"</f>
        <v>( NetDisposition .notnull() &amp; ( NetDisposition !='NOT YET RECRUITED' ) )  &amp; ( ( smpld_net_kWh =='Y' ) | ( smpld_net_new =='kWh' )  | ( smpld_net_new =='both' ) | ( sampled_kWh =='Y' ) )</v>
      </c>
      <c r="AG234" t="b">
        <f t="shared" ref="AG234" si="27">IF(NOT(ISBLANK(A234)), LEN(_xlfn.CONCAT(C234:AF234))&gt;0, "")</f>
        <v>1</v>
      </c>
      <c r="AH234" t="b">
        <f t="shared" ref="AH234" si="28">AND(ISNUMBER(SEARCH("kw",_xlfn.CONCAT(Q234:AF234))), ISNUMBER(SEARCH("thm",_xlfn.CONCAT(Q234:AF234))))</f>
        <v>0</v>
      </c>
    </row>
    <row r="235" spans="1:34">
      <c r="A235" t="s">
        <v>2670</v>
      </c>
      <c r="R235" s="35" t="str">
        <f>"( " &amp; $A$193 &amp; " .notnull() &amp; ( " &amp; $A$193 &amp; " !='NOT YET RECRUITED' ) )  &amp; ( ( " &amp;A184 &amp; " =='Y' ) | ( " &amp;$A$186 &amp; " =='thm' )  | ( " &amp;$A$186 &amp; " =='both' ) | ( " &amp;A181 &amp; " =='Y' ) )"</f>
        <v>( NetDisposition .notnull() &amp; ( NetDisposition !='NOT YET RECRUITED' ) )  &amp; ( ( smpld_net_thm =='Y' ) | ( smpld_net_new =='thm' )  | ( smpld_net_new =='both' ) | ( sampled_thm =='Y' ) )</v>
      </c>
      <c r="AG235" t="b">
        <f t="shared" ref="AG235" si="29">IF(NOT(ISBLANK(A235)), LEN(_xlfn.CONCAT(C235:AF235))&gt;0, "")</f>
        <v>1</v>
      </c>
      <c r="AH235" t="b">
        <f t="shared" ref="AH235" si="30">AND(ISNUMBER(SEARCH("kw",_xlfn.CONCAT(Q235:AF235))), ISNUMBER(SEARCH("thm",_xlfn.CONCAT(Q235:AF235))))</f>
        <v>0</v>
      </c>
    </row>
    <row r="236" spans="1:34">
      <c r="A236" t="s">
        <v>2451</v>
      </c>
      <c r="O236" t="s">
        <v>658</v>
      </c>
    </row>
    <row r="237" spans="1:34">
      <c r="A237" t="s">
        <v>2276</v>
      </c>
      <c r="R237" s="35" t="str">
        <f>"( " &amp; $A$192 &amp; " ==1 ) &amp; ( " &amp; A3 &amp; " ==True )"</f>
        <v>( NetSurveyComplete ==1 ) &amp; ( Frame_Electric ==True )</v>
      </c>
      <c r="AG237" t="b">
        <f t="shared" ref="AG237" si="31">IF(NOT(ISBLANK(A237)), LEN(_xlfn.CONCAT(C237:AF237))&gt;0, "")</f>
        <v>1</v>
      </c>
      <c r="AH237" t="b">
        <f t="shared" ref="AH237" si="32">AND(ISNUMBER(SEARCH("kw",_xlfn.CONCAT(Q237:AF237))), ISNUMBER(SEARCH("thm",_xlfn.CONCAT(Q237:AF237))))</f>
        <v>0</v>
      </c>
    </row>
    <row r="238" spans="1:34">
      <c r="A238" t="s">
        <v>2277</v>
      </c>
      <c r="R238" s="35" t="str">
        <f>"( " &amp; $A$192 &amp; " ==1 ) &amp; ( " &amp; A4 &amp; " ==True )"</f>
        <v>( NetSurveyComplete ==1 ) &amp; ( Frame_Gas ==True )</v>
      </c>
      <c r="AG238" t="b">
        <f t="shared" ref="AG238" si="33">IF(NOT(ISBLANK(A238)), LEN(_xlfn.CONCAT(C238:AF238))&gt;0, "")</f>
        <v>1</v>
      </c>
      <c r="AH238" t="b">
        <f t="shared" ref="AH238" si="34">AND(ISNUMBER(SEARCH("kw",_xlfn.CONCAT(Q238:AF238))), ISNUMBER(SEARCH("thm",_xlfn.CONCAT(Q238:AF238))))</f>
        <v>0</v>
      </c>
    </row>
    <row r="239" spans="1:34">
      <c r="A239" t="s">
        <v>2279</v>
      </c>
      <c r="R239" t="str">
        <f>A232 &amp; " &amp; " &amp; A237</f>
        <v>ss_sampled_kwh &amp; net_complete_kwh</v>
      </c>
      <c r="AG239" t="b">
        <f t="shared" ref="AG239" si="35">IF(NOT(ISBLANK(A239)), LEN(_xlfn.CONCAT(C239:AF239))&gt;0, "")</f>
        <v>1</v>
      </c>
      <c r="AH239" t="b">
        <f t="shared" ref="AH239" si="36">AND(ISNUMBER(SEARCH("kw",_xlfn.CONCAT(Q239:AF239))), ISNUMBER(SEARCH("thm",_xlfn.CONCAT(Q239:AF239))))</f>
        <v>0</v>
      </c>
    </row>
    <row r="240" spans="1:34">
      <c r="A240" t="s">
        <v>2280</v>
      </c>
      <c r="R240" t="str">
        <f>A233 &amp; " &amp; " &amp; A238</f>
        <v>ss_sampled_thm &amp; net_complete_thm</v>
      </c>
      <c r="AG240" t="b">
        <f t="shared" ref="AG240" si="37">IF(NOT(ISBLANK(A240)), LEN(_xlfn.CONCAT(C240:AF240))&gt;0, "")</f>
        <v>1</v>
      </c>
      <c r="AH240" t="b">
        <f t="shared" ref="AH240" si="38">AND(ISNUMBER(SEARCH("kw",_xlfn.CONCAT(Q240:AF240))), ISNUMBER(SEARCH("thm",_xlfn.CONCAT(Q240:AF240))))</f>
        <v>0</v>
      </c>
    </row>
    <row r="241" spans="1:34">
      <c r="A241" t="s">
        <v>1643</v>
      </c>
      <c r="M241" t="str">
        <f>map_gross!A221</f>
        <v>domain_stratum_pop_kw</v>
      </c>
      <c r="S241" t="str">
        <f>S242</f>
        <v>domain stratum_kWh</v>
      </c>
      <c r="T241" t="str">
        <f>$A$3 &amp; " ==True"</f>
        <v>Frame_Electric ==True</v>
      </c>
      <c r="U241" t="str">
        <f>$A$176</f>
        <v>SBW_ProjID</v>
      </c>
      <c r="V241" t="s">
        <v>626</v>
      </c>
      <c r="AG241" t="b">
        <f t="shared" si="20"/>
        <v>1</v>
      </c>
      <c r="AH241" t="b">
        <f t="shared" si="22"/>
        <v>0</v>
      </c>
    </row>
    <row r="242" spans="1:34">
      <c r="A242" t="s">
        <v>1641</v>
      </c>
      <c r="M242" t="str">
        <f>map_gross!A222</f>
        <v>domain_stratum_pop_kwh</v>
      </c>
      <c r="S242" t="str">
        <f>$A$177 &amp; " " &amp; A178</f>
        <v>domain stratum_kWh</v>
      </c>
      <c r="T242" t="str">
        <f>$A$3 &amp; " ==True"</f>
        <v>Frame_Electric ==True</v>
      </c>
      <c r="U242" t="str">
        <f>$A$176</f>
        <v>SBW_ProjID</v>
      </c>
      <c r="V242" t="str">
        <f>V241</f>
        <v>count</v>
      </c>
      <c r="AG242" t="b">
        <f t="shared" si="20"/>
        <v>1</v>
      </c>
      <c r="AH242" t="b">
        <f t="shared" si="22"/>
        <v>0</v>
      </c>
    </row>
    <row r="243" spans="1:34">
      <c r="A243" t="s">
        <v>1642</v>
      </c>
      <c r="M243" t="str">
        <f>map_gross!A223</f>
        <v>domain_stratum_pop_thm</v>
      </c>
      <c r="S243" t="str">
        <f>$A$177 &amp; " " &amp; A179</f>
        <v>domain stratum_thm</v>
      </c>
      <c r="T243" t="str">
        <f>$A$4 &amp; " ==True"</f>
        <v>Frame_Gas ==True</v>
      </c>
      <c r="U243" t="str">
        <f>$A$176</f>
        <v>SBW_ProjID</v>
      </c>
      <c r="V243" t="str">
        <f>V241</f>
        <v>count</v>
      </c>
      <c r="AG243" t="b">
        <f t="shared" si="20"/>
        <v>1</v>
      </c>
      <c r="AH243" t="b">
        <f t="shared" si="22"/>
        <v>0</v>
      </c>
    </row>
    <row r="244" spans="1:34">
      <c r="A244" t="s">
        <v>1645</v>
      </c>
      <c r="M244" t="str">
        <f>map_gross!A224</f>
        <v>domain_stratum_smp_kw_prelim</v>
      </c>
      <c r="S244" t="str">
        <f>$S$242</f>
        <v>domain stratum_kWh</v>
      </c>
      <c r="T244" t="str">
        <f>$A$180 &amp; " =='Y'"</f>
        <v>sampled_kWh =='Y'</v>
      </c>
      <c r="U244" t="str">
        <f>U241</f>
        <v>SBW_ProjID</v>
      </c>
      <c r="V244" t="str">
        <f>V241</f>
        <v>count</v>
      </c>
      <c r="AG244" t="b">
        <f t="shared" si="20"/>
        <v>1</v>
      </c>
      <c r="AH244" t="b">
        <f t="shared" si="22"/>
        <v>0</v>
      </c>
    </row>
    <row r="245" spans="1:34">
      <c r="A245" t="str">
        <f>A244</f>
        <v>domain_stratum_smp_kw_prelim</v>
      </c>
      <c r="M245" t="str">
        <f>map_gross!A225</f>
        <v>domain_stratum_smp_kw_prelim</v>
      </c>
      <c r="O245" t="s">
        <v>658</v>
      </c>
      <c r="AA245" t="str">
        <f>A244 &amp; " .notna(), ( " &amp; A244 &amp; " ), 0"</f>
        <v>domain_stratum_smp_kw_prelim .notna(), ( domain_stratum_smp_kw_prelim ), 0</v>
      </c>
      <c r="AG245" t="b">
        <f t="shared" si="20"/>
        <v>1</v>
      </c>
      <c r="AH245" t="b">
        <f t="shared" si="22"/>
        <v>0</v>
      </c>
    </row>
    <row r="246" spans="1:34">
      <c r="A246" t="s">
        <v>1644</v>
      </c>
      <c r="M246" t="str">
        <f>map_gross!A226</f>
        <v>domain_stratum_smp_kw</v>
      </c>
      <c r="S246" t="str">
        <f>S242</f>
        <v>domain stratum_kWh</v>
      </c>
      <c r="T246" t="str">
        <f>A178 &amp; " !=8"</f>
        <v>stratum_kWh !=8</v>
      </c>
      <c r="U246" t="str">
        <f>A245</f>
        <v>domain_stratum_smp_kw_prelim</v>
      </c>
      <c r="V246" t="s">
        <v>673</v>
      </c>
      <c r="AG246" t="b">
        <f t="shared" si="20"/>
        <v>1</v>
      </c>
      <c r="AH246" t="b">
        <f t="shared" si="22"/>
        <v>0</v>
      </c>
    </row>
    <row r="247" spans="1:34">
      <c r="A247" t="s">
        <v>1647</v>
      </c>
      <c r="M247" t="str">
        <f>map_gross!A227</f>
        <v>domain_stratum_smp_kwh_prelim</v>
      </c>
      <c r="S247" t="str">
        <f>$S$242</f>
        <v>domain stratum_kWh</v>
      </c>
      <c r="T247" t="str">
        <f>$A$180 &amp; " =='Y'"</f>
        <v>sampled_kWh =='Y'</v>
      </c>
      <c r="U247" t="str">
        <f>U242</f>
        <v>SBW_ProjID</v>
      </c>
      <c r="V247" t="str">
        <f>V241</f>
        <v>count</v>
      </c>
      <c r="AG247" t="b">
        <f t="shared" si="20"/>
        <v>1</v>
      </c>
      <c r="AH247" t="b">
        <f t="shared" si="22"/>
        <v>0</v>
      </c>
    </row>
    <row r="248" spans="1:34">
      <c r="A248" t="str">
        <f>A247</f>
        <v>domain_stratum_smp_kwh_prelim</v>
      </c>
      <c r="M248" t="str">
        <f>map_gross!A228</f>
        <v>domain_stratum_smp_kwh_prelim</v>
      </c>
      <c r="O248" t="s">
        <v>658</v>
      </c>
      <c r="AA248" t="str">
        <f>A247 &amp; " .notna(), ( " &amp; A247 &amp; " ), 0"</f>
        <v>domain_stratum_smp_kwh_prelim .notna(), ( domain_stratum_smp_kwh_prelim ), 0</v>
      </c>
      <c r="AG248" t="b">
        <f t="shared" si="20"/>
        <v>1</v>
      </c>
      <c r="AH248" t="b">
        <f t="shared" si="22"/>
        <v>0</v>
      </c>
    </row>
    <row r="249" spans="1:34">
      <c r="A249" t="s">
        <v>1646</v>
      </c>
      <c r="M249" t="str">
        <f>map_gross!A229</f>
        <v>domain_stratum_smp_kwh</v>
      </c>
      <c r="S249" t="str">
        <f>$S$242</f>
        <v>domain stratum_kWh</v>
      </c>
      <c r="T249" t="str">
        <f>$T$246</f>
        <v>stratum_kWh !=8</v>
      </c>
      <c r="U249" t="str">
        <f>A248</f>
        <v>domain_stratum_smp_kwh_prelim</v>
      </c>
      <c r="V249" t="str">
        <f>V246</f>
        <v>max</v>
      </c>
      <c r="AG249" t="b">
        <f t="shared" si="20"/>
        <v>1</v>
      </c>
      <c r="AH249" t="b">
        <f t="shared" si="22"/>
        <v>0</v>
      </c>
    </row>
    <row r="250" spans="1:34">
      <c r="A250" t="s">
        <v>1648</v>
      </c>
      <c r="M250" t="str">
        <f>map_gross!A230</f>
        <v>domain_stratum_smp_thm_prelim</v>
      </c>
      <c r="S250" t="str">
        <f>$S$243</f>
        <v>domain stratum_thm</v>
      </c>
      <c r="T250" t="str">
        <f>$A$181 &amp; " =='Y'"</f>
        <v>sampled_thm =='Y'</v>
      </c>
      <c r="U250" t="str">
        <f>U243</f>
        <v>SBW_ProjID</v>
      </c>
      <c r="V250" t="str">
        <f>V241</f>
        <v>count</v>
      </c>
      <c r="AG250" t="b">
        <f t="shared" ref="AG250:AG333" si="39">IF(NOT(ISBLANK(A250)), LEN(_xlfn.CONCAT(C250:AF250))&gt;0, "")</f>
        <v>1</v>
      </c>
      <c r="AH250" t="b">
        <f t="shared" si="22"/>
        <v>0</v>
      </c>
    </row>
    <row r="251" spans="1:34">
      <c r="A251" t="str">
        <f>A250</f>
        <v>domain_stratum_smp_thm_prelim</v>
      </c>
      <c r="M251" t="str">
        <f>map_gross!A231</f>
        <v>domain_stratum_smp_thm_prelim</v>
      </c>
      <c r="O251" t="s">
        <v>658</v>
      </c>
      <c r="AA251" t="str">
        <f>A250 &amp; " .notna(), ( " &amp; A250 &amp; " ), 0"</f>
        <v>domain_stratum_smp_thm_prelim .notna(), ( domain_stratum_smp_thm_prelim ), 0</v>
      </c>
      <c r="AG251" t="b">
        <f t="shared" si="39"/>
        <v>1</v>
      </c>
      <c r="AH251" t="b">
        <f t="shared" si="22"/>
        <v>0</v>
      </c>
    </row>
    <row r="252" spans="1:34">
      <c r="A252" t="s">
        <v>1649</v>
      </c>
      <c r="M252" t="str">
        <f>map_gross!A232</f>
        <v>domain_stratum_smp_thm</v>
      </c>
      <c r="S252" t="str">
        <f>S250</f>
        <v>domain stratum_thm</v>
      </c>
      <c r="T252" t="str">
        <f>A179 &amp; " !=8"</f>
        <v>stratum_thm !=8</v>
      </c>
      <c r="U252" t="str">
        <f>A251</f>
        <v>domain_stratum_smp_thm_prelim</v>
      </c>
      <c r="V252" t="str">
        <f>V246</f>
        <v>max</v>
      </c>
      <c r="AG252" t="b">
        <f t="shared" si="39"/>
        <v>1</v>
      </c>
      <c r="AH252" t="b">
        <f t="shared" si="22"/>
        <v>0</v>
      </c>
    </row>
    <row r="253" spans="1:34">
      <c r="A253" t="s">
        <v>1650</v>
      </c>
      <c r="M253" t="str">
        <f>map_gross!A233</f>
        <v>domain_weight_kw</v>
      </c>
      <c r="S253" t="str">
        <f>S242</f>
        <v>domain stratum_kWh</v>
      </c>
      <c r="T253" t="str">
        <f xml:space="preserve"> $A$187 &amp; " .notnull()"</f>
        <v>SampleID .notnull()</v>
      </c>
      <c r="U253" t="str">
        <f>A241 &amp; ", " &amp; A246</f>
        <v>domain_stratum_pop_kw, domain_stratum_smp_kw</v>
      </c>
      <c r="V253" t="s">
        <v>668</v>
      </c>
      <c r="W253" t="s">
        <v>627</v>
      </c>
      <c r="AG253" t="b">
        <f t="shared" si="39"/>
        <v>1</v>
      </c>
      <c r="AH253" t="b">
        <f t="shared" si="22"/>
        <v>0</v>
      </c>
    </row>
    <row r="254" spans="1:34">
      <c r="A254" t="s">
        <v>1651</v>
      </c>
      <c r="M254" t="str">
        <f>map_gross!A234</f>
        <v>domain_weight_kwh</v>
      </c>
      <c r="S254" t="str">
        <f>S242</f>
        <v>domain stratum_kWh</v>
      </c>
      <c r="T254" t="str">
        <f xml:space="preserve"> $A$187 &amp; " .notnull()"</f>
        <v>SampleID .notnull()</v>
      </c>
      <c r="U254" t="str">
        <f>A242 &amp; ", " &amp; A249</f>
        <v>domain_stratum_pop_kwh, domain_stratum_smp_kwh</v>
      </c>
      <c r="V254" t="s">
        <v>668</v>
      </c>
      <c r="W254" t="s">
        <v>627</v>
      </c>
      <c r="AG254" t="b">
        <f t="shared" si="39"/>
        <v>1</v>
      </c>
      <c r="AH254" t="b">
        <f t="shared" si="22"/>
        <v>0</v>
      </c>
    </row>
    <row r="255" spans="1:34">
      <c r="A255" t="s">
        <v>1652</v>
      </c>
      <c r="M255" t="str">
        <f>map_gross!A235</f>
        <v>domain_weight_thm</v>
      </c>
      <c r="S255" t="str">
        <f>S243</f>
        <v>domain stratum_thm</v>
      </c>
      <c r="T255" t="str">
        <f xml:space="preserve"> $A$187 &amp; " .notnull()"</f>
        <v>SampleID .notnull()</v>
      </c>
      <c r="U255" t="str">
        <f>A243 &amp; ", " &amp; A252</f>
        <v>domain_stratum_pop_thm, domain_stratum_smp_thm</v>
      </c>
      <c r="V255" t="s">
        <v>668</v>
      </c>
      <c r="W255" t="s">
        <v>627</v>
      </c>
      <c r="AG255" t="b">
        <f t="shared" si="39"/>
        <v>1</v>
      </c>
      <c r="AH255" t="b">
        <f t="shared" si="22"/>
        <v>0</v>
      </c>
    </row>
    <row r="256" spans="1:34">
      <c r="A256" t="s">
        <v>1731</v>
      </c>
      <c r="M256" t="str">
        <f>map_gross!A236</f>
        <v>domain_prob_sel_kw</v>
      </c>
      <c r="O256" t="s">
        <v>658</v>
      </c>
      <c r="AA256" t="str">
        <f>A253 &amp; " .notna(), ( 1 / " &amp; A253 &amp; " ), 0"</f>
        <v>domain_weight_kw .notna(), ( 1 / domain_weight_kw ), 0</v>
      </c>
      <c r="AG256" t="b">
        <f t="shared" si="39"/>
        <v>1</v>
      </c>
      <c r="AH256" t="b">
        <f t="shared" si="22"/>
        <v>0</v>
      </c>
    </row>
    <row r="257" spans="1:35">
      <c r="A257" t="s">
        <v>1732</v>
      </c>
      <c r="M257" t="str">
        <f>map_gross!A237</f>
        <v>domain_prob_sel_kwh</v>
      </c>
      <c r="O257" t="s">
        <v>658</v>
      </c>
      <c r="AA257" t="str">
        <f>A254 &amp; " .notna(), ( 1 / " &amp; A254 &amp; " ), 0"</f>
        <v>domain_weight_kwh .notna(), ( 1 / domain_weight_kwh ), 0</v>
      </c>
      <c r="AG257" t="b">
        <f t="shared" si="39"/>
        <v>1</v>
      </c>
      <c r="AH257" t="b">
        <f t="shared" si="22"/>
        <v>0</v>
      </c>
    </row>
    <row r="258" spans="1:35">
      <c r="A258" t="s">
        <v>1733</v>
      </c>
      <c r="M258" t="str">
        <f>map_gross!A238</f>
        <v>domain_prob_sel_thm</v>
      </c>
      <c r="O258" t="s">
        <v>658</v>
      </c>
      <c r="AA258" t="str">
        <f>A255 &amp; " .notna(), ( 1 / " &amp; A255 &amp; " ), 0"</f>
        <v>domain_weight_thm .notna(), ( 1 / domain_weight_thm ), 0</v>
      </c>
      <c r="AG258" t="b">
        <f t="shared" si="39"/>
        <v>1</v>
      </c>
      <c r="AH258" t="b">
        <f t="shared" si="22"/>
        <v>0</v>
      </c>
    </row>
    <row r="259" spans="1:35">
      <c r="A259" t="s">
        <v>620</v>
      </c>
      <c r="B259" t="s">
        <v>1764</v>
      </c>
      <c r="M259" t="str">
        <f>map_gross!A239</f>
        <v>strkwh_pop_count</v>
      </c>
      <c r="S259" t="str">
        <f>$A$187 &amp; " " &amp; A229</f>
        <v>SampleID ss_stratum_kwh</v>
      </c>
      <c r="U259" t="str">
        <f>$A$187</f>
        <v>SampleID</v>
      </c>
      <c r="V259" t="s">
        <v>626</v>
      </c>
      <c r="AG259" t="b">
        <f t="shared" si="39"/>
        <v>1</v>
      </c>
      <c r="AH259" t="b">
        <f t="shared" si="22"/>
        <v>0</v>
      </c>
    </row>
    <row r="260" spans="1:35">
      <c r="A260" t="s">
        <v>674</v>
      </c>
      <c r="M260" t="str">
        <f>map_gross!A240</f>
        <v>strkwh_smp_count_prelim</v>
      </c>
      <c r="S260" t="str">
        <f>S259</f>
        <v>SampleID ss_stratum_kwh</v>
      </c>
      <c r="T260" t="str">
        <f xml:space="preserve"> $A$239 &amp; " ==True"</f>
        <v>ss_net_complete_kwh ==True</v>
      </c>
      <c r="U260" t="str">
        <f>U259</f>
        <v>SampleID</v>
      </c>
      <c r="V260" t="s">
        <v>626</v>
      </c>
      <c r="AG260" t="b">
        <f t="shared" si="39"/>
        <v>1</v>
      </c>
      <c r="AH260" t="b">
        <f t="shared" si="22"/>
        <v>0</v>
      </c>
    </row>
    <row r="261" spans="1:35">
      <c r="A261" t="str">
        <f>A260</f>
        <v>strkwh_smp_count_prelim</v>
      </c>
      <c r="M261" t="str">
        <f>map_gross!A241</f>
        <v>strkwh_smp_count_prelim</v>
      </c>
      <c r="O261" t="s">
        <v>658</v>
      </c>
      <c r="AA261" t="str">
        <f>A260 &amp; " .notna(), ( " &amp; A260 &amp; " ), 0"</f>
        <v>strkwh_smp_count_prelim .notna(), ( strkwh_smp_count_prelim ), 0</v>
      </c>
      <c r="AG261" t="b">
        <f t="shared" si="39"/>
        <v>1</v>
      </c>
      <c r="AH261" t="b">
        <f t="shared" si="22"/>
        <v>0</v>
      </c>
    </row>
    <row r="262" spans="1:35">
      <c r="A262" t="s">
        <v>622</v>
      </c>
      <c r="M262" t="str">
        <f>map_gross!A242</f>
        <v>strkwh_smp_count</v>
      </c>
      <c r="S262" t="str">
        <f>S260</f>
        <v>SampleID ss_stratum_kwh</v>
      </c>
      <c r="T262" t="str">
        <f>A178 &amp; " !=8"</f>
        <v>stratum_kWh !=8</v>
      </c>
      <c r="U262" t="str">
        <f>A260</f>
        <v>strkwh_smp_count_prelim</v>
      </c>
      <c r="V262" t="s">
        <v>673</v>
      </c>
      <c r="AG262" t="b">
        <f t="shared" si="39"/>
        <v>1</v>
      </c>
      <c r="AH262" t="b">
        <f t="shared" si="22"/>
        <v>0</v>
      </c>
    </row>
    <row r="263" spans="1:35">
      <c r="A263" t="s">
        <v>623</v>
      </c>
      <c r="M263" t="str">
        <f>map_gross!A243</f>
        <v>strthm_pop_count</v>
      </c>
      <c r="S263" t="str">
        <f>$A$187 &amp; " " &amp; A230</f>
        <v>SampleID ss_stratum_thm</v>
      </c>
      <c r="U263" t="str">
        <f>U260</f>
        <v>SampleID</v>
      </c>
      <c r="V263" t="s">
        <v>626</v>
      </c>
      <c r="AG263" t="b">
        <f t="shared" si="39"/>
        <v>1</v>
      </c>
      <c r="AH263" t="b">
        <f t="shared" si="22"/>
        <v>0</v>
      </c>
    </row>
    <row r="264" spans="1:35">
      <c r="A264" t="s">
        <v>675</v>
      </c>
      <c r="M264" t="str">
        <f>map_gross!A244</f>
        <v>strthm_smp_count_prelim</v>
      </c>
      <c r="S264" t="str">
        <f>S263</f>
        <v>SampleID ss_stratum_thm</v>
      </c>
      <c r="T264" t="str">
        <f xml:space="preserve"> $A$240 &amp; " ==True"</f>
        <v>ss_net_complete_thm ==True</v>
      </c>
      <c r="U264" t="str">
        <f>U263</f>
        <v>SampleID</v>
      </c>
      <c r="V264" t="s">
        <v>626</v>
      </c>
      <c r="AG264" t="b">
        <f t="shared" si="39"/>
        <v>1</v>
      </c>
      <c r="AH264" t="b">
        <f t="shared" ref="AH264:AH337" si="40">AND(ISNUMBER(SEARCH("kw",_xlfn.CONCAT(Q264:AF264))), ISNUMBER(SEARCH("thm",_xlfn.CONCAT(Q264:AF264))))</f>
        <v>0</v>
      </c>
    </row>
    <row r="265" spans="1:35">
      <c r="A265" t="s">
        <v>675</v>
      </c>
      <c r="M265" t="str">
        <f>map_gross!A245</f>
        <v>strthm_smp_count_prelim</v>
      </c>
      <c r="O265" t="s">
        <v>658</v>
      </c>
      <c r="AA265" t="str">
        <f>A264 &amp; " .notna(), ( " &amp; A264 &amp; " ), 0"</f>
        <v>strthm_smp_count_prelim .notna(), ( strthm_smp_count_prelim ), 0</v>
      </c>
      <c r="AG265" t="b">
        <f t="shared" si="39"/>
        <v>1</v>
      </c>
      <c r="AH265" t="b">
        <f t="shared" si="40"/>
        <v>0</v>
      </c>
    </row>
    <row r="266" spans="1:35">
      <c r="A266" t="s">
        <v>621</v>
      </c>
      <c r="M266" t="str">
        <f>map_gross!A246</f>
        <v>strthm_smp_count</v>
      </c>
      <c r="S266" t="str">
        <f>S264</f>
        <v>SampleID ss_stratum_thm</v>
      </c>
      <c r="T266" t="str">
        <f>A179 &amp; " !=8"</f>
        <v>stratum_thm !=8</v>
      </c>
      <c r="U266" t="str">
        <f>A264</f>
        <v>strthm_smp_count_prelim</v>
      </c>
      <c r="V266" t="s">
        <v>673</v>
      </c>
      <c r="AG266" t="b">
        <f t="shared" si="39"/>
        <v>1</v>
      </c>
      <c r="AH266" t="b">
        <f t="shared" si="40"/>
        <v>0</v>
      </c>
    </row>
    <row r="267" spans="1:35">
      <c r="A267" t="s">
        <v>614</v>
      </c>
      <c r="M267" t="str">
        <f>map_gross!A247</f>
        <v>subsample_weight_kwh</v>
      </c>
      <c r="S267" t="str">
        <f>S259</f>
        <v>SampleID ss_stratum_kwh</v>
      </c>
      <c r="T267" t="str">
        <f xml:space="preserve"> $A$239 &amp; " ==True"</f>
        <v>ss_net_complete_kwh ==True</v>
      </c>
      <c r="U267" t="str">
        <f>A259 &amp; ", " &amp; A262</f>
        <v>strkwh_pop_count, strkwh_smp_count</v>
      </c>
      <c r="V267" t="s">
        <v>668</v>
      </c>
      <c r="W267" t="s">
        <v>627</v>
      </c>
      <c r="AG267" t="b">
        <f t="shared" si="39"/>
        <v>1</v>
      </c>
      <c r="AH267" t="b">
        <f t="shared" si="40"/>
        <v>0</v>
      </c>
    </row>
    <row r="268" spans="1:35">
      <c r="A268" t="s">
        <v>615</v>
      </c>
      <c r="M268" t="str">
        <f>map_gross!A248</f>
        <v>subsample_weight_thm</v>
      </c>
      <c r="S268" t="str">
        <f>$A$187 &amp; " " &amp; A230</f>
        <v>SampleID ss_stratum_thm</v>
      </c>
      <c r="T268" t="str">
        <f xml:space="preserve"> $A$240 &amp; " ==True"</f>
        <v>ss_net_complete_thm ==True</v>
      </c>
      <c r="U268" t="str">
        <f>A263 &amp; ", " &amp; A266</f>
        <v>strthm_pop_count, strthm_smp_count</v>
      </c>
      <c r="V268" t="s">
        <v>668</v>
      </c>
      <c r="W268" t="s">
        <v>627</v>
      </c>
      <c r="AG268" t="b">
        <f t="shared" si="39"/>
        <v>1</v>
      </c>
      <c r="AH268" t="b">
        <f t="shared" si="40"/>
        <v>0</v>
      </c>
    </row>
    <row r="269" spans="1:35">
      <c r="A269" t="s">
        <v>1734</v>
      </c>
      <c r="O269" t="s">
        <v>658</v>
      </c>
      <c r="AA269" t="str">
        <f>A267 &amp; " .notna(), ( 1 / " &amp; A267 &amp; " ), 0"</f>
        <v>subsample_weight_kwh .notna(), ( 1 / subsample_weight_kwh ), 0</v>
      </c>
      <c r="AG269" t="b">
        <f t="shared" si="39"/>
        <v>1</v>
      </c>
      <c r="AH269" t="b">
        <f t="shared" si="40"/>
        <v>0</v>
      </c>
    </row>
    <row r="270" spans="1:35">
      <c r="A270" t="s">
        <v>1736</v>
      </c>
      <c r="O270" t="s">
        <v>658</v>
      </c>
      <c r="AA270" t="str">
        <f>A267 &amp; " .notna(), ( 1 / " &amp; A267 &amp; " ), 0"</f>
        <v>subsample_weight_kwh .notna(), ( 1 / subsample_weight_kwh ), 0</v>
      </c>
      <c r="AG270" t="b">
        <f t="shared" si="39"/>
        <v>1</v>
      </c>
      <c r="AH270" t="b">
        <f t="shared" si="40"/>
        <v>0</v>
      </c>
    </row>
    <row r="271" spans="1:35">
      <c r="A271" t="s">
        <v>1735</v>
      </c>
      <c r="O271" t="s">
        <v>658</v>
      </c>
      <c r="AA271" t="str">
        <f>A268 &amp; " .notna(), ( 1 / " &amp; A268 &amp; " ), 0"</f>
        <v>subsample_weight_thm .notna(), ( 1 / subsample_weight_thm ), 0</v>
      </c>
      <c r="AG271" t="b">
        <f t="shared" si="39"/>
        <v>1</v>
      </c>
      <c r="AH271" t="b">
        <f t="shared" si="40"/>
        <v>0</v>
      </c>
    </row>
    <row r="272" spans="1:35">
      <c r="A272" t="s">
        <v>746</v>
      </c>
      <c r="O272" t="s">
        <v>658</v>
      </c>
      <c r="AA272" t="str">
        <f>"np.logical_and( " &amp;A268 &amp; " .notnull(), " &amp; A267 &amp; " .notnull()),None, " &amp;A267 &amp; " .notnull(), " &amp; A267 &amp; ", " &amp; A268</f>
        <v>np.logical_and( subsample_weight_thm .notnull(), subsample_weight_kwh .notnull()),None, subsample_weight_kwh .notnull(), subsample_weight_kwh, subsample_weight_thm</v>
      </c>
      <c r="AG272" t="b">
        <f t="shared" si="39"/>
        <v>1</v>
      </c>
      <c r="AH272" t="b">
        <f t="shared" si="40"/>
        <v>1</v>
      </c>
      <c r="AI272" t="s">
        <v>1653</v>
      </c>
    </row>
    <row r="273" spans="1:39">
      <c r="A273" s="3" t="s">
        <v>603</v>
      </c>
      <c r="I273" s="3"/>
      <c r="J273" s="3"/>
      <c r="K273" s="3"/>
      <c r="L273" s="3"/>
      <c r="M273" s="3"/>
      <c r="O273" t="s">
        <v>658</v>
      </c>
      <c r="Q273" t="str">
        <f>A214</f>
        <v>EvalEUL</v>
      </c>
      <c r="AG273" t="b">
        <f t="shared" si="39"/>
        <v>1</v>
      </c>
      <c r="AH273" t="b">
        <f t="shared" si="40"/>
        <v>0</v>
      </c>
      <c r="AM273" t="str">
        <f>A214 &amp; " .notna(), ( " &amp; A214 &amp; " ) , ( " &amp; A132 &amp; " )"</f>
        <v>EvalEUL .notna(), ( EvalEUL ) , ( EUL_Yrs )</v>
      </c>
    </row>
    <row r="274" spans="1:39">
      <c r="A274" s="3" t="s">
        <v>604</v>
      </c>
      <c r="I274" s="3"/>
      <c r="J274" s="3"/>
      <c r="K274" s="3"/>
      <c r="L274" s="3"/>
      <c r="M274" s="3"/>
      <c r="O274" t="s">
        <v>658</v>
      </c>
      <c r="Q274" t="str">
        <f>A215</f>
        <v>EvalRUL</v>
      </c>
      <c r="AG274" t="b">
        <f t="shared" si="39"/>
        <v>1</v>
      </c>
      <c r="AH274" t="b">
        <f t="shared" si="40"/>
        <v>0</v>
      </c>
    </row>
    <row r="275" spans="1:39">
      <c r="A275" t="s">
        <v>2272</v>
      </c>
      <c r="O275" t="s">
        <v>658</v>
      </c>
      <c r="R275" t="str">
        <f>$A$134 &amp; " * " &amp; A267</f>
        <v>Eval_adj_EUL * subsample_weight_kwh</v>
      </c>
      <c r="AG275" t="b">
        <f t="shared" si="39"/>
        <v>1</v>
      </c>
      <c r="AH275" t="b">
        <f t="shared" si="40"/>
        <v>0</v>
      </c>
    </row>
    <row r="276" spans="1:39">
      <c r="A276" t="s">
        <v>2273</v>
      </c>
      <c r="O276" t="s">
        <v>658</v>
      </c>
      <c r="R276" t="str">
        <f>$A$134 &amp; " * " &amp; A268</f>
        <v>Eval_adj_EUL * subsample_weight_thm</v>
      </c>
      <c r="AG276" t="b">
        <f t="shared" si="39"/>
        <v>1</v>
      </c>
      <c r="AH276" t="b">
        <f t="shared" si="40"/>
        <v>0</v>
      </c>
    </row>
    <row r="277" spans="1:39">
      <c r="A277" t="s">
        <v>684</v>
      </c>
      <c r="O277" t="s">
        <v>658</v>
      </c>
      <c r="R277" t="str">
        <f>$A$273 &amp; " * " &amp; A267</f>
        <v>EvalEUL_Yrs * subsample_weight_kwh</v>
      </c>
      <c r="AG277" t="b">
        <f t="shared" si="39"/>
        <v>1</v>
      </c>
      <c r="AH277" t="b">
        <f t="shared" si="40"/>
        <v>0</v>
      </c>
    </row>
    <row r="278" spans="1:39">
      <c r="A278" t="s">
        <v>685</v>
      </c>
      <c r="O278" t="s">
        <v>658</v>
      </c>
      <c r="R278" t="str">
        <f>$A$273 &amp; " * " &amp; A268</f>
        <v>EvalEUL_Yrs * subsample_weight_thm</v>
      </c>
      <c r="AG278" t="b">
        <f t="shared" si="39"/>
        <v>1</v>
      </c>
      <c r="AH278" t="b">
        <f t="shared" si="40"/>
        <v>0</v>
      </c>
    </row>
    <row r="279" spans="1:39">
      <c r="A279" t="s">
        <v>686</v>
      </c>
      <c r="O279" t="s">
        <v>658</v>
      </c>
      <c r="S279" t="str">
        <f>$A$187</f>
        <v>SampleID</v>
      </c>
      <c r="T279" t="str">
        <f>" ( " &amp; $A$237 &amp; " )"</f>
        <v xml:space="preserve"> ( net_complete_kwh )</v>
      </c>
      <c r="U279" t="str">
        <f>A277 &amp; ", " &amp; A275</f>
        <v>ss_wtd_Eval_EUL_kwh, ss_wtd_EUL_kwh</v>
      </c>
      <c r="V279" t="s">
        <v>625</v>
      </c>
      <c r="W279" t="s">
        <v>627</v>
      </c>
      <c r="AG279" t="b">
        <f t="shared" si="39"/>
        <v>1</v>
      </c>
      <c r="AH279" t="b">
        <f t="shared" si="40"/>
        <v>0</v>
      </c>
    </row>
    <row r="280" spans="1:39">
      <c r="A280" t="s">
        <v>687</v>
      </c>
      <c r="O280" t="s">
        <v>658</v>
      </c>
      <c r="S280" t="str">
        <f>$A$187</f>
        <v>SampleID</v>
      </c>
      <c r="T280" t="str">
        <f>" ( " &amp; $A$238&amp; " )"</f>
        <v xml:space="preserve"> ( net_complete_thm )</v>
      </c>
      <c r="U280" t="str">
        <f>A278 &amp; ", " &amp; A276</f>
        <v>ss_wtd_Eval_EUL_thm, ss_wtd_EUL_thm</v>
      </c>
      <c r="V280" t="s">
        <v>625</v>
      </c>
      <c r="W280" t="s">
        <v>627</v>
      </c>
      <c r="AG280" t="b">
        <f t="shared" si="39"/>
        <v>1</v>
      </c>
      <c r="AH280" t="b">
        <f t="shared" si="40"/>
        <v>0</v>
      </c>
    </row>
    <row r="281" spans="1:39">
      <c r="A281" t="s">
        <v>2170</v>
      </c>
      <c r="O281" t="s">
        <v>658</v>
      </c>
      <c r="S281" t="str">
        <f t="shared" ref="S281:S282" si="41">$A$187</f>
        <v>SampleID</v>
      </c>
      <c r="T281" t="str">
        <f>T279</f>
        <v xml:space="preserve"> ( net_complete_kwh )</v>
      </c>
      <c r="U281" t="str">
        <f>A277 &amp; ", " &amp; A275</f>
        <v>ss_wtd_Eval_EUL_kwh, ss_wtd_EUL_kwh</v>
      </c>
      <c r="V281" t="str">
        <f>V279</f>
        <v>sum, sum</v>
      </c>
      <c r="W281" t="str">
        <f>W279</f>
        <v>/</v>
      </c>
      <c r="AG281" t="b">
        <f t="shared" si="39"/>
        <v>1</v>
      </c>
      <c r="AH281" t="b">
        <f t="shared" si="40"/>
        <v>0</v>
      </c>
    </row>
    <row r="282" spans="1:39">
      <c r="A282" t="s">
        <v>2171</v>
      </c>
      <c r="O282" t="s">
        <v>658</v>
      </c>
      <c r="S282" t="str">
        <f t="shared" si="41"/>
        <v>SampleID</v>
      </c>
      <c r="T282" t="str">
        <f>T280</f>
        <v xml:space="preserve"> ( net_complete_thm )</v>
      </c>
      <c r="V282" t="str">
        <f>V280</f>
        <v>sum, sum</v>
      </c>
      <c r="W282" t="str">
        <f>W280</f>
        <v>/</v>
      </c>
      <c r="AG282" t="b">
        <f t="shared" si="39"/>
        <v>1</v>
      </c>
      <c r="AH282" t="b">
        <f t="shared" si="40"/>
        <v>0</v>
      </c>
    </row>
    <row r="283" spans="1:39">
      <c r="A283" t="s">
        <v>2206</v>
      </c>
      <c r="O283" t="s">
        <v>658</v>
      </c>
      <c r="R283" t="str">
        <f>$A$132 &amp; " * " &amp; A279</f>
        <v>EUL_Yrs * ss_EUL_kwh_rr</v>
      </c>
      <c r="AG283" t="b">
        <f t="shared" si="39"/>
        <v>1</v>
      </c>
      <c r="AH283" t="b">
        <f t="shared" si="40"/>
        <v>0</v>
      </c>
    </row>
    <row r="284" spans="1:39">
      <c r="A284" t="s">
        <v>2207</v>
      </c>
      <c r="O284" t="s">
        <v>658</v>
      </c>
      <c r="R284" t="str">
        <f>$A$132 &amp; " * " &amp; A280</f>
        <v>EUL_Yrs * ss_EUL_thm_rr</v>
      </c>
      <c r="AG284" t="b">
        <f t="shared" ref="AG284:AG295" si="42">IF(NOT(ISBLANK(A284)), LEN(_xlfn.CONCAT(C284:AF284))&gt;0, "")</f>
        <v>1</v>
      </c>
      <c r="AH284" t="b">
        <f t="shared" ref="AH284:AH295" si="43">AND(ISNUMBER(SEARCH("kw",_xlfn.CONCAT(Q284:AF284))), ISNUMBER(SEARCH("thm",_xlfn.CONCAT(Q284:AF284))))</f>
        <v>0</v>
      </c>
    </row>
    <row r="285" spans="1:39">
      <c r="A285" t="s">
        <v>2208</v>
      </c>
      <c r="O285" t="s">
        <v>658</v>
      </c>
      <c r="R285" t="str">
        <f>A283 &amp; " * " &amp; A96</f>
        <v>adj_EvalEUL_Yrs_kwh * ExAnte_Annualized_NoRR_kWh</v>
      </c>
      <c r="AG285" t="b">
        <f t="shared" si="42"/>
        <v>1</v>
      </c>
      <c r="AH285" t="b">
        <f t="shared" si="43"/>
        <v>0</v>
      </c>
    </row>
    <row r="286" spans="1:39">
      <c r="A286" t="s">
        <v>2209</v>
      </c>
      <c r="O286" t="s">
        <v>658</v>
      </c>
      <c r="R286" t="str">
        <f>A284 &amp; " * " &amp; A97</f>
        <v>adj_EvalEUL_Yrs_thm * ExAnte_Annualized_NoRR_thm</v>
      </c>
      <c r="AG286" t="b">
        <f t="shared" si="42"/>
        <v>1</v>
      </c>
      <c r="AH286" t="b">
        <f t="shared" si="43"/>
        <v>0</v>
      </c>
    </row>
    <row r="287" spans="1:39">
      <c r="A287" t="s">
        <v>688</v>
      </c>
      <c r="O287" t="s">
        <v>658</v>
      </c>
      <c r="S287" t="str">
        <f t="shared" ref="S287:S288" si="44">$A$187</f>
        <v>SampleID</v>
      </c>
      <c r="U287" t="str">
        <f>A285 &amp; ", " &amp; A96</f>
        <v>svg_wtd_adj_Eval_EUL_kwh, ExAnte_Annualized_NoRR_kWh</v>
      </c>
      <c r="V287" t="s">
        <v>625</v>
      </c>
      <c r="W287" t="s">
        <v>627</v>
      </c>
      <c r="AG287" t="b">
        <f t="shared" si="42"/>
        <v>1</v>
      </c>
      <c r="AH287" t="b">
        <f t="shared" si="43"/>
        <v>0</v>
      </c>
    </row>
    <row r="288" spans="1:39">
      <c r="A288" t="s">
        <v>689</v>
      </c>
      <c r="O288" t="s">
        <v>658</v>
      </c>
      <c r="S288" t="str">
        <f t="shared" si="44"/>
        <v>SampleID</v>
      </c>
      <c r="U288" t="str">
        <f>A286 &amp; ", " &amp; A97</f>
        <v>svg_wtd_adj_Eval_EUL_thm, ExAnte_Annualized_NoRR_thm</v>
      </c>
      <c r="V288" t="s">
        <v>625</v>
      </c>
      <c r="W288" t="s">
        <v>627</v>
      </c>
      <c r="AG288" t="b">
        <f t="shared" si="42"/>
        <v>1</v>
      </c>
      <c r="AH288" t="b">
        <f t="shared" si="43"/>
        <v>0</v>
      </c>
    </row>
    <row r="289" spans="1:34">
      <c r="A289" t="s">
        <v>2210</v>
      </c>
      <c r="O289" t="s">
        <v>658</v>
      </c>
      <c r="AG289" t="b">
        <f t="shared" si="42"/>
        <v>1</v>
      </c>
      <c r="AH289" t="b">
        <f t="shared" si="43"/>
        <v>0</v>
      </c>
    </row>
    <row r="290" spans="1:34">
      <c r="A290" t="s">
        <v>2211</v>
      </c>
      <c r="O290" t="s">
        <v>658</v>
      </c>
      <c r="AG290" t="b">
        <f t="shared" si="42"/>
        <v>1</v>
      </c>
      <c r="AH290" t="b">
        <f t="shared" si="43"/>
        <v>0</v>
      </c>
    </row>
    <row r="291" spans="1:34">
      <c r="A291" t="s">
        <v>2212</v>
      </c>
      <c r="O291" t="s">
        <v>658</v>
      </c>
      <c r="S291" t="str">
        <f t="shared" ref="S291:S292" si="45">$A$187</f>
        <v>SampleID</v>
      </c>
      <c r="U291" t="str">
        <f>A289 &amp; ", " &amp; A96</f>
        <v>svg_wtd_adj_ExAnte_EUL_kwh, ExAnte_Annualized_NoRR_kWh</v>
      </c>
      <c r="V291" t="s">
        <v>625</v>
      </c>
      <c r="W291" t="s">
        <v>627</v>
      </c>
      <c r="AG291" t="b">
        <f t="shared" si="42"/>
        <v>1</v>
      </c>
      <c r="AH291" t="b">
        <f t="shared" si="43"/>
        <v>0</v>
      </c>
    </row>
    <row r="292" spans="1:34">
      <c r="A292" t="s">
        <v>2213</v>
      </c>
      <c r="O292" t="s">
        <v>658</v>
      </c>
      <c r="S292" t="str">
        <f t="shared" si="45"/>
        <v>SampleID</v>
      </c>
      <c r="U292" t="str">
        <f>A290 &amp; ", " &amp; A97</f>
        <v>svg_wtd_adj_ExAnte_EUL_thm, ExAnte_Annualized_NoRR_thm</v>
      </c>
      <c r="V292" t="s">
        <v>625</v>
      </c>
      <c r="W292" t="s">
        <v>627</v>
      </c>
      <c r="AG292" t="b">
        <f t="shared" si="42"/>
        <v>1</v>
      </c>
      <c r="AH292" t="b">
        <f t="shared" si="43"/>
        <v>0</v>
      </c>
    </row>
    <row r="293" spans="1:34">
      <c r="A293" t="str">
        <f>A296&amp; "_raw"</f>
        <v>ss_ExPostLifecycleGrosskW_raw</v>
      </c>
      <c r="AB293" t="str">
        <f>"( " &amp; A107 &amp; " * " &amp; $A$135 &amp; " ) + ( ( " &amp; $A$134 &amp; " - " &amp; $A$135 &amp; " ) * " &amp; A110 &amp;" )"</f>
        <v>( Eval_adj_ExAnteBase1kWSvgs * Eval_adj_RUL ) + ( ( Eval_adj_EUL - Eval_adj_RUL ) * Eval_adj_ExAnteBase2kWSvgs )</v>
      </c>
      <c r="AC293" t="str">
        <f>A107 &amp; " * " &amp; $A$134</f>
        <v>Eval_adj_ExAnteBase1kWSvgs * Eval_adj_EUL</v>
      </c>
      <c r="AD293" t="str">
        <f>"( " &amp; $A$219 &amp; " )"</f>
        <v>( combined_isAR )</v>
      </c>
      <c r="AG293" t="b">
        <f t="shared" si="42"/>
        <v>1</v>
      </c>
      <c r="AH293" t="b">
        <f t="shared" si="43"/>
        <v>0</v>
      </c>
    </row>
    <row r="294" spans="1:34">
      <c r="A294" t="str">
        <f>A297&amp; "_raw"</f>
        <v>ss_ExPostLifecycleGrosskWh_raw</v>
      </c>
      <c r="AB294" t="str">
        <f>"( " &amp; A108 &amp; " * " &amp; $A$135 &amp; " ) + ( ( " &amp; $A$134 &amp; " - " &amp; $A$135 &amp; " ) * " &amp; A111 &amp;" )"</f>
        <v>( Eval_adj_ExAnteBase1kWhSvgs * Eval_adj_RUL ) + ( ( Eval_adj_EUL - Eval_adj_RUL ) * Eval_adj_ExAnteBase2kWhSvgs )</v>
      </c>
      <c r="AC294" t="str">
        <f>A108 &amp; " * " &amp; $A$134</f>
        <v>Eval_adj_ExAnteBase1kWhSvgs * Eval_adj_EUL</v>
      </c>
      <c r="AD294" t="str">
        <f>"( " &amp; $A$219 &amp; " )"</f>
        <v>( combined_isAR )</v>
      </c>
      <c r="AG294" t="b">
        <f t="shared" si="42"/>
        <v>1</v>
      </c>
      <c r="AH294" t="b">
        <f t="shared" si="43"/>
        <v>0</v>
      </c>
    </row>
    <row r="295" spans="1:34">
      <c r="A295" t="str">
        <f>A298&amp; "_raw"</f>
        <v>ss_ExPostLifecycleGrossthm_raw</v>
      </c>
      <c r="AB295" t="str">
        <f>"( " &amp; A109 &amp; " * " &amp; $A$135 &amp; " ) + ( ( " &amp; $A$134 &amp; " - " &amp; $A$135 &amp; " ) * " &amp; A112 &amp;" )"</f>
        <v>( Eval_adj_ExAnteBase1ThermSvgs * Eval_adj_RUL ) + ( ( Eval_adj_EUL - Eval_adj_RUL ) * Eval_adj_ExAnteBase2ThermSvgs )</v>
      </c>
      <c r="AC295" t="str">
        <f>A109 &amp; " * " &amp; $A$134</f>
        <v>Eval_adj_ExAnteBase1ThermSvgs * Eval_adj_EUL</v>
      </c>
      <c r="AD295" t="str">
        <f>"( " &amp; $A$219 &amp; " )"</f>
        <v>( combined_isAR )</v>
      </c>
      <c r="AG295" t="b">
        <f t="shared" si="42"/>
        <v>1</v>
      </c>
      <c r="AH295" t="b">
        <f t="shared" si="43"/>
        <v>0</v>
      </c>
    </row>
    <row r="296" spans="1:34">
      <c r="A296" t="s">
        <v>635</v>
      </c>
      <c r="AA296" t="str">
        <f>"( " &amp; $A$239 &amp; " ), ( " &amp; A293 &amp; " ), 0"</f>
        <v>( ss_net_complete_kwh ), ( ss_ExPostLifecycleGrosskW_raw ), 0</v>
      </c>
      <c r="AG296" t="b">
        <f t="shared" si="39"/>
        <v>1</v>
      </c>
      <c r="AH296" t="b">
        <f t="shared" si="40"/>
        <v>0</v>
      </c>
    </row>
    <row r="297" spans="1:34">
      <c r="A297" t="s">
        <v>636</v>
      </c>
      <c r="AA297" t="str">
        <f>"( " &amp; $A$239 &amp; " ), ( " &amp; A294 &amp; " ), 0"</f>
        <v>( ss_net_complete_kwh ), ( ss_ExPostLifecycleGrosskWh_raw ), 0</v>
      </c>
      <c r="AG297" t="b">
        <f t="shared" si="39"/>
        <v>1</v>
      </c>
      <c r="AH297" t="b">
        <f t="shared" si="40"/>
        <v>0</v>
      </c>
    </row>
    <row r="298" spans="1:34">
      <c r="A298" t="s">
        <v>637</v>
      </c>
      <c r="AA298" t="str">
        <f>"( " &amp; $A$240&amp; " ), ( " &amp; A295 &amp; " ), 0"</f>
        <v>( ss_net_complete_thm ), ( ss_ExPostLifecycleGrossthm_raw ), 0</v>
      </c>
      <c r="AG298" t="b">
        <f t="shared" si="39"/>
        <v>1</v>
      </c>
      <c r="AH298" t="b">
        <f t="shared" si="40"/>
        <v>0</v>
      </c>
    </row>
    <row r="299" spans="1:34">
      <c r="A299" t="str">
        <f t="shared" ref="A299:A304" si="46">F299</f>
        <v>pai_2</v>
      </c>
      <c r="F299" t="s">
        <v>2086</v>
      </c>
      <c r="O299" t="s">
        <v>658</v>
      </c>
      <c r="AD299" s="3"/>
      <c r="AG299" t="b">
        <f t="shared" si="39"/>
        <v>1</v>
      </c>
      <c r="AH299" t="b">
        <f t="shared" si="40"/>
        <v>0</v>
      </c>
    </row>
    <row r="300" spans="1:34">
      <c r="A300" t="str">
        <f t="shared" si="46"/>
        <v>pai_3</v>
      </c>
      <c r="F300" t="s">
        <v>2087</v>
      </c>
      <c r="O300" t="s">
        <v>658</v>
      </c>
      <c r="AD300" s="3"/>
      <c r="AG300" t="b">
        <f t="shared" si="39"/>
        <v>1</v>
      </c>
      <c r="AH300" t="b">
        <f t="shared" si="40"/>
        <v>0</v>
      </c>
    </row>
    <row r="301" spans="1:34">
      <c r="A301" t="str">
        <f t="shared" si="46"/>
        <v>pai_1</v>
      </c>
      <c r="F301" t="s">
        <v>2088</v>
      </c>
      <c r="O301" t="s">
        <v>658</v>
      </c>
      <c r="AD301" s="3"/>
      <c r="AG301" t="b">
        <f t="shared" si="39"/>
        <v>1</v>
      </c>
      <c r="AH301" t="b">
        <f t="shared" si="40"/>
        <v>0</v>
      </c>
    </row>
    <row r="302" spans="1:34">
      <c r="A302" t="str">
        <f t="shared" si="46"/>
        <v>pai_5</v>
      </c>
      <c r="F302" t="s">
        <v>2089</v>
      </c>
      <c r="O302" t="s">
        <v>658</v>
      </c>
      <c r="AD302" s="3"/>
      <c r="AG302" t="b">
        <f t="shared" si="39"/>
        <v>1</v>
      </c>
      <c r="AH302" t="b">
        <f t="shared" si="40"/>
        <v>0</v>
      </c>
    </row>
    <row r="303" spans="1:34">
      <c r="A303" t="str">
        <f t="shared" si="46"/>
        <v>pai_4</v>
      </c>
      <c r="F303" t="s">
        <v>2090</v>
      </c>
      <c r="O303" t="s">
        <v>658</v>
      </c>
      <c r="AD303" s="3"/>
      <c r="AG303" t="b">
        <f t="shared" si="39"/>
        <v>1</v>
      </c>
      <c r="AH303" t="b">
        <f t="shared" si="40"/>
        <v>0</v>
      </c>
    </row>
    <row r="304" spans="1:34">
      <c r="A304" t="str">
        <f t="shared" si="46"/>
        <v>ClaimUnweighted_NTGR</v>
      </c>
      <c r="F304" t="s">
        <v>1538</v>
      </c>
      <c r="AD304" s="3"/>
      <c r="AG304" t="b">
        <f t="shared" si="39"/>
        <v>1</v>
      </c>
      <c r="AH304" t="b">
        <f t="shared" si="40"/>
        <v>0</v>
      </c>
    </row>
    <row r="305" spans="1:39">
      <c r="A305" t="str">
        <f>$A$304 &amp; "_kw"</f>
        <v>ClaimUnweighted_NTGR_kw</v>
      </c>
      <c r="AB305" t="str">
        <f>"( " &amp; $A$304 &amp; " )"</f>
        <v>( ClaimUnweighted_NTGR )</v>
      </c>
      <c r="AC305" t="s">
        <v>2181</v>
      </c>
      <c r="AD305" s="3" t="str">
        <f>"( " &amp; $A$3 &amp; " ==True ) &amp; ( " &amp; $A$304 &amp; " .notna() )  &amp; ( " &amp; $A$178 &amp; " !=8 )"</f>
        <v>( Frame_Electric ==True ) &amp; ( ClaimUnweighted_NTGR .notna() )  &amp; ( stratum_kWh !=8 )</v>
      </c>
      <c r="AG305" t="b">
        <f t="shared" si="39"/>
        <v>1</v>
      </c>
      <c r="AH305" t="b">
        <f t="shared" si="40"/>
        <v>0</v>
      </c>
      <c r="AM305" t="str">
        <f>"np.logical_and( " &amp;$A$178 &amp; " !=8,  " &amp; $A$304 &amp; " .notna()) , ( " &amp; $A$304 &amp; " ), None"</f>
        <v>np.logical_and( stratum_kWh !=8,  ClaimUnweighted_NTGR .notna()) , ( ClaimUnweighted_NTGR ), None</v>
      </c>
    </row>
    <row r="306" spans="1:39">
      <c r="A306" t="str">
        <f>$A$304 &amp; "_kwh"</f>
        <v>ClaimUnweighted_NTGR_kwh</v>
      </c>
      <c r="AB306" t="str">
        <f>"( " &amp; $A$304 &amp; " )"</f>
        <v>( ClaimUnweighted_NTGR )</v>
      </c>
      <c r="AC306" t="s">
        <v>2181</v>
      </c>
      <c r="AD306" s="3" t="str">
        <f>"( " &amp; $A$3 &amp; " ==True ) &amp; ( " &amp; $A$304 &amp; " .notna() ) &amp; ( " &amp; $A$178 &amp; " !=8 )"</f>
        <v>( Frame_Electric ==True ) &amp; ( ClaimUnweighted_NTGR .notna() ) &amp; ( stratum_kWh !=8 )</v>
      </c>
      <c r="AG306" t="b">
        <f t="shared" si="39"/>
        <v>1</v>
      </c>
      <c r="AH306" t="b">
        <f t="shared" si="40"/>
        <v>0</v>
      </c>
      <c r="AM306" t="str">
        <f>"np.logical_and( " &amp;$A$178 &amp; " !=8,  " &amp; $A$304 &amp; " .notna()) , ( " &amp; $A$304 &amp; " ), None"</f>
        <v>np.logical_and( stratum_kWh !=8,  ClaimUnweighted_NTGR .notna()) , ( ClaimUnweighted_NTGR ), None</v>
      </c>
    </row>
    <row r="307" spans="1:39">
      <c r="A307" t="str">
        <f>$A$304 &amp; "_thm"</f>
        <v>ClaimUnweighted_NTGR_thm</v>
      </c>
      <c r="AB307" t="str">
        <f>"( " &amp; $A$304 &amp; " )"</f>
        <v>( ClaimUnweighted_NTGR )</v>
      </c>
      <c r="AC307" t="s">
        <v>2181</v>
      </c>
      <c r="AD307" s="3" t="str">
        <f>"( " &amp; $A$4 &amp; " ==True ) &amp; ( " &amp; $A$304 &amp; " .notna() ) &amp; ( " &amp; $A$179 &amp; " !=8 )"</f>
        <v>( Frame_Gas ==True ) &amp; ( ClaimUnweighted_NTGR .notna() ) &amp; ( stratum_thm !=8 )</v>
      </c>
      <c r="AG307" t="b">
        <f t="shared" si="39"/>
        <v>1</v>
      </c>
      <c r="AH307" t="b">
        <f t="shared" si="40"/>
        <v>0</v>
      </c>
      <c r="AM307" t="str">
        <f>"np.logical_and( " &amp;$A$178 &amp; " !=8,  " &amp; $A$304 &amp; " .notna()) , ( " &amp; $A$304 &amp; " ), None"</f>
        <v>np.logical_and( stratum_kWh !=8,  ClaimUnweighted_NTGR .notna()) , ( ClaimUnweighted_NTGR ), None</v>
      </c>
    </row>
    <row r="308" spans="1:39">
      <c r="A308" t="str">
        <f t="shared" ref="A308" si="47">F308</f>
        <v>ClaimUnweightedAdj_NTGR</v>
      </c>
      <c r="F308" t="s">
        <v>1540</v>
      </c>
      <c r="AD308" s="3"/>
      <c r="AG308" t="b">
        <f t="shared" ref="AG308" si="48">IF(NOT(ISBLANK(A308)), LEN(_xlfn.CONCAT(C308:AF308))&gt;0, "")</f>
        <v>1</v>
      </c>
      <c r="AH308" t="b">
        <f t="shared" ref="AH308" si="49">AND(ISNUMBER(SEARCH("kw",_xlfn.CONCAT(Q308:AF308))), ISNUMBER(SEARCH("thm",_xlfn.CONCAT(Q308:AF308))))</f>
        <v>0</v>
      </c>
    </row>
    <row r="309" spans="1:39">
      <c r="A309" t="str">
        <f>F309 &amp; "_raw"</f>
        <v>PercentAdj_raw</v>
      </c>
      <c r="F309" t="s">
        <v>1539</v>
      </c>
      <c r="O309" t="s">
        <v>658</v>
      </c>
      <c r="AD309" s="3"/>
      <c r="AG309" t="b">
        <f t="shared" si="39"/>
        <v>1</v>
      </c>
      <c r="AH309" t="b">
        <f t="shared" si="40"/>
        <v>0</v>
      </c>
    </row>
    <row r="310" spans="1:39">
      <c r="A310" t="str">
        <f>F309</f>
        <v>PercentAdj</v>
      </c>
      <c r="O310" t="s">
        <v>658</v>
      </c>
      <c r="AA310" t="str">
        <f>"np.logical_and( " &amp; $A$187 &amp; " .notna(),  " &amp; $A$309 &amp; " .isna()) , 0, ( " &amp; $A$309 &amp; " )"</f>
        <v>np.logical_and( SampleID .notna(),  PercentAdj_raw .isna()) , 0, ( PercentAdj_raw )</v>
      </c>
      <c r="AD310" s="3"/>
      <c r="AG310" t="b">
        <f t="shared" si="39"/>
        <v>1</v>
      </c>
      <c r="AH310" t="b">
        <f t="shared" si="40"/>
        <v>0</v>
      </c>
    </row>
    <row r="311" spans="1:39">
      <c r="A311" t="s">
        <v>632</v>
      </c>
      <c r="AA311" t="str">
        <f>"( " &amp; $A$308 &amp; " .notnull() )  &amp; ( " &amp; $A$178 &amp; " !=8 ), ( " &amp; $A$308 &amp; " ), ( " &amp; A305 &amp; " )"</f>
        <v>( ClaimUnweightedAdj_NTGR .notnull() )  &amp; ( stratum_kWh !=8 ), ( ClaimUnweightedAdj_NTGR ), ( ClaimUnweighted_NTGR_kw )</v>
      </c>
      <c r="AD311" s="3"/>
      <c r="AG311" t="b">
        <f t="shared" si="39"/>
        <v>1</v>
      </c>
      <c r="AH311" t="b">
        <f t="shared" si="40"/>
        <v>0</v>
      </c>
      <c r="AM311" s="2" t="str">
        <f>A305 &amp; " * ( 1 + " &amp;$A$310 &amp; " )"</f>
        <v>ClaimUnweighted_NTGR_kw * ( 1 + PercentAdj )</v>
      </c>
    </row>
    <row r="312" spans="1:39">
      <c r="A312" t="s">
        <v>633</v>
      </c>
      <c r="AA312" t="str">
        <f>"( " &amp; $A$308 &amp; " .notnull() )  &amp; ( " &amp; $A$178 &amp; " !=8 ), ( " &amp; $A$308 &amp; " ), ( " &amp; A306 &amp; " )"</f>
        <v>( ClaimUnweightedAdj_NTGR .notnull() )  &amp; ( stratum_kWh !=8 ), ( ClaimUnweightedAdj_NTGR ), ( ClaimUnweighted_NTGR_kwh )</v>
      </c>
      <c r="AD312" s="3"/>
      <c r="AG312" t="b">
        <f t="shared" si="39"/>
        <v>1</v>
      </c>
      <c r="AH312" t="b">
        <f t="shared" si="40"/>
        <v>0</v>
      </c>
      <c r="AM312" s="2" t="str">
        <f>A306 &amp; " * ( 1 + " &amp;$A$310 &amp; " )"</f>
        <v>ClaimUnweighted_NTGR_kwh * ( 1 + PercentAdj )</v>
      </c>
    </row>
    <row r="313" spans="1:39">
      <c r="A313" t="s">
        <v>634</v>
      </c>
      <c r="AA313" t="str">
        <f>"( " &amp; $A$308 &amp; " .notnull() )  &amp; ( " &amp; $A$179 &amp; " !=8 ), ( " &amp; $A$308 &amp; " ), ( " &amp; A307 &amp; " )"</f>
        <v>( ClaimUnweightedAdj_NTGR .notnull() )  &amp; ( stratum_thm !=8 ), ( ClaimUnweightedAdj_NTGR ), ( ClaimUnweighted_NTGR_thm )</v>
      </c>
      <c r="AD313" s="3"/>
      <c r="AG313" t="b">
        <f t="shared" si="39"/>
        <v>1</v>
      </c>
      <c r="AH313" t="b">
        <f t="shared" si="40"/>
        <v>0</v>
      </c>
      <c r="AM313" s="2" t="str">
        <f>A307 &amp; " * ( 1 + " &amp;$A$310 &amp; " )"</f>
        <v>ClaimUnweighted_NTGR_thm * ( 1 + PercentAdj )</v>
      </c>
    </row>
    <row r="314" spans="1:39">
      <c r="A314" t="s">
        <v>2749</v>
      </c>
      <c r="AA314" t="str">
        <f>"( " &amp; $A$219 &amp; " )  &amp;  ( " &amp; A311 &amp; " ) , 1, ( " &amp; A311 &amp; " )"</f>
        <v>( combined_isAR )  &amp;  ( adj_unwtd_kw_ntgr ) , 1, ( adj_unwtd_kw_ntgr )</v>
      </c>
      <c r="AD314" s="3"/>
      <c r="AG314" t="b">
        <f t="shared" ref="AG314:AG316" si="50">IF(NOT(ISBLANK(A314)), LEN(_xlfn.CONCAT(C314:AF314))&gt;0, "")</f>
        <v>1</v>
      </c>
      <c r="AH314" t="b">
        <f t="shared" ref="AH314:AH316" si="51">AND(ISNUMBER(SEARCH("kw",_xlfn.CONCAT(Q314:AF314))), ISNUMBER(SEARCH("thm",_xlfn.CONCAT(Q314:AF314))))</f>
        <v>0</v>
      </c>
      <c r="AM314" s="2"/>
    </row>
    <row r="315" spans="1:39">
      <c r="A315" t="s">
        <v>2750</v>
      </c>
      <c r="AA315" t="str">
        <f>"( " &amp; $A$219 &amp; " )  &amp;  ( " &amp; A312 &amp; " ) , 1, ( " &amp; A312 &amp; " )"</f>
        <v>( combined_isAR )  &amp;  ( adj_unwtd_kwh_ntgr ) , 1, ( adj_unwtd_kwh_ntgr )</v>
      </c>
      <c r="AD315" s="3"/>
      <c r="AG315" t="b">
        <f t="shared" si="50"/>
        <v>1</v>
      </c>
      <c r="AH315" t="b">
        <f t="shared" si="51"/>
        <v>0</v>
      </c>
      <c r="AM315" s="2"/>
    </row>
    <row r="316" spans="1:39">
      <c r="A316" t="s">
        <v>2751</v>
      </c>
      <c r="AA316" t="str">
        <f>"( " &amp; $A$219 &amp; " )  &amp;  ( " &amp; A313 &amp; " ) , 1, ( " &amp; A313 &amp; " )"</f>
        <v>( combined_isAR )  &amp;  ( adj_unwtd_thm_ntgr ) , 1, ( adj_unwtd_thm_ntgr )</v>
      </c>
      <c r="AD316" s="3"/>
      <c r="AG316" t="b">
        <f t="shared" si="50"/>
        <v>1</v>
      </c>
      <c r="AH316" t="b">
        <f t="shared" si="51"/>
        <v>0</v>
      </c>
      <c r="AM316" s="2"/>
    </row>
    <row r="317" spans="1:39">
      <c r="A317" t="s">
        <v>653</v>
      </c>
      <c r="O317" t="s">
        <v>658</v>
      </c>
      <c r="R317" t="str">
        <f>AD295</f>
        <v>( combined_isAR )</v>
      </c>
      <c r="AD317" s="3"/>
      <c r="AG317" t="b">
        <f t="shared" si="39"/>
        <v>1</v>
      </c>
      <c r="AH317" t="b">
        <f t="shared" si="40"/>
        <v>0</v>
      </c>
    </row>
    <row r="318" spans="1:39">
      <c r="A318" t="s">
        <v>654</v>
      </c>
      <c r="O318" t="s">
        <v>658</v>
      </c>
      <c r="R318" t="str">
        <f>AB329</f>
        <v>( Eval_adj_ExAnteBase1kWhSvgs * Eval_adj_RUL ) + ( ( Eval_adj_EUL - Eval_adj_RUL ) * Eval_adj_ExAnteBase2kWhSvgs  * adj_unwtd_kwh_ntgr )</v>
      </c>
      <c r="AD318" s="3"/>
      <c r="AG318" t="b">
        <f t="shared" si="39"/>
        <v>1</v>
      </c>
      <c r="AH318" t="b">
        <f t="shared" si="40"/>
        <v>0</v>
      </c>
    </row>
    <row r="319" spans="1:39">
      <c r="A319" t="s">
        <v>655</v>
      </c>
      <c r="O319" t="s">
        <v>658</v>
      </c>
      <c r="R319" t="str">
        <f>AC329</f>
        <v>Eval_adj_ExAnteBase1kWhSvgs * Eval_adj_EUL * adj_unwtd_kwh_ntgr</v>
      </c>
      <c r="AD319" s="3"/>
      <c r="AG319" t="b">
        <f t="shared" si="39"/>
        <v>1</v>
      </c>
      <c r="AH319" t="b">
        <f t="shared" si="40"/>
        <v>0</v>
      </c>
    </row>
    <row r="320" spans="1:39">
      <c r="A320" t="s">
        <v>2182</v>
      </c>
      <c r="B320" t="s">
        <v>2190</v>
      </c>
      <c r="O320" t="s">
        <v>658</v>
      </c>
      <c r="AA320" t="str">
        <f t="shared" ref="AA320:AA325" si="52">A208 &amp; " &gt; 0 , ( " &amp; A208 &amp; " ) , ( " &amp; A83 &amp; " )"</f>
        <v>EvalBase1kWSvgs_orig &gt; 0 , ( EvalBase1kWSvgs_orig ) , ( ExAnteBase1kWSvgs )</v>
      </c>
      <c r="AD320" s="3"/>
      <c r="AG320" t="b">
        <f t="shared" si="39"/>
        <v>1</v>
      </c>
      <c r="AH320" t="b">
        <f t="shared" si="40"/>
        <v>0</v>
      </c>
    </row>
    <row r="321" spans="1:34">
      <c r="A321" t="s">
        <v>2183</v>
      </c>
      <c r="B321" t="s">
        <v>2190</v>
      </c>
      <c r="O321" t="s">
        <v>658</v>
      </c>
      <c r="AA321" t="str">
        <f t="shared" si="52"/>
        <v>EvalBase1kWhSvgs_orig &gt; 0 , ( EvalBase1kWhSvgs_orig ) , ( ExAnteBase1kWhSvgs )</v>
      </c>
      <c r="AD321" s="3"/>
      <c r="AG321" t="b">
        <f t="shared" si="39"/>
        <v>1</v>
      </c>
      <c r="AH321" t="b">
        <f t="shared" si="40"/>
        <v>0</v>
      </c>
    </row>
    <row r="322" spans="1:34">
      <c r="A322" t="s">
        <v>2184</v>
      </c>
      <c r="B322" t="s">
        <v>2190</v>
      </c>
      <c r="O322" t="s">
        <v>658</v>
      </c>
      <c r="AA322" t="str">
        <f t="shared" si="52"/>
        <v>EvalBase1ThermSvgs_orig &gt; 0 , ( EvalBase1ThermSvgs_orig ) , ( ExAnteBase1ThermSvgs )</v>
      </c>
      <c r="AD322" s="3"/>
      <c r="AG322" t="b">
        <f t="shared" si="39"/>
        <v>1</v>
      </c>
      <c r="AH322" t="b">
        <f t="shared" si="40"/>
        <v>0</v>
      </c>
    </row>
    <row r="323" spans="1:34">
      <c r="A323" t="s">
        <v>2185</v>
      </c>
      <c r="B323" t="s">
        <v>2190</v>
      </c>
      <c r="O323" t="s">
        <v>658</v>
      </c>
      <c r="AA323" t="str">
        <f t="shared" si="52"/>
        <v>EvalBase2kWSvgs_orig &gt; 0 , ( EvalBase2kWSvgs_orig ) , ( ExAnteBase2kWSvgs )</v>
      </c>
      <c r="AD323" s="3"/>
      <c r="AG323" t="b">
        <f t="shared" si="39"/>
        <v>1</v>
      </c>
      <c r="AH323" t="b">
        <f t="shared" si="40"/>
        <v>0</v>
      </c>
    </row>
    <row r="324" spans="1:34">
      <c r="A324" t="s">
        <v>2186</v>
      </c>
      <c r="B324" t="s">
        <v>2190</v>
      </c>
      <c r="O324" t="s">
        <v>658</v>
      </c>
      <c r="AA324" t="str">
        <f t="shared" si="52"/>
        <v>EvalBase2kWhSvgs_orig &gt; 0 , ( EvalBase2kWhSvgs_orig ) , ( ExAnteBase2kWhSvgs )</v>
      </c>
      <c r="AD324" s="3"/>
      <c r="AG324" t="b">
        <f t="shared" si="39"/>
        <v>1</v>
      </c>
      <c r="AH324" t="b">
        <f t="shared" si="40"/>
        <v>0</v>
      </c>
    </row>
    <row r="325" spans="1:34">
      <c r="A325" t="s">
        <v>2187</v>
      </c>
      <c r="B325" t="s">
        <v>2190</v>
      </c>
      <c r="O325" t="s">
        <v>658</v>
      </c>
      <c r="AA325" t="str">
        <f t="shared" si="52"/>
        <v>EvalBase2ThermSvgs_orig &gt; 0 , ( EvalBase2ThermSvgs_orig ) , ( ExAnteBase2ThermSvgs )</v>
      </c>
      <c r="AD325" s="3"/>
      <c r="AG325" t="b">
        <f t="shared" si="39"/>
        <v>1</v>
      </c>
      <c r="AH325" t="b">
        <f t="shared" si="40"/>
        <v>0</v>
      </c>
    </row>
    <row r="326" spans="1:34">
      <c r="A326" t="s">
        <v>2188</v>
      </c>
      <c r="B326" t="s">
        <v>2190</v>
      </c>
      <c r="O326" t="s">
        <v>658</v>
      </c>
      <c r="AA326" t="str">
        <f>A214 &amp; " &gt; 0 , ( " &amp; A214 &amp; " ) , ( " &amp; A132&amp; " )"</f>
        <v>EvalEUL &gt; 0 , ( EvalEUL ) , ( EUL_Yrs )</v>
      </c>
      <c r="AD326" s="3"/>
      <c r="AG326" t="b">
        <f t="shared" si="39"/>
        <v>1</v>
      </c>
      <c r="AH326" t="b">
        <f t="shared" si="40"/>
        <v>0</v>
      </c>
    </row>
    <row r="327" spans="1:34">
      <c r="A327" t="s">
        <v>2189</v>
      </c>
      <c r="B327" t="s">
        <v>2190</v>
      </c>
      <c r="O327" t="s">
        <v>658</v>
      </c>
      <c r="AA327" t="str">
        <f>A215 &amp; " &gt; 0 , ( " &amp; A215 &amp; " ) , ( " &amp; A133&amp; " )"</f>
        <v>EvalRUL &gt; 0 , ( EvalRUL ) , ( RUL_Yrs )</v>
      </c>
      <c r="AD327" s="3"/>
      <c r="AG327" t="b">
        <f t="shared" si="39"/>
        <v>1</v>
      </c>
      <c r="AH327" t="b">
        <f t="shared" si="40"/>
        <v>0</v>
      </c>
    </row>
    <row r="328" spans="1:34">
      <c r="A328" t="str">
        <f>A331&amp;"_raw"</f>
        <v>ss_ExPostLifecycleNetkW_raw</v>
      </c>
      <c r="AA328" t="str">
        <f>"( " &amp; $A$219 &amp; " ), " &amp; AB328 &amp; ", " &amp; AC328</f>
        <v>( combined_isAR ), ( Eval_adj_ExAnteBase1kWSvgs * Eval_adj_RUL ) + ( ( Eval_adj_EUL - Eval_adj_RUL ) * Eval_adj_ExAnteBase2kWSvgs  * adj_unwtd_kw_ntgr ), Eval_adj_ExAnteBase1kWSvgs * Eval_adj_EUL * adj_unwtd_kw_ntgr</v>
      </c>
      <c r="AB328" s="9" t="str">
        <f>"( " &amp; A107 &amp; " * " &amp; $A$135 &amp; " ) + ( ( " &amp; $A$134 &amp; " - " &amp; $A$135 &amp; " ) * " &amp; A110 &amp; "  * " &amp; A311 &amp; " )"</f>
        <v>( Eval_adj_ExAnteBase1kWSvgs * Eval_adj_RUL ) + ( ( Eval_adj_EUL - Eval_adj_RUL ) * Eval_adj_ExAnteBase2kWSvgs  * adj_unwtd_kw_ntgr )</v>
      </c>
      <c r="AC328" s="9" t="str">
        <f>A107 &amp; " * " &amp; $A$134 &amp; " * " &amp; A311</f>
        <v>Eval_adj_ExAnteBase1kWSvgs * Eval_adj_EUL * adj_unwtd_kw_ntgr</v>
      </c>
      <c r="AD328" s="3" t="str">
        <f>AD293</f>
        <v>( combined_isAR )</v>
      </c>
      <c r="AG328" t="b">
        <f t="shared" si="39"/>
        <v>1</v>
      </c>
      <c r="AH328" t="b">
        <f t="shared" si="40"/>
        <v>0</v>
      </c>
    </row>
    <row r="329" spans="1:34">
      <c r="A329" t="str">
        <f>A332&amp;"_raw"</f>
        <v>ss_ExPostLifecycleNetkWh_raw</v>
      </c>
      <c r="AA329" t="str">
        <f>"( " &amp; $A$219 &amp; " ), " &amp; AB329 &amp; ", " &amp; AC329</f>
        <v>( combined_isAR ), ( Eval_adj_ExAnteBase1kWhSvgs * Eval_adj_RUL ) + ( ( Eval_adj_EUL - Eval_adj_RUL ) * Eval_adj_ExAnteBase2kWhSvgs  * adj_unwtd_kwh_ntgr ), Eval_adj_ExAnteBase1kWhSvgs * Eval_adj_EUL * adj_unwtd_kwh_ntgr</v>
      </c>
      <c r="AB329" s="9" t="str">
        <f>"( " &amp; A108 &amp; " * " &amp; $A$135 &amp; " ) + ( ( " &amp; $A$134 &amp; " - " &amp; $A$135 &amp; " ) * " &amp; A111 &amp; "  * " &amp; A312 &amp; " )"</f>
        <v>( Eval_adj_ExAnteBase1kWhSvgs * Eval_adj_RUL ) + ( ( Eval_adj_EUL - Eval_adj_RUL ) * Eval_adj_ExAnteBase2kWhSvgs  * adj_unwtd_kwh_ntgr )</v>
      </c>
      <c r="AC329" s="9" t="str">
        <f>A108 &amp; " * " &amp; $A$134 &amp; " * " &amp; A312</f>
        <v>Eval_adj_ExAnteBase1kWhSvgs * Eval_adj_EUL * adj_unwtd_kwh_ntgr</v>
      </c>
      <c r="AD329" s="3" t="str">
        <f>AD294</f>
        <v>( combined_isAR )</v>
      </c>
      <c r="AG329" t="b">
        <f t="shared" si="39"/>
        <v>1</v>
      </c>
      <c r="AH329" t="b">
        <f t="shared" si="40"/>
        <v>0</v>
      </c>
    </row>
    <row r="330" spans="1:34">
      <c r="A330" t="str">
        <f>A333&amp;"_raw"</f>
        <v>ss_ExPostLifecycleNetthm_raw</v>
      </c>
      <c r="AA330" t="str">
        <f>"( " &amp; $A$219 &amp; " ), " &amp; AB330 &amp; ", " &amp; AC330</f>
        <v>( combined_isAR ), ( Eval_adj_ExAnteBase1ThermSvgs * Eval_adj_RUL ) + ( ( Eval_adj_EUL - Eval_adj_RUL ) * Eval_adj_ExAnteBase2ThermSvgs  * adj_unwtd_thm_ntgr ), Eval_adj_ExAnteBase1ThermSvgs * Eval_adj_EUL * adj_unwtd_thm_ntgr</v>
      </c>
      <c r="AB330" s="9" t="str">
        <f>"( " &amp; A109 &amp; " * " &amp; $A$135 &amp; " ) + ( ( " &amp; $A$134 &amp; " - " &amp; $A$135 &amp; " ) * " &amp; A112 &amp; "  * " &amp; A313 &amp; " )"</f>
        <v>( Eval_adj_ExAnteBase1ThermSvgs * Eval_adj_RUL ) + ( ( Eval_adj_EUL - Eval_adj_RUL ) * Eval_adj_ExAnteBase2ThermSvgs  * adj_unwtd_thm_ntgr )</v>
      </c>
      <c r="AC330" s="9" t="str">
        <f>A109 &amp; " * " &amp; $A$134 &amp; " * " &amp; A313</f>
        <v>Eval_adj_ExAnteBase1ThermSvgs * Eval_adj_EUL * adj_unwtd_thm_ntgr</v>
      </c>
      <c r="AD330" s="3" t="str">
        <f>AD295</f>
        <v>( combined_isAR )</v>
      </c>
      <c r="AG330" t="b">
        <f t="shared" si="39"/>
        <v>1</v>
      </c>
      <c r="AH330" t="b">
        <f t="shared" si="40"/>
        <v>0</v>
      </c>
    </row>
    <row r="331" spans="1:34">
      <c r="A331" s="3" t="s">
        <v>641</v>
      </c>
      <c r="AA331" t="str">
        <f>"( " &amp; $A$239 &amp; "  ), ( " &amp; A328 &amp; " ), 0"</f>
        <v>( ss_net_complete_kwh  ), ( ss_ExPostLifecycleNetkW_raw ), 0</v>
      </c>
      <c r="AB331" s="9"/>
      <c r="AC331" s="9"/>
      <c r="AD331" s="3"/>
      <c r="AG331" t="b">
        <f t="shared" si="39"/>
        <v>1</v>
      </c>
      <c r="AH331" t="b">
        <f t="shared" si="40"/>
        <v>0</v>
      </c>
    </row>
    <row r="332" spans="1:34">
      <c r="A332" s="3" t="s">
        <v>642</v>
      </c>
      <c r="AA332" t="str">
        <f>"( " &amp; $A$239 &amp; "  ), ( " &amp; A329 &amp; " ), 0"</f>
        <v>( ss_net_complete_kwh  ), ( ss_ExPostLifecycleNetkWh_raw ), 0</v>
      </c>
      <c r="AB332" s="9"/>
      <c r="AC332" s="9"/>
      <c r="AD332" s="3"/>
      <c r="AG332" t="b">
        <f t="shared" si="39"/>
        <v>1</v>
      </c>
      <c r="AH332" t="b">
        <f t="shared" si="40"/>
        <v>0</v>
      </c>
    </row>
    <row r="333" spans="1:34">
      <c r="A333" s="3" t="s">
        <v>643</v>
      </c>
      <c r="AA333" t="str">
        <f>"( " &amp; $A$240 &amp; "  ), ( " &amp; A330 &amp; " ), 0"</f>
        <v>( ss_net_complete_thm  ), ( ss_ExPostLifecycleNetthm_raw ), 0</v>
      </c>
      <c r="AB333" s="9"/>
      <c r="AC333" s="9"/>
      <c r="AD333" s="3"/>
      <c r="AG333" t="b">
        <f t="shared" si="39"/>
        <v>1</v>
      </c>
      <c r="AH333" t="b">
        <f t="shared" si="40"/>
        <v>0</v>
      </c>
    </row>
    <row r="334" spans="1:34">
      <c r="A334" s="3" t="s">
        <v>1760</v>
      </c>
      <c r="B334" t="s">
        <v>1763</v>
      </c>
      <c r="AA334" t="str">
        <f>AD328&amp; ", " &amp; AB334 &amp; ", " &amp; AC334</f>
        <v>( combined_isAR ), ( ExAnteBase1kWSvgs * RUL_Yrs ) + ( ( EUL_Yrs - RUL_Yrs ) * ExAnteBase2kWSvgs  * adj_unwtd_kw_ntgr ), ExAnteBase1kWSvgs * EUL_Yrs * adj_unwtd_kw_ntgr</v>
      </c>
      <c r="AB334" s="9" t="str">
        <f>"( " &amp; A83 &amp; " * " &amp; $A$133 &amp; " ) + ( ( " &amp; $A$132 &amp; " - " &amp; $A$133 &amp; " ) * " &amp; A86 &amp; "  * " &amp; A311 &amp; " )"</f>
        <v>( ExAnteBase1kWSvgs * RUL_Yrs ) + ( ( EUL_Yrs - RUL_Yrs ) * ExAnteBase2kWSvgs  * adj_unwtd_kw_ntgr )</v>
      </c>
      <c r="AC334" s="9" t="str">
        <f>A83 &amp; " * " &amp; $A$132 &amp; " * " &amp; A311</f>
        <v>ExAnteBase1kWSvgs * EUL_Yrs * adj_unwtd_kw_ntgr</v>
      </c>
      <c r="AD334" s="3"/>
      <c r="AG334" t="b">
        <f t="shared" ref="AG334:AG417" si="53">IF(NOT(ISBLANK(A334)), LEN(_xlfn.CONCAT(C334:AF334))&gt;0, "")</f>
        <v>1</v>
      </c>
      <c r="AH334" t="b">
        <f t="shared" si="40"/>
        <v>0</v>
      </c>
    </row>
    <row r="335" spans="1:34">
      <c r="A335" s="3" t="s">
        <v>1762</v>
      </c>
      <c r="B335" t="s">
        <v>1763</v>
      </c>
      <c r="AA335" t="str">
        <f>AD329&amp; ", " &amp; AB335 &amp; ", " &amp; AC335</f>
        <v>( combined_isAR ), ( ExAnteBase1kWhSvgs * RUL_Yrs ) + ( ( EUL_Yrs - RUL_Yrs ) * ExAnteBase2kWhSvgs  * adj_unwtd_kwh_ntgr ), ExAnteBase1kWhSvgs * EUL_Yrs * adj_unwtd_kwh_ntgr</v>
      </c>
      <c r="AB335" s="9" t="str">
        <f>"( " &amp; A84 &amp; " * " &amp; $A$133 &amp; " ) + ( ( " &amp; $A$132 &amp; " - " &amp; $A$133 &amp; " ) * " &amp; A87 &amp; "  * " &amp; A312 &amp; " )"</f>
        <v>( ExAnteBase1kWhSvgs * RUL_Yrs ) + ( ( EUL_Yrs - RUL_Yrs ) * ExAnteBase2kWhSvgs  * adj_unwtd_kwh_ntgr )</v>
      </c>
      <c r="AC335" s="9" t="str">
        <f>A84 &amp; " * " &amp; $A$132 &amp; " * " &amp; A312</f>
        <v>ExAnteBase1kWhSvgs * EUL_Yrs * adj_unwtd_kwh_ntgr</v>
      </c>
      <c r="AD335" s="3"/>
      <c r="AG335" t="b">
        <f t="shared" si="53"/>
        <v>1</v>
      </c>
      <c r="AH335" t="b">
        <f t="shared" si="40"/>
        <v>0</v>
      </c>
    </row>
    <row r="336" spans="1:34">
      <c r="A336" s="3" t="s">
        <v>1761</v>
      </c>
      <c r="B336" t="s">
        <v>1763</v>
      </c>
      <c r="AA336" t="str">
        <f>AD330&amp; ", " &amp; AB336 &amp; ", " &amp; AC336</f>
        <v>( combined_isAR ), ( ExAnteBase1ThermSvgs * RUL_Yrs ) + ( ( EUL_Yrs - RUL_Yrs ) * ExAnteBase2ThermSvgs  * adj_unwtd_thm_ntgr ), ExAnteBase1ThermSvgs * EUL_Yrs * adj_unwtd_thm_ntgr</v>
      </c>
      <c r="AB336" s="9" t="str">
        <f>"( " &amp; A85 &amp; " * " &amp; $A$133 &amp; " ) + ( ( " &amp; $A$132 &amp; " - " &amp; $A$133 &amp; " ) * " &amp; A88 &amp; "  * " &amp; A313 &amp; " )"</f>
        <v>( ExAnteBase1ThermSvgs * RUL_Yrs ) + ( ( EUL_Yrs - RUL_Yrs ) * ExAnteBase2ThermSvgs  * adj_unwtd_thm_ntgr )</v>
      </c>
      <c r="AC336" s="9" t="str">
        <f>A85 &amp; " * " &amp; $A$132 &amp; " * " &amp; A313</f>
        <v>ExAnteBase1ThermSvgs * EUL_Yrs * adj_unwtd_thm_ntgr</v>
      </c>
      <c r="AD336" s="3"/>
      <c r="AG336" t="b">
        <f t="shared" si="53"/>
        <v>1</v>
      </c>
      <c r="AH336" t="b">
        <f t="shared" si="40"/>
        <v>0</v>
      </c>
    </row>
    <row r="337" spans="1:39">
      <c r="A337" s="3" t="s">
        <v>2191</v>
      </c>
      <c r="B337" t="s">
        <v>1763</v>
      </c>
      <c r="O337" t="s">
        <v>658</v>
      </c>
      <c r="AA337" t="str">
        <f t="shared" ref="AA337:AA342" si="54">"( " &amp; $A$219 &amp; " ), " &amp; AB337 &amp; ", " &amp; AC337</f>
        <v>( combined_isAR ), ( combined_base1_kw * combined_RUL ) + ( ( combined_EUL - combined_RUL ) * combined_base2_kw  * adj_unwtd_kw_ntgr ), combined_base1_kw * combined_EUL * adj_unwtd_kw_ntgr</v>
      </c>
      <c r="AB337" s="9" t="str">
        <f>"( " &amp; A320&amp; " * " &amp; $A$327&amp; " ) + ( ( " &amp; $A$326&amp; " - " &amp; $A$327&amp; " ) * " &amp; A323&amp; "  * " &amp; A311 &amp; " )"</f>
        <v>( combined_base1_kw * combined_RUL ) + ( ( combined_EUL - combined_RUL ) * combined_base2_kw  * adj_unwtd_kw_ntgr )</v>
      </c>
      <c r="AC337" s="9" t="str">
        <f>A320 &amp; " * " &amp; $A$326 &amp; " * " &amp; A311</f>
        <v>combined_base1_kw * combined_EUL * adj_unwtd_kw_ntgr</v>
      </c>
      <c r="AD337" s="3"/>
      <c r="AG337" t="b">
        <f t="shared" si="53"/>
        <v>1</v>
      </c>
      <c r="AH337" t="b">
        <f t="shared" si="40"/>
        <v>0</v>
      </c>
    </row>
    <row r="338" spans="1:39">
      <c r="A338" s="3" t="s">
        <v>2192</v>
      </c>
      <c r="B338" t="s">
        <v>1763</v>
      </c>
      <c r="O338" t="s">
        <v>658</v>
      </c>
      <c r="AA338" t="str">
        <f t="shared" si="54"/>
        <v>( combined_isAR ), ( combined_base1_kwh * combined_RUL ) + ( ( combined_EUL - combined_RUL ) * combined_base2_kwh  * adj_unwtd_kwh_ntgr ), combined_base1_kwh * combined_EUL * adj_unwtd_kwh_ntgr</v>
      </c>
      <c r="AB338" s="9" t="str">
        <f>"( " &amp; A321&amp; " * " &amp; $A$327&amp; " ) + ( ( " &amp; $A$326&amp; " - " &amp; $A$327&amp; " ) * " &amp; A324&amp; "  * " &amp; A312 &amp; " )"</f>
        <v>( combined_base1_kwh * combined_RUL ) + ( ( combined_EUL - combined_RUL ) * combined_base2_kwh  * adj_unwtd_kwh_ntgr )</v>
      </c>
      <c r="AC338" s="9" t="str">
        <f>A321 &amp; " * " &amp; $A$326 &amp; " * " &amp; A312</f>
        <v>combined_base1_kwh * combined_EUL * adj_unwtd_kwh_ntgr</v>
      </c>
      <c r="AD338" s="3"/>
      <c r="AG338" t="b">
        <f t="shared" si="53"/>
        <v>1</v>
      </c>
      <c r="AH338" t="b">
        <f t="shared" ref="AH338:AH418" si="55">AND(ISNUMBER(SEARCH("kw",_xlfn.CONCAT(Q338:AF338))), ISNUMBER(SEARCH("thm",_xlfn.CONCAT(Q338:AF338))))</f>
        <v>0</v>
      </c>
    </row>
    <row r="339" spans="1:39">
      <c r="A339" s="3" t="s">
        <v>2193</v>
      </c>
      <c r="B339" t="s">
        <v>1763</v>
      </c>
      <c r="O339" t="s">
        <v>658</v>
      </c>
      <c r="AA339" t="str">
        <f t="shared" si="54"/>
        <v>( combined_isAR ), ( combined_base1_thm * combined_RUL ) + ( ( combined_EUL - combined_RUL ) * combined_base2_thm  * adj_unwtd_thm_ntgr ), combined_base1_thm * combined_EUL * adj_unwtd_thm_ntgr</v>
      </c>
      <c r="AB339" s="9" t="str">
        <f>"( " &amp; A322&amp; " * " &amp; $A$327&amp; " ) + ( ( " &amp; $A$326&amp; " - " &amp; $A$327&amp; " ) * " &amp; A325&amp; "  * " &amp; A313 &amp; " )"</f>
        <v>( combined_base1_thm * combined_RUL ) + ( ( combined_EUL - combined_RUL ) * combined_base2_thm  * adj_unwtd_thm_ntgr )</v>
      </c>
      <c r="AC339" s="9" t="str">
        <f>A322 &amp; " * " &amp; $A$326 &amp; " * " &amp; A313</f>
        <v>combined_base1_thm * combined_EUL * adj_unwtd_thm_ntgr</v>
      </c>
      <c r="AD339" s="3"/>
      <c r="AG339" t="b">
        <f t="shared" si="53"/>
        <v>1</v>
      </c>
      <c r="AH339" t="b">
        <f t="shared" si="55"/>
        <v>0</v>
      </c>
    </row>
    <row r="340" spans="1:39">
      <c r="A340" s="3" t="s">
        <v>2199</v>
      </c>
      <c r="B340" t="s">
        <v>1763</v>
      </c>
      <c r="O340" t="s">
        <v>658</v>
      </c>
      <c r="AA340" t="str">
        <f t="shared" si="54"/>
        <v>( combined_isAR ), ( combined_base1_kw * combined_RUL ) + ( ( combined_EUL - combined_RUL ) * combined_base2_kw  ), combined_base1_kw * combined_EUL</v>
      </c>
      <c r="AB340" s="9" t="str">
        <f>"( " &amp; A320&amp; " * " &amp; $A$327&amp; " ) + ( ( " &amp; $A$326&amp; " - " &amp; $A$327&amp; " ) * " &amp; A323&amp; "  )"</f>
        <v>( combined_base1_kw * combined_RUL ) + ( ( combined_EUL - combined_RUL ) * combined_base2_kw  )</v>
      </c>
      <c r="AC340" s="9" t="str">
        <f>A320 &amp; " * " &amp; $A$326</f>
        <v>combined_base1_kw * combined_EUL</v>
      </c>
      <c r="AD340" s="3"/>
      <c r="AG340" t="b">
        <f t="shared" si="53"/>
        <v>1</v>
      </c>
      <c r="AH340" t="b">
        <f t="shared" si="55"/>
        <v>0</v>
      </c>
    </row>
    <row r="341" spans="1:39">
      <c r="A341" s="3" t="s">
        <v>2200</v>
      </c>
      <c r="B341" t="s">
        <v>1763</v>
      </c>
      <c r="O341" t="s">
        <v>658</v>
      </c>
      <c r="AA341" t="str">
        <f t="shared" si="54"/>
        <v>( combined_isAR ), ( combined_base1_kwh * combined_RUL ) + ( ( combined_EUL - combined_RUL ) * combined_base2_kwh  ), combined_base1_kwh * combined_EUL</v>
      </c>
      <c r="AB341" s="9" t="str">
        <f>"( " &amp; A321&amp; " * " &amp; $A$327&amp; " ) + ( ( " &amp; $A$326&amp; " - " &amp; $A$327&amp; " ) * " &amp; A324&amp; "  )"</f>
        <v>( combined_base1_kwh * combined_RUL ) + ( ( combined_EUL - combined_RUL ) * combined_base2_kwh  )</v>
      </c>
      <c r="AC341" s="9" t="str">
        <f>A321 &amp; " * " &amp; $A$326</f>
        <v>combined_base1_kwh * combined_EUL</v>
      </c>
      <c r="AD341" s="3"/>
      <c r="AG341" t="b">
        <f t="shared" si="53"/>
        <v>1</v>
      </c>
      <c r="AH341" t="b">
        <f t="shared" si="55"/>
        <v>0</v>
      </c>
    </row>
    <row r="342" spans="1:39">
      <c r="A342" s="3" t="s">
        <v>2201</v>
      </c>
      <c r="B342" t="s">
        <v>1763</v>
      </c>
      <c r="O342" t="s">
        <v>658</v>
      </c>
      <c r="AA342" t="str">
        <f t="shared" si="54"/>
        <v>( combined_isAR ), ( combined_base1_thm * combined_RUL ) + ( ( combined_EUL - combined_RUL ) * combined_base2_thm  ), combined_base1_thm * combined_EUL</v>
      </c>
      <c r="AB342" s="9" t="str">
        <f>"( " &amp; A322&amp; " * " &amp; $A$327&amp; " ) + ( ( " &amp; $A$326&amp; " - " &amp; $A$327&amp; " ) * " &amp; A325&amp; "  )"</f>
        <v>( combined_base1_thm * combined_RUL ) + ( ( combined_EUL - combined_RUL ) * combined_base2_thm  )</v>
      </c>
      <c r="AC342" s="9" t="str">
        <f>A322 &amp; " * " &amp; $A$326</f>
        <v>combined_base1_thm * combined_EUL</v>
      </c>
      <c r="AD342" s="3"/>
      <c r="AG342" t="b">
        <f t="shared" si="53"/>
        <v>1</v>
      </c>
      <c r="AH342" t="b">
        <f t="shared" si="55"/>
        <v>0</v>
      </c>
    </row>
    <row r="343" spans="1:39">
      <c r="A343" s="3" t="s">
        <v>638</v>
      </c>
      <c r="M343" t="s">
        <v>638</v>
      </c>
      <c r="AB343" s="9"/>
      <c r="AC343" s="9"/>
      <c r="AD343" s="3"/>
      <c r="AG343" t="b">
        <f t="shared" si="53"/>
        <v>1</v>
      </c>
      <c r="AH343" t="b">
        <f t="shared" si="55"/>
        <v>0</v>
      </c>
    </row>
    <row r="344" spans="1:39">
      <c r="A344" s="3" t="s">
        <v>639</v>
      </c>
      <c r="M344" t="s">
        <v>639</v>
      </c>
      <c r="AB344" s="9"/>
      <c r="AC344" s="9"/>
      <c r="AD344" s="3"/>
      <c r="AG344" t="b">
        <f t="shared" si="53"/>
        <v>1</v>
      </c>
      <c r="AH344" t="b">
        <f t="shared" si="55"/>
        <v>0</v>
      </c>
    </row>
    <row r="345" spans="1:39">
      <c r="A345" s="3" t="s">
        <v>640</v>
      </c>
      <c r="M345" t="s">
        <v>640</v>
      </c>
      <c r="AB345" s="9"/>
      <c r="AC345" s="9"/>
      <c r="AD345" s="3"/>
      <c r="AG345" t="b">
        <f t="shared" si="53"/>
        <v>1</v>
      </c>
      <c r="AH345" t="b">
        <f t="shared" si="55"/>
        <v>0</v>
      </c>
    </row>
    <row r="346" spans="1:39">
      <c r="A346" t="s">
        <v>644</v>
      </c>
      <c r="R346" t="str">
        <f>A331 &amp; " .divide( " &amp; A296 &amp; " .where( " &amp; A296 &amp; " !=0,np.nan))"</f>
        <v>ss_ExPostLifecycleNetkW .divide( ss_ExPostLifecycleGrosskW .where( ss_ExPostLifecycleGrosskW !=0,np.nan))</v>
      </c>
      <c r="AB346" s="25"/>
      <c r="AG346" t="b">
        <f t="shared" si="53"/>
        <v>1</v>
      </c>
      <c r="AH346" t="b">
        <f t="shared" si="55"/>
        <v>0</v>
      </c>
      <c r="AM346" t="str">
        <f>A331 &amp; " .divide( " &amp; A296 &amp; " ,fill_value=0)"</f>
        <v>ss_ExPostLifecycleNetkW .divide( ss_ExPostLifecycleGrosskW ,fill_value=0)</v>
      </c>
    </row>
    <row r="347" spans="1:39">
      <c r="A347" t="s">
        <v>645</v>
      </c>
      <c r="R347" t="str">
        <f>A332 &amp; " .divide( " &amp; A297 &amp; " .where( " &amp; A297 &amp; " !=0,np.nan))"</f>
        <v>ss_ExPostLifecycleNetkWh .divide( ss_ExPostLifecycleGrosskWh .where( ss_ExPostLifecycleGrosskWh !=0,np.nan))</v>
      </c>
      <c r="AG347" t="b">
        <f t="shared" si="53"/>
        <v>1</v>
      </c>
      <c r="AH347" t="b">
        <f t="shared" si="55"/>
        <v>0</v>
      </c>
    </row>
    <row r="348" spans="1:39">
      <c r="A348" t="s">
        <v>646</v>
      </c>
      <c r="R348" t="str">
        <f>A333 &amp; " .divide( " &amp; A298 &amp; " .where( " &amp; A298 &amp; " !=0,np.nan))"</f>
        <v>ss_ExPostLifecycleNetthm .divide( ss_ExPostLifecycleGrossthm .where( ss_ExPostLifecycleGrossthm !=0,np.nan))</v>
      </c>
      <c r="AG348" t="b">
        <f t="shared" si="53"/>
        <v>1</v>
      </c>
      <c r="AH348" t="b">
        <f t="shared" si="55"/>
        <v>0</v>
      </c>
    </row>
    <row r="349" spans="1:39">
      <c r="A349" t="s">
        <v>659</v>
      </c>
      <c r="M349" t="s">
        <v>659</v>
      </c>
      <c r="AG349" t="b">
        <f t="shared" si="53"/>
        <v>1</v>
      </c>
      <c r="AH349" t="b">
        <f t="shared" si="55"/>
        <v>0</v>
      </c>
    </row>
    <row r="350" spans="1:39">
      <c r="A350" t="s">
        <v>660</v>
      </c>
      <c r="M350" t="s">
        <v>660</v>
      </c>
      <c r="AG350" t="b">
        <f t="shared" si="53"/>
        <v>1</v>
      </c>
      <c r="AH350" t="b">
        <f t="shared" si="55"/>
        <v>0</v>
      </c>
    </row>
    <row r="351" spans="1:39">
      <c r="A351" t="s">
        <v>661</v>
      </c>
      <c r="M351" t="s">
        <v>661</v>
      </c>
      <c r="AG351" t="b">
        <f t="shared" si="53"/>
        <v>1</v>
      </c>
      <c r="AH351" t="b">
        <f t="shared" si="55"/>
        <v>0</v>
      </c>
    </row>
    <row r="352" spans="1:39">
      <c r="A352" t="s">
        <v>665</v>
      </c>
      <c r="M352" t="s">
        <v>665</v>
      </c>
      <c r="AG352" t="b">
        <f t="shared" si="53"/>
        <v>1</v>
      </c>
      <c r="AH352" t="b">
        <f t="shared" si="55"/>
        <v>0</v>
      </c>
    </row>
    <row r="353" spans="1:38">
      <c r="A353" t="s">
        <v>667</v>
      </c>
      <c r="M353" t="s">
        <v>667</v>
      </c>
      <c r="AG353" t="b">
        <f t="shared" si="53"/>
        <v>1</v>
      </c>
      <c r="AH353" t="b">
        <f t="shared" si="55"/>
        <v>0</v>
      </c>
    </row>
    <row r="354" spans="1:38">
      <c r="A354" t="s">
        <v>666</v>
      </c>
      <c r="M354" t="s">
        <v>666</v>
      </c>
      <c r="AG354" t="b">
        <f t="shared" si="53"/>
        <v>1</v>
      </c>
      <c r="AH354" t="b">
        <f t="shared" si="55"/>
        <v>0</v>
      </c>
    </row>
    <row r="355" spans="1:38">
      <c r="A355" t="s">
        <v>1879</v>
      </c>
      <c r="M355" t="s">
        <v>1879</v>
      </c>
      <c r="V355" s="3"/>
      <c r="W355" s="3"/>
      <c r="AG355" t="b">
        <f t="shared" si="53"/>
        <v>1</v>
      </c>
      <c r="AH355" t="b">
        <f t="shared" si="55"/>
        <v>0</v>
      </c>
    </row>
    <row r="356" spans="1:38">
      <c r="A356" t="s">
        <v>1881</v>
      </c>
      <c r="M356" t="s">
        <v>1881</v>
      </c>
      <c r="V356" s="3"/>
      <c r="W356" s="3"/>
      <c r="AG356" t="b">
        <f t="shared" si="53"/>
        <v>1</v>
      </c>
      <c r="AH356" t="b">
        <f t="shared" si="55"/>
        <v>0</v>
      </c>
    </row>
    <row r="357" spans="1:38">
      <c r="A357" t="s">
        <v>1880</v>
      </c>
      <c r="M357" t="s">
        <v>1880</v>
      </c>
      <c r="V357" s="3"/>
      <c r="W357" s="3"/>
      <c r="AG357" t="b">
        <f t="shared" si="53"/>
        <v>1</v>
      </c>
      <c r="AH357" t="b">
        <f t="shared" si="55"/>
        <v>0</v>
      </c>
    </row>
    <row r="358" spans="1:38">
      <c r="A358" t="s">
        <v>1937</v>
      </c>
      <c r="O358" t="s">
        <v>658</v>
      </c>
      <c r="V358" s="3"/>
      <c r="W358" s="3"/>
      <c r="AA358" t="str">
        <f>"np.logical_and( " &amp; $A$232 &amp; " ==True,  " &amp; $A$195 &amp; " ==False, " &amp;A355 &amp; " .isnull()), 0, ( " &amp;A355 &amp; " )"</f>
        <v>np.logical_and( ss_sampled_kwh ==True,  ProjectDropped ==False, prj_annualized_rr_kw .isnull()), 0, ( prj_annualized_rr_kw )</v>
      </c>
      <c r="AG358" t="b">
        <f t="shared" si="53"/>
        <v>1</v>
      </c>
      <c r="AH358" t="b">
        <f t="shared" si="55"/>
        <v>0</v>
      </c>
    </row>
    <row r="359" spans="1:38">
      <c r="A359" t="s">
        <v>1938</v>
      </c>
      <c r="O359" t="s">
        <v>658</v>
      </c>
      <c r="V359" s="3"/>
      <c r="W359" s="3"/>
      <c r="AA359" t="str">
        <f>"np.logical_and( " &amp; $A$232 &amp; " ==True,  " &amp; $A$195 &amp; " ==False, " &amp;A356 &amp; " .isnull()), 0, ( " &amp;A356 &amp; " )"</f>
        <v>np.logical_and( ss_sampled_kwh ==True,  ProjectDropped ==False, prj_annualized_rr_kwh .isnull()), 0, ( prj_annualized_rr_kwh )</v>
      </c>
      <c r="AG359" t="b">
        <f t="shared" si="53"/>
        <v>1</v>
      </c>
      <c r="AH359" t="b">
        <f t="shared" si="55"/>
        <v>0</v>
      </c>
    </row>
    <row r="360" spans="1:38">
      <c r="A360" t="s">
        <v>1939</v>
      </c>
      <c r="O360" t="s">
        <v>658</v>
      </c>
      <c r="V360" s="3"/>
      <c r="W360" s="3"/>
      <c r="AA360" t="str">
        <f>"np.logical_and( " &amp; $A$233 &amp; " ==True,  " &amp; $A$195 &amp; " ==False, " &amp;A357 &amp; " .isnull()), 0, ( " &amp;A357 &amp; " )"</f>
        <v>np.logical_and( ss_sampled_thm ==True,  ProjectDropped ==False, prj_annualized_rr_thm .isnull()), 0, ( prj_annualized_rr_thm )</v>
      </c>
      <c r="AG360" t="b">
        <f t="shared" si="53"/>
        <v>1</v>
      </c>
      <c r="AH360" t="b">
        <f t="shared" si="55"/>
        <v>0</v>
      </c>
    </row>
    <row r="361" spans="1:38">
      <c r="A361" t="s">
        <v>670</v>
      </c>
      <c r="R361" t="str">
        <f>A95&amp; " * " &amp; A355</f>
        <v>ExAnte_Annualized_NoRR_kW * prj_annualized_rr_kw</v>
      </c>
      <c r="AG361" t="b">
        <f t="shared" si="53"/>
        <v>1</v>
      </c>
      <c r="AH361" t="b">
        <f t="shared" si="55"/>
        <v>0</v>
      </c>
      <c r="AL361" t="e">
        <f>#REF!</f>
        <v>#REF!</v>
      </c>
    </row>
    <row r="362" spans="1:38">
      <c r="A362" t="s">
        <v>671</v>
      </c>
      <c r="R362" t="str">
        <f>A96&amp; " * " &amp; A356</f>
        <v>ExAnte_Annualized_NoRR_kWh * prj_annualized_rr_kwh</v>
      </c>
      <c r="AG362" t="b">
        <f t="shared" si="53"/>
        <v>1</v>
      </c>
      <c r="AH362" t="b">
        <f t="shared" si="55"/>
        <v>0</v>
      </c>
      <c r="AL362" t="e">
        <f>#REF!</f>
        <v>#REF!</v>
      </c>
    </row>
    <row r="363" spans="1:38">
      <c r="A363" t="s">
        <v>672</v>
      </c>
      <c r="R363" t="str">
        <f>A97&amp; " * " &amp; A357</f>
        <v>ExAnte_Annualized_NoRR_thm * prj_annualized_rr_thm</v>
      </c>
      <c r="AG363" t="b">
        <f t="shared" si="53"/>
        <v>1</v>
      </c>
      <c r="AH363" t="b">
        <f t="shared" si="55"/>
        <v>0</v>
      </c>
      <c r="AL363" t="e">
        <f>#REF!</f>
        <v>#REF!</v>
      </c>
    </row>
    <row r="364" spans="1:38">
      <c r="A364" t="s">
        <v>724</v>
      </c>
      <c r="R364" t="str">
        <f>A361 &amp; " * " &amp; $A$134</f>
        <v>EvalExPostAnnualizedGrosskW * Eval_adj_EUL</v>
      </c>
      <c r="AG364" t="b">
        <f t="shared" si="53"/>
        <v>1</v>
      </c>
      <c r="AH364" t="b">
        <f t="shared" si="55"/>
        <v>0</v>
      </c>
    </row>
    <row r="365" spans="1:38">
      <c r="A365" t="s">
        <v>726</v>
      </c>
      <c r="R365" t="str">
        <f>A362 &amp; " * " &amp; $A$134</f>
        <v>EvalExPostAnnualizedGrosskWh * Eval_adj_EUL</v>
      </c>
      <c r="AG365" t="b">
        <f t="shared" si="53"/>
        <v>1</v>
      </c>
      <c r="AH365" t="b">
        <f t="shared" si="55"/>
        <v>0</v>
      </c>
    </row>
    <row r="366" spans="1:38">
      <c r="A366" t="s">
        <v>725</v>
      </c>
      <c r="R366" t="str">
        <f>A363 &amp; " * " &amp; $A$134</f>
        <v>EvalExPostAnnualizedGrossTherm * Eval_adj_EUL</v>
      </c>
      <c r="AG366" t="b">
        <f t="shared" si="53"/>
        <v>1</v>
      </c>
      <c r="AH366" t="b">
        <f t="shared" si="55"/>
        <v>0</v>
      </c>
    </row>
    <row r="367" spans="1:38">
      <c r="A367" t="s">
        <v>1882</v>
      </c>
      <c r="S367" t="str">
        <f>$A$187</f>
        <v>SampleID</v>
      </c>
      <c r="T367" t="str">
        <f>$T$279</f>
        <v xml:space="preserve"> ( net_complete_kwh )</v>
      </c>
      <c r="U367" t="str">
        <f>A364 &amp; ", " &amp; A89</f>
        <v>EvalExPostLifeCycleGrosskW, ExAnte_LifeCycleGross_NoRR_kW</v>
      </c>
      <c r="V367" s="3" t="s">
        <v>625</v>
      </c>
      <c r="W367" s="3" t="s">
        <v>627</v>
      </c>
      <c r="AG367" t="b">
        <f t="shared" si="53"/>
        <v>1</v>
      </c>
      <c r="AH367" t="b">
        <f t="shared" si="55"/>
        <v>0</v>
      </c>
    </row>
    <row r="368" spans="1:38">
      <c r="A368" t="s">
        <v>1883</v>
      </c>
      <c r="S368" t="str">
        <f>S367</f>
        <v>SampleID</v>
      </c>
      <c r="T368" t="str">
        <f>$T$279</f>
        <v xml:space="preserve"> ( net_complete_kwh )</v>
      </c>
      <c r="U368" t="str">
        <f>A365 &amp; ", " &amp; A90</f>
        <v>EvalExPostLifeCycleGrosskWh, ExAnte_LifeCycleGross_NoRR_kWh</v>
      </c>
      <c r="V368" s="3" t="s">
        <v>625</v>
      </c>
      <c r="W368" s="3" t="s">
        <v>627</v>
      </c>
      <c r="AG368" t="b">
        <f t="shared" si="53"/>
        <v>1</v>
      </c>
      <c r="AH368" t="b">
        <f t="shared" si="55"/>
        <v>0</v>
      </c>
    </row>
    <row r="369" spans="1:38">
      <c r="A369" t="s">
        <v>1884</v>
      </c>
      <c r="S369" t="str">
        <f>S368</f>
        <v>SampleID</v>
      </c>
      <c r="T369" t="str">
        <f>$T$280</f>
        <v xml:space="preserve"> ( net_complete_thm )</v>
      </c>
      <c r="U369" t="str">
        <f>A366 &amp; ", " &amp; A91</f>
        <v>EvalExPostLifeCycleGrossTherm, ExAnte_LifeCycleGross_NoRR_thm</v>
      </c>
      <c r="V369" s="3" t="s">
        <v>625</v>
      </c>
      <c r="W369" s="3" t="s">
        <v>627</v>
      </c>
      <c r="AG369" t="b">
        <f t="shared" si="53"/>
        <v>1</v>
      </c>
      <c r="AH369" t="b">
        <f t="shared" si="55"/>
        <v>0</v>
      </c>
    </row>
    <row r="370" spans="1:38">
      <c r="A370" t="s">
        <v>2077</v>
      </c>
      <c r="O370" t="s">
        <v>658</v>
      </c>
      <c r="AA370" t="str">
        <f>$A$304 &amp; " .isnull(), None; ( "  &amp;$A$183 &amp; " =='Y') | (  " &amp; $A$186 &amp; " =='kWh' ) | ( " &amp; $A$186 &amp; " =='both' ), " &amp; A331 &amp; " / " &amp; A296 &amp; ", " &amp; A334 &amp; " / " &amp; A89</f>
        <v>ClaimUnweighted_NTGR .isnull(), None; ( smpld_net_kWh =='Y') | (  smpld_net_new =='kWh' ) | ( smpld_net_new =='both' ), ss_ExPostLifecycleNetkW / ss_ExPostLifecycleGrosskW, ss_ExAnteLifeCycleNet_kw / ExAnte_LifeCycleGross_NoRR_kW</v>
      </c>
      <c r="AG370" t="b">
        <f t="shared" si="53"/>
        <v>1</v>
      </c>
      <c r="AH370" t="b">
        <f t="shared" si="55"/>
        <v>0</v>
      </c>
      <c r="AL370" t="str">
        <f>$A$304 &amp; " .isnull(), None; np.logical_or( "  &amp;$A$183 &amp; " =='Y', " &amp; $A$186 &amp; " =='kWh'), " &amp; A334 &amp; " / " &amp; A89 &amp; ", " &amp; A331 &amp; " / " &amp; A296</f>
        <v>ClaimUnweighted_NTGR .isnull(), None; np.logical_or( smpld_net_kWh =='Y', smpld_net_new =='kWh'), ss_ExAnteLifeCycleNet_kw / ExAnte_LifeCycleGross_NoRR_kW, ss_ExPostLifecycleNetkW / ss_ExPostLifecycleGrosskW</v>
      </c>
    </row>
    <row r="371" spans="1:38">
      <c r="A371" t="s">
        <v>2078</v>
      </c>
      <c r="O371" t="s">
        <v>658</v>
      </c>
      <c r="AA371" t="str">
        <f>$A$304 &amp; " .isnull(), None; ( "  &amp;$A$183 &amp; " =='Y') | (  " &amp; $A$186 &amp; " =='kWh' ) | ( " &amp; $A$186 &amp; " =='both' ), " &amp; A332 &amp; " / " &amp; A297 &amp; ", " &amp; A335 &amp; " / " &amp; A90</f>
        <v>ClaimUnweighted_NTGR .isnull(), None; ( smpld_net_kWh =='Y') | (  smpld_net_new =='kWh' ) | ( smpld_net_new =='both' ), ss_ExPostLifecycleNetkWh / ss_ExPostLifecycleGrosskWh, ss_ExAnteLifeCycleNet_kwh / ExAnte_LifeCycleGross_NoRR_kWh</v>
      </c>
      <c r="AG371" t="b">
        <f t="shared" si="53"/>
        <v>1</v>
      </c>
      <c r="AH371" t="b">
        <f t="shared" si="55"/>
        <v>0</v>
      </c>
    </row>
    <row r="372" spans="1:38">
      <c r="A372" t="s">
        <v>2079</v>
      </c>
      <c r="O372" t="s">
        <v>658</v>
      </c>
      <c r="AA372" t="str">
        <f>$A$304 &amp; " .isnull(), None; ( "  &amp;$A$184 &amp; " =='Y') | (  " &amp; $A$186 &amp; " =='thm' ) | ( " &amp; $A$186 &amp; " =='both' ), " &amp; A333 &amp; " / " &amp; A298 &amp; ", " &amp; A336 &amp; " / " &amp; A91</f>
        <v>ClaimUnweighted_NTGR .isnull(), None; ( smpld_net_thm =='Y') | (  smpld_net_new =='thm' ) | ( smpld_net_new =='both' ), ss_ExPostLifecycleNetthm / ss_ExPostLifecycleGrossthm, ss_ExAnteLifeCycleNet_thm / ExAnte_LifeCycleGross_NoRR_thm</v>
      </c>
      <c r="AG372" t="b">
        <f t="shared" si="53"/>
        <v>1</v>
      </c>
      <c r="AH372" t="b">
        <f t="shared" si="55"/>
        <v>0</v>
      </c>
      <c r="AL372" t="str">
        <f>$A$304 &amp; " .isnull(), None; "  &amp;$A$231 &amp; " ==False, " &amp; A333 &amp; " / " &amp; A298 &amp; ", " &amp; A336 &amp; " / " &amp; A91</f>
        <v>ClaimUnweighted_NTGR .isnull(), None; sampled_net_full ==False, ss_ExPostLifecycleNetthm / ss_ExPostLifecycleGrossthm, ss_ExAnteLifeCycleNet_thm / ExAnte_LifeCycleGross_NoRR_thm</v>
      </c>
    </row>
    <row r="373" spans="1:38">
      <c r="A373" t="s">
        <v>1737</v>
      </c>
      <c r="AA373" t="str">
        <f>"( "  &amp;$A$237 &amp; " ) &amp; ( " &amp; A331 &amp; " == 0 ),  ( " &amp; A305 &amp; " ) ; ( "  &amp;$A$237 &amp; " ),  " &amp; A331 &amp; " / " &amp; A296  &amp; ",  np.nan"</f>
        <v>( net_complete_kwh ) &amp; ( ss_ExPostLifecycleNetkW == 0 ),  ( ClaimUnweighted_NTGR_kw ) ; ( net_complete_kwh ),  ss_ExPostLifecycleNetkW / ss_ExPostLifecycleGrosskW,  np.nan</v>
      </c>
      <c r="AG373" t="b">
        <f t="shared" si="53"/>
        <v>1</v>
      </c>
      <c r="AH373" t="b">
        <f t="shared" si="55"/>
        <v>0</v>
      </c>
      <c r="AI373" t="s">
        <v>2080</v>
      </c>
    </row>
    <row r="374" spans="1:38">
      <c r="A374" t="s">
        <v>1738</v>
      </c>
      <c r="AA374" t="str">
        <f>"( "  &amp;$A$237 &amp; " ) &amp; ( " &amp; A332 &amp; " == 0 ),  ( " &amp; A306 &amp; " ) ; ( "  &amp;$A$237 &amp; " ),  " &amp; A332 &amp; " / " &amp; A297  &amp; ",  np.nan"</f>
        <v>( net_complete_kwh ) &amp; ( ss_ExPostLifecycleNetkWh == 0 ),  ( ClaimUnweighted_NTGR_kwh ) ; ( net_complete_kwh ),  ss_ExPostLifecycleNetkWh / ss_ExPostLifecycleGrosskWh,  np.nan</v>
      </c>
      <c r="AG374" t="b">
        <f t="shared" si="53"/>
        <v>1</v>
      </c>
      <c r="AH374" t="b">
        <f t="shared" si="55"/>
        <v>0</v>
      </c>
      <c r="AI374" t="s">
        <v>2080</v>
      </c>
    </row>
    <row r="375" spans="1:38">
      <c r="A375" t="s">
        <v>1739</v>
      </c>
      <c r="AA375" t="str">
        <f>"( "  &amp;$A$238 &amp; " ) &amp; ( " &amp; A333 &amp; " == 0 ),  ( " &amp; A307 &amp; " ) ; ( "  &amp;$A$238 &amp; " ),  " &amp; A333 &amp; " / " &amp; A298  &amp; ",  np.nan"</f>
        <v>( net_complete_thm ) &amp; ( ss_ExPostLifecycleNetthm == 0 ),  ( ClaimUnweighted_NTGR_thm ) ; ( net_complete_thm ),  ss_ExPostLifecycleNetthm / ss_ExPostLifecycleGrossthm,  np.nan</v>
      </c>
      <c r="AG375" t="b">
        <f t="shared" si="53"/>
        <v>1</v>
      </c>
      <c r="AH375" t="b">
        <f t="shared" si="55"/>
        <v>0</v>
      </c>
      <c r="AI375" t="s">
        <v>2080</v>
      </c>
    </row>
    <row r="376" spans="1:38">
      <c r="A376" t="s">
        <v>2196</v>
      </c>
      <c r="O376" t="s">
        <v>658</v>
      </c>
      <c r="AA376" t="str">
        <f>$A$304 &amp; " .notnull(), " &amp;A337 &amp; " / " &amp; A340 &amp; " , np.nan"</f>
        <v>ClaimUnweighted_NTGR .notnull(), combined_LifecycleNet_kw / combined_LifecycleGross_kw , np.nan</v>
      </c>
      <c r="AG376" t="b">
        <f t="shared" si="53"/>
        <v>1</v>
      </c>
      <c r="AH376" t="b">
        <f t="shared" si="55"/>
        <v>0</v>
      </c>
    </row>
    <row r="377" spans="1:38">
      <c r="A377" t="s">
        <v>2197</v>
      </c>
      <c r="O377" t="s">
        <v>658</v>
      </c>
      <c r="AA377" t="str">
        <f>$A$304 &amp; " .notnull(), " &amp;A338 &amp; " / " &amp; A341 &amp; " , np.nan"</f>
        <v>ClaimUnweighted_NTGR .notnull(), combined_LifecycleNet_kwh / combined_LifecycleGross_kwh , np.nan</v>
      </c>
      <c r="AG377" t="b">
        <f t="shared" si="53"/>
        <v>1</v>
      </c>
      <c r="AH377" t="b">
        <f t="shared" si="55"/>
        <v>0</v>
      </c>
    </row>
    <row r="378" spans="1:38">
      <c r="A378" t="s">
        <v>2198</v>
      </c>
      <c r="O378" t="s">
        <v>658</v>
      </c>
      <c r="AA378" t="str">
        <f>$A$304 &amp; " .notnull(), " &amp;A339 &amp; " / " &amp; A342 &amp; " , np.nan"</f>
        <v>ClaimUnweighted_NTGR .notnull(), combined_LifecycleNet_thm / combined_LifecycleGross_thm , np.nan</v>
      </c>
      <c r="AG378" t="b">
        <f t="shared" si="53"/>
        <v>1</v>
      </c>
      <c r="AH378" t="b">
        <f t="shared" si="55"/>
        <v>0</v>
      </c>
    </row>
    <row r="379" spans="1:38">
      <c r="A379" t="s">
        <v>647</v>
      </c>
      <c r="S379" t="str">
        <f>S259</f>
        <v>SampleID ss_stratum_kwh</v>
      </c>
      <c r="T379" t="str">
        <f>" ( " &amp; $A$237 &amp; " ) &amp; ( " &amp; $A$178 &amp; " != 8 )"</f>
        <v xml:space="preserve"> ( net_complete_kwh ) &amp; ( stratum_kWh != 8 )</v>
      </c>
      <c r="U379" t="str">
        <f>A331 &amp; ", " &amp; A296</f>
        <v>ss_ExPostLifecycleNetkW, ss_ExPostLifecycleGrosskW</v>
      </c>
      <c r="V379" s="3" t="s">
        <v>625</v>
      </c>
      <c r="W379" s="3" t="s">
        <v>627</v>
      </c>
      <c r="AG379" t="b">
        <f t="shared" si="53"/>
        <v>1</v>
      </c>
      <c r="AH379" t="b">
        <f t="shared" si="55"/>
        <v>0</v>
      </c>
    </row>
    <row r="380" spans="1:38">
      <c r="A380" t="s">
        <v>648</v>
      </c>
      <c r="S380" t="str">
        <f>S260</f>
        <v>SampleID ss_stratum_kwh</v>
      </c>
      <c r="T380" t="str">
        <f>" ( " &amp; $A$237 &amp; " ) &amp; ( " &amp; $A$178 &amp; " != 8 )"</f>
        <v xml:space="preserve"> ( net_complete_kwh ) &amp; ( stratum_kWh != 8 )</v>
      </c>
      <c r="U380" t="str">
        <f>A332 &amp; ", " &amp; A297</f>
        <v>ss_ExPostLifecycleNetkWh, ss_ExPostLifecycleGrosskWh</v>
      </c>
      <c r="V380" s="3" t="s">
        <v>625</v>
      </c>
      <c r="W380" s="3" t="s">
        <v>627</v>
      </c>
      <c r="AG380" t="b">
        <f t="shared" si="53"/>
        <v>1</v>
      </c>
      <c r="AH380" t="b">
        <f t="shared" si="55"/>
        <v>0</v>
      </c>
    </row>
    <row r="381" spans="1:38">
      <c r="A381" t="s">
        <v>649</v>
      </c>
      <c r="S381" t="str">
        <f>S263</f>
        <v>SampleID ss_stratum_thm</v>
      </c>
      <c r="T381" t="str">
        <f>" ( " &amp; $A$238 &amp; " ) &amp; ( " &amp; $A$179 &amp; " != 8 )"</f>
        <v xml:space="preserve"> ( net_complete_thm ) &amp; ( stratum_thm != 8 )</v>
      </c>
      <c r="U381" t="str">
        <f>A333 &amp; ", " &amp; A298</f>
        <v>ss_ExPostLifecycleNetthm, ss_ExPostLifecycleGrossthm</v>
      </c>
      <c r="V381" s="3" t="s">
        <v>625</v>
      </c>
      <c r="W381" s="3" t="s">
        <v>627</v>
      </c>
      <c r="AG381" t="b">
        <f t="shared" si="53"/>
        <v>1</v>
      </c>
      <c r="AH381" t="b">
        <f t="shared" si="55"/>
        <v>0</v>
      </c>
    </row>
    <row r="382" spans="1:38">
      <c r="A382" t="s">
        <v>2364</v>
      </c>
      <c r="B382" t="s">
        <v>2361</v>
      </c>
      <c r="S382" t="str">
        <f>S380</f>
        <v>SampleID ss_stratum_kwh</v>
      </c>
      <c r="T382" t="str">
        <f>" ( " &amp; $A$237 &amp; " ) "</f>
        <v xml:space="preserve"> ( net_complete_kwh ) </v>
      </c>
      <c r="U382" t="str">
        <f t="shared" ref="U382:U393" si="56">$A$187</f>
        <v>SampleID</v>
      </c>
      <c r="V382" t="s">
        <v>626</v>
      </c>
      <c r="W382" s="3"/>
      <c r="AG382" t="b">
        <f t="shared" si="53"/>
        <v>1</v>
      </c>
      <c r="AH382" t="b">
        <f t="shared" si="55"/>
        <v>0</v>
      </c>
    </row>
    <row r="383" spans="1:38">
      <c r="A383" t="s">
        <v>2365</v>
      </c>
      <c r="S383" t="str">
        <f>S381</f>
        <v>SampleID ss_stratum_thm</v>
      </c>
      <c r="T383" t="str">
        <f>" ( " &amp; $A$238 &amp; " ) "</f>
        <v xml:space="preserve"> ( net_complete_thm ) </v>
      </c>
      <c r="U383" t="str">
        <f t="shared" si="56"/>
        <v>SampleID</v>
      </c>
      <c r="V383" t="s">
        <v>626</v>
      </c>
      <c r="W383" s="3"/>
      <c r="AG383" t="b">
        <f t="shared" si="53"/>
        <v>1</v>
      </c>
      <c r="AH383" t="b">
        <f t="shared" si="55"/>
        <v>0</v>
      </c>
    </row>
    <row r="384" spans="1:38">
      <c r="A384" t="s">
        <v>2790</v>
      </c>
      <c r="S384" t="str">
        <f>A177</f>
        <v>domain</v>
      </c>
      <c r="T384" t="str">
        <f>T382</f>
        <v xml:space="preserve"> ( net_complete_kwh ) </v>
      </c>
      <c r="U384" t="str">
        <f t="shared" si="56"/>
        <v>SampleID</v>
      </c>
      <c r="V384" t="s">
        <v>626</v>
      </c>
      <c r="W384" s="3"/>
    </row>
    <row r="385" spans="1:34">
      <c r="A385" t="s">
        <v>2791</v>
      </c>
      <c r="S385" t="str">
        <f>S384</f>
        <v>domain</v>
      </c>
      <c r="T385" t="str">
        <f>T383</f>
        <v xml:space="preserve"> ( net_complete_thm ) </v>
      </c>
      <c r="U385" t="str">
        <f t="shared" si="56"/>
        <v>SampleID</v>
      </c>
      <c r="V385" t="s">
        <v>626</v>
      </c>
      <c r="W385" s="3"/>
    </row>
    <row r="386" spans="1:34">
      <c r="A386" t="s">
        <v>2792</v>
      </c>
      <c r="S386" t="str">
        <f>S385</f>
        <v>domain</v>
      </c>
      <c r="T386" t="str">
        <f>$A$3 &amp; " ==True"</f>
        <v>Frame_Electric ==True</v>
      </c>
      <c r="U386" t="str">
        <f>A384</f>
        <v>domain_pop_kwh</v>
      </c>
      <c r="V386" t="s">
        <v>673</v>
      </c>
      <c r="W386" s="3"/>
    </row>
    <row r="387" spans="1:34">
      <c r="A387" t="s">
        <v>2793</v>
      </c>
      <c r="S387" t="str">
        <f>S386</f>
        <v>domain</v>
      </c>
      <c r="T387" t="str">
        <f>$A$4&amp; " ==True"</f>
        <v>Frame_Gas ==True</v>
      </c>
      <c r="U387" t="str">
        <f>A385</f>
        <v>domain_pop_thm</v>
      </c>
      <c r="V387" t="s">
        <v>673</v>
      </c>
      <c r="W387" s="3"/>
    </row>
    <row r="388" spans="1:34">
      <c r="A388" t="s">
        <v>2786</v>
      </c>
      <c r="S388" t="str">
        <f>S380</f>
        <v>SampleID ss_stratum_kwh</v>
      </c>
      <c r="T388" t="str">
        <f>$A$3 &amp; " ==True"</f>
        <v>Frame_Electric ==True</v>
      </c>
      <c r="U388" t="str">
        <f t="shared" si="56"/>
        <v>SampleID</v>
      </c>
      <c r="V388" t="s">
        <v>626</v>
      </c>
      <c r="W388" s="3"/>
    </row>
    <row r="389" spans="1:34">
      <c r="A389" t="s">
        <v>2787</v>
      </c>
      <c r="S389" t="str">
        <f>S381</f>
        <v>SampleID ss_stratum_thm</v>
      </c>
      <c r="T389" t="str">
        <f>$A$4&amp; " ==True"</f>
        <v>Frame_Gas ==True</v>
      </c>
      <c r="U389" t="str">
        <f t="shared" si="56"/>
        <v>SampleID</v>
      </c>
      <c r="V389" t="s">
        <v>626</v>
      </c>
      <c r="W389" s="3"/>
    </row>
    <row r="390" spans="1:34">
      <c r="A390" t="s">
        <v>2782</v>
      </c>
      <c r="W390" s="3"/>
      <c r="AA390" t="str">
        <f>A386 &amp; " .notnull(), ( " &amp; A382 &amp; " ), ( " &amp; A388 &amp; " )"</f>
        <v>domain_completes_kwh .notnull(), ( ss_project_pop_kwh ), ( exante_ss_project_pop_kwh_prelim )</v>
      </c>
    </row>
    <row r="391" spans="1:34">
      <c r="A391" t="s">
        <v>2783</v>
      </c>
      <c r="W391" s="3"/>
      <c r="AA391" t="str">
        <f>A387 &amp; " .notnull(), ( " &amp; A383 &amp; " ), ( " &amp; A389 &amp; " )"</f>
        <v>domain_completes_thm .notnull(), ( ss_project_pop_thm ), ( exante_ss_project_pop_thm_prelim )</v>
      </c>
    </row>
    <row r="392" spans="1:34">
      <c r="A392" t="s">
        <v>1723</v>
      </c>
      <c r="B392" t="s">
        <v>2362</v>
      </c>
      <c r="S392" t="str">
        <f>S259</f>
        <v>SampleID ss_stratum_kwh</v>
      </c>
      <c r="T392" t="str">
        <f>"( " &amp; $A$239 &amp; " )"</f>
        <v>( ss_net_complete_kwh )</v>
      </c>
      <c r="U392" t="str">
        <f t="shared" si="56"/>
        <v>SampleID</v>
      </c>
      <c r="V392" t="s">
        <v>626</v>
      </c>
      <c r="W392" s="3"/>
      <c r="AG392" t="b">
        <f t="shared" si="53"/>
        <v>1</v>
      </c>
      <c r="AH392" t="b">
        <f t="shared" si="55"/>
        <v>0</v>
      </c>
    </row>
    <row r="393" spans="1:34">
      <c r="A393" t="s">
        <v>1724</v>
      </c>
      <c r="S393" t="str">
        <f>S381</f>
        <v>SampleID ss_stratum_thm</v>
      </c>
      <c r="T393" t="str">
        <f>"( " &amp; $A$240 &amp; " )"</f>
        <v>( ss_net_complete_thm )</v>
      </c>
      <c r="U393" t="str">
        <f t="shared" si="56"/>
        <v>SampleID</v>
      </c>
      <c r="V393" t="s">
        <v>626</v>
      </c>
      <c r="W393" s="3"/>
      <c r="AG393" t="b">
        <f t="shared" si="53"/>
        <v>1</v>
      </c>
      <c r="AH393" t="b">
        <f t="shared" si="55"/>
        <v>0</v>
      </c>
    </row>
    <row r="394" spans="1:34">
      <c r="A394" t="s">
        <v>2360</v>
      </c>
      <c r="B394" t="s">
        <v>2366</v>
      </c>
      <c r="S394" t="str">
        <f>$A$187</f>
        <v>SampleID</v>
      </c>
      <c r="T394" t="str">
        <f>" ( " &amp; $A$237 &amp; " ) &amp; ( " &amp; $A$229 &amp; " != 1 )"</f>
        <v xml:space="preserve"> ( net_complete_kwh ) &amp; ( ss_stratum_kwh != 1 )</v>
      </c>
      <c r="U394" t="str">
        <f>A382</f>
        <v>ss_project_pop_kwh</v>
      </c>
      <c r="V394" t="s">
        <v>629</v>
      </c>
      <c r="W394" s="3"/>
      <c r="X394" t="str">
        <f>S392</f>
        <v>SampleID ss_stratum_kwh</v>
      </c>
      <c r="Y394" t="s">
        <v>673</v>
      </c>
      <c r="AG394" t="b">
        <f t="shared" si="53"/>
        <v>1</v>
      </c>
      <c r="AH394" t="b">
        <f t="shared" si="55"/>
        <v>0</v>
      </c>
    </row>
    <row r="395" spans="1:34">
      <c r="A395" t="s">
        <v>2363</v>
      </c>
      <c r="S395" t="str">
        <f>$A$187</f>
        <v>SampleID</v>
      </c>
      <c r="T395" t="str">
        <f>" ( " &amp; $A$238 &amp; " ) &amp; ( " &amp; $A$230 &amp; " != 1 )"</f>
        <v xml:space="preserve"> ( net_complete_thm ) &amp; ( ss_stratum_thm != 1 )</v>
      </c>
      <c r="U395" t="str">
        <f>A383</f>
        <v>ss_project_pop_thm</v>
      </c>
      <c r="V395" t="s">
        <v>629</v>
      </c>
      <c r="W395" s="3"/>
      <c r="X395" t="str">
        <f>S393</f>
        <v>SampleID ss_stratum_thm</v>
      </c>
      <c r="Y395" t="s">
        <v>673</v>
      </c>
      <c r="AG395" t="b">
        <f t="shared" si="53"/>
        <v>1</v>
      </c>
      <c r="AH395" t="b">
        <f t="shared" si="55"/>
        <v>0</v>
      </c>
    </row>
    <row r="396" spans="1:34">
      <c r="A396" t="s">
        <v>2788</v>
      </c>
      <c r="S396" t="str">
        <f t="shared" ref="S396:S399" si="57">$A$187</f>
        <v>SampleID</v>
      </c>
      <c r="T396" t="str">
        <f>"( " &amp; $A$229 &amp; " != 1 )"</f>
        <v>( ss_stratum_kwh != 1 )</v>
      </c>
      <c r="U396" t="str">
        <f>A388</f>
        <v>exante_ss_project_pop_kwh_prelim</v>
      </c>
      <c r="V396" t="s">
        <v>629</v>
      </c>
      <c r="W396" s="3"/>
    </row>
    <row r="397" spans="1:34">
      <c r="A397" t="s">
        <v>2789</v>
      </c>
      <c r="S397" t="str">
        <f t="shared" si="57"/>
        <v>SampleID</v>
      </c>
      <c r="T397" t="str">
        <f>"( " &amp; $A$230 &amp; " != 1 )"</f>
        <v>( ss_stratum_thm != 1 )</v>
      </c>
      <c r="U397" t="str">
        <f>A389</f>
        <v>exante_ss_project_pop_thm_prelim</v>
      </c>
      <c r="V397" t="s">
        <v>629</v>
      </c>
      <c r="W397" s="3"/>
    </row>
    <row r="398" spans="1:34">
      <c r="A398" t="s">
        <v>2780</v>
      </c>
      <c r="S398" t="str">
        <f t="shared" si="57"/>
        <v>SampleID</v>
      </c>
      <c r="T398" t="str">
        <f>"( " &amp; $A$229 &amp; " != 1 )"</f>
        <v>( ss_stratum_kwh != 1 )</v>
      </c>
      <c r="U398" t="str">
        <f>A390</f>
        <v>exante_ss_project_pop_kwh</v>
      </c>
      <c r="V398" t="s">
        <v>629</v>
      </c>
      <c r="W398" s="3"/>
      <c r="AA398" t="str">
        <f>A386 &amp; " .notnull(), ( " &amp; A394 &amp; " ), ( " &amp; A396 &amp; " )"</f>
        <v>domain_completes_kwh .notnull(), ( project_pop_kwh ), ( exante_project_pop_kwh_prelim )</v>
      </c>
    </row>
    <row r="399" spans="1:34">
      <c r="A399" t="s">
        <v>2781</v>
      </c>
      <c r="S399" t="str">
        <f t="shared" si="57"/>
        <v>SampleID</v>
      </c>
      <c r="T399" t="str">
        <f>"( " &amp; $A$230 &amp; " != 1 )"</f>
        <v>( ss_stratum_thm != 1 )</v>
      </c>
      <c r="U399" t="str">
        <f>A391</f>
        <v>exante_ss_project_pop_thm</v>
      </c>
      <c r="V399" t="s">
        <v>629</v>
      </c>
      <c r="W399" s="3"/>
      <c r="AA399" t="str">
        <f>A387 &amp; " .notnull(), ( " &amp; A395 &amp; " ), ( " &amp; A397 &amp; " )"</f>
        <v>domain_completes_thm .notnull(), ( project_pop_thm ), ( exante_project_pop_thm_prelim )</v>
      </c>
    </row>
    <row r="400" spans="1:34">
      <c r="A400" t="s">
        <v>1725</v>
      </c>
      <c r="R400" t="str">
        <f>A382 &amp; " / " &amp; A394</f>
        <v>ss_project_pop_kwh / project_pop_kwh</v>
      </c>
      <c r="V400" s="3"/>
      <c r="W400" s="3"/>
      <c r="AG400" t="b">
        <f t="shared" si="53"/>
        <v>1</v>
      </c>
      <c r="AH400" t="b">
        <f t="shared" si="55"/>
        <v>0</v>
      </c>
    </row>
    <row r="401" spans="1:34">
      <c r="A401" t="s">
        <v>1726</v>
      </c>
      <c r="R401" t="str">
        <f>A383 &amp; " / " &amp; A395</f>
        <v>ss_project_pop_thm / project_pop_thm</v>
      </c>
      <c r="V401" s="3"/>
      <c r="W401" s="3"/>
      <c r="AG401" t="b">
        <f t="shared" si="53"/>
        <v>1</v>
      </c>
      <c r="AH401" t="b">
        <f t="shared" si="55"/>
        <v>0</v>
      </c>
    </row>
    <row r="402" spans="1:34">
      <c r="A402" t="s">
        <v>2784</v>
      </c>
      <c r="R402" t="str">
        <f>A390 &amp; " / " &amp; A398</f>
        <v>exante_ss_project_pop_kwh / exante_project_pop_kwh</v>
      </c>
      <c r="V402" s="3"/>
      <c r="W402" s="3"/>
    </row>
    <row r="403" spans="1:34">
      <c r="A403" t="s">
        <v>2785</v>
      </c>
      <c r="R403" t="str">
        <f>A391 &amp; " / " &amp; A399</f>
        <v>exante_ss_project_pop_thm / exante_project_pop_thm</v>
      </c>
      <c r="V403" s="3"/>
      <c r="W403" s="3"/>
    </row>
    <row r="404" spans="1:34">
      <c r="A404" t="s">
        <v>1727</v>
      </c>
      <c r="R404" t="str">
        <f xml:space="preserve"> $A$400 &amp; " * " &amp; A379</f>
        <v>ss_weight_kwh * mean_ntgr_kw</v>
      </c>
      <c r="W404" s="3"/>
      <c r="AG404" t="b">
        <f t="shared" si="53"/>
        <v>1</v>
      </c>
      <c r="AH404" t="b">
        <f t="shared" si="55"/>
        <v>0</v>
      </c>
    </row>
    <row r="405" spans="1:34">
      <c r="A405" t="s">
        <v>1728</v>
      </c>
      <c r="R405" t="str">
        <f xml:space="preserve"> $A$400 &amp; " * " &amp; A380</f>
        <v>ss_weight_kwh * mean_ntgr_kwh</v>
      </c>
      <c r="W405" s="3"/>
      <c r="AG405" t="b">
        <f t="shared" si="53"/>
        <v>1</v>
      </c>
      <c r="AH405" t="b">
        <f t="shared" si="55"/>
        <v>0</v>
      </c>
    </row>
    <row r="406" spans="1:34">
      <c r="A406" t="s">
        <v>1729</v>
      </c>
      <c r="R406" t="str">
        <f xml:space="preserve"> $A$401 &amp; " * " &amp; A381</f>
        <v>ss_weight_thm * mean_ntgr_thm</v>
      </c>
      <c r="W406" s="3"/>
      <c r="AG406" t="b">
        <f t="shared" si="53"/>
        <v>1</v>
      </c>
      <c r="AH406" t="b">
        <f t="shared" si="55"/>
        <v>0</v>
      </c>
    </row>
    <row r="407" spans="1:34">
      <c r="A407" s="3" t="s">
        <v>1720</v>
      </c>
      <c r="B407" t="s">
        <v>1774</v>
      </c>
      <c r="S407" t="str">
        <f>$A$187</f>
        <v>SampleID</v>
      </c>
      <c r="T407" t="str">
        <f>"( " &amp; $A$239 &amp; " ) &amp; ( " &amp; $A$178 &amp; " != 8 )"</f>
        <v>( ss_net_complete_kwh ) &amp; ( stratum_kWh != 8 )</v>
      </c>
      <c r="U407" t="str">
        <f>A404</f>
        <v>ss_wtd_mean_ntgr_kw</v>
      </c>
      <c r="V407" s="3" t="s">
        <v>629</v>
      </c>
      <c r="X407" t="str">
        <f>S379</f>
        <v>SampleID ss_stratum_kwh</v>
      </c>
      <c r="Y407" t="s">
        <v>673</v>
      </c>
      <c r="AG407" t="b">
        <f t="shared" si="53"/>
        <v>1</v>
      </c>
      <c r="AH407" t="b">
        <f t="shared" si="55"/>
        <v>0</v>
      </c>
    </row>
    <row r="408" spans="1:34">
      <c r="A408" s="3" t="s">
        <v>1721</v>
      </c>
      <c r="B408" t="s">
        <v>1774</v>
      </c>
      <c r="S408" t="str">
        <f>$A$187</f>
        <v>SampleID</v>
      </c>
      <c r="T408" t="str">
        <f>"( " &amp; $A$239 &amp; " ) &amp; ( " &amp; $A$178 &amp; " != 8 )"</f>
        <v>( ss_net_complete_kwh ) &amp; ( stratum_kWh != 8 )</v>
      </c>
      <c r="U408" t="str">
        <f>A405</f>
        <v>ss_wtd_mean_ntgr_kwh</v>
      </c>
      <c r="V408" s="3" t="s">
        <v>629</v>
      </c>
      <c r="X408" t="str">
        <f>S380</f>
        <v>SampleID ss_stratum_kwh</v>
      </c>
      <c r="Y408" t="str">
        <f>Y407</f>
        <v>max</v>
      </c>
      <c r="AG408" t="b">
        <f t="shared" si="53"/>
        <v>1</v>
      </c>
      <c r="AH408" t="b">
        <f t="shared" si="55"/>
        <v>0</v>
      </c>
    </row>
    <row r="409" spans="1:34">
      <c r="A409" s="3" t="s">
        <v>1722</v>
      </c>
      <c r="B409" t="s">
        <v>1774</v>
      </c>
      <c r="S409" t="str">
        <f>$A$187</f>
        <v>SampleID</v>
      </c>
      <c r="T409" t="str">
        <f>"( " &amp; $A$240 &amp; " ) &amp; ( " &amp; $A$179 &amp; " != 8 )"</f>
        <v>( ss_net_complete_thm ) &amp; ( stratum_thm != 8 )</v>
      </c>
      <c r="U409" t="str">
        <f>A406</f>
        <v>ss_wtd_mean_ntgr_thm</v>
      </c>
      <c r="V409" s="3" t="s">
        <v>629</v>
      </c>
      <c r="X409" t="str">
        <f>S381</f>
        <v>SampleID ss_stratum_thm</v>
      </c>
      <c r="Y409" t="str">
        <f>Y408</f>
        <v>max</v>
      </c>
      <c r="AG409" t="b">
        <f t="shared" si="53"/>
        <v>1</v>
      </c>
      <c r="AH409" t="b">
        <f t="shared" si="55"/>
        <v>0</v>
      </c>
    </row>
    <row r="410" spans="1:34">
      <c r="A410" t="s">
        <v>679</v>
      </c>
      <c r="R410" t="str">
        <f>A361 &amp; " * " &amp; A407</f>
        <v>EvalExPostAnnualizedGrosskW * st_EvalNTGRkW</v>
      </c>
      <c r="V410" s="3"/>
      <c r="AG410" t="b">
        <f t="shared" si="53"/>
        <v>1</v>
      </c>
      <c r="AH410" t="b">
        <f t="shared" si="55"/>
        <v>0</v>
      </c>
    </row>
    <row r="411" spans="1:34">
      <c r="A411" t="s">
        <v>681</v>
      </c>
      <c r="R411" t="str">
        <f>A362 &amp; " * " &amp; A408</f>
        <v>EvalExPostAnnualizedGrosskWh * st_EvalNTGRkWh</v>
      </c>
      <c r="V411" s="3"/>
      <c r="AG411" t="b">
        <f t="shared" si="53"/>
        <v>1</v>
      </c>
      <c r="AH411" t="b">
        <f t="shared" si="55"/>
        <v>0</v>
      </c>
    </row>
    <row r="412" spans="1:34">
      <c r="A412" t="s">
        <v>680</v>
      </c>
      <c r="R412" t="str">
        <f>A363 &amp; " * " &amp; A409</f>
        <v>EvalExPostAnnualizedGrossTherm * st_EvalNTGRTherm</v>
      </c>
      <c r="V412" s="3"/>
      <c r="AG412" t="b">
        <f t="shared" si="53"/>
        <v>1</v>
      </c>
      <c r="AH412" t="b">
        <f t="shared" si="55"/>
        <v>0</v>
      </c>
    </row>
    <row r="413" spans="1:34">
      <c r="A413" t="s">
        <v>727</v>
      </c>
      <c r="R413" t="str">
        <f>A364 &amp; " * " &amp; A407</f>
        <v>EvalExPostLifeCycleGrosskW * st_EvalNTGRkW</v>
      </c>
      <c r="AG413" t="b">
        <f>IF(NOT(ISBLANK(A413)), LEN(_xlfn.CONCAT(C413:AF413))&gt;0, "")</f>
        <v>1</v>
      </c>
      <c r="AH413" t="b">
        <f>AND(ISNUMBER(SEARCH("kw",_xlfn.CONCAT(Q413:AF413))), ISNUMBER(SEARCH("thm",_xlfn.CONCAT(Q413:AF413))))</f>
        <v>0</v>
      </c>
    </row>
    <row r="414" spans="1:34">
      <c r="A414" t="s">
        <v>729</v>
      </c>
      <c r="R414" t="str">
        <f>A365 &amp; " * " &amp; A408</f>
        <v>EvalExPostLifeCycleGrosskWh * st_EvalNTGRkWh</v>
      </c>
      <c r="AG414" t="b">
        <f>IF(NOT(ISBLANK(A414)), LEN(_xlfn.CONCAT(C414:AF414))&gt;0, "")</f>
        <v>1</v>
      </c>
      <c r="AH414" t="b">
        <f>AND(ISNUMBER(SEARCH("kw",_xlfn.CONCAT(Q414:AF414))), ISNUMBER(SEARCH("thm",_xlfn.CONCAT(Q414:AF414))))</f>
        <v>0</v>
      </c>
    </row>
    <row r="415" spans="1:34">
      <c r="A415" t="s">
        <v>728</v>
      </c>
      <c r="R415" t="str">
        <f>A366 &amp; " * " &amp; A409</f>
        <v>EvalExPostLifeCycleGrossTherm * st_EvalNTGRTherm</v>
      </c>
      <c r="AG415" t="b">
        <f>IF(NOT(ISBLANK(A415)), LEN(_xlfn.CONCAT(C415:AF415))&gt;0, "")</f>
        <v>1</v>
      </c>
      <c r="AH415" t="b">
        <f>AND(ISNUMBER(SEARCH("kw",_xlfn.CONCAT(Q415:AF415))), ISNUMBER(SEARCH("thm",_xlfn.CONCAT(Q415:AF415))))</f>
        <v>0</v>
      </c>
    </row>
    <row r="416" spans="1:34">
      <c r="A416" t="s">
        <v>714</v>
      </c>
      <c r="S416" t="str">
        <f t="shared" ref="S416:S421" si="58">$A$187</f>
        <v>SampleID</v>
      </c>
      <c r="T416" t="str">
        <f>$T$279</f>
        <v xml:space="preserve"> ( net_complete_kwh )</v>
      </c>
      <c r="U416" t="str">
        <f>A361 &amp; ", " &amp; A407</f>
        <v>EvalExPostAnnualizedGrosskW, st_EvalNTGRkW</v>
      </c>
      <c r="V416" s="3" t="s">
        <v>650</v>
      </c>
      <c r="W416" t="s">
        <v>651</v>
      </c>
      <c r="AG416" t="b">
        <f t="shared" si="53"/>
        <v>1</v>
      </c>
      <c r="AH416" t="b">
        <f t="shared" si="55"/>
        <v>0</v>
      </c>
    </row>
    <row r="417" spans="1:35">
      <c r="A417" t="s">
        <v>716</v>
      </c>
      <c r="S417" t="str">
        <f t="shared" si="58"/>
        <v>SampleID</v>
      </c>
      <c r="T417" t="str">
        <f>$T$279</f>
        <v xml:space="preserve"> ( net_complete_kwh )</v>
      </c>
      <c r="U417" t="str">
        <f>A362 &amp; ", " &amp; A408</f>
        <v>EvalExPostAnnualizedGrosskWh, st_EvalNTGRkWh</v>
      </c>
      <c r="V417" s="3" t="s">
        <v>650</v>
      </c>
      <c r="W417" t="s">
        <v>651</v>
      </c>
      <c r="AG417" t="b">
        <f t="shared" si="53"/>
        <v>1</v>
      </c>
      <c r="AH417" t="b">
        <f t="shared" si="55"/>
        <v>0</v>
      </c>
    </row>
    <row r="418" spans="1:35">
      <c r="A418" t="s">
        <v>715</v>
      </c>
      <c r="S418" t="str">
        <f t="shared" si="58"/>
        <v>SampleID</v>
      </c>
      <c r="T418" t="str">
        <f>$T$280</f>
        <v xml:space="preserve"> ( net_complete_thm )</v>
      </c>
      <c r="U418" t="str">
        <f>A363 &amp; ", " &amp; A409</f>
        <v>EvalExPostAnnualizedGrossTherm, st_EvalNTGRTherm</v>
      </c>
      <c r="V418" s="3" t="s">
        <v>650</v>
      </c>
      <c r="W418" t="s">
        <v>651</v>
      </c>
      <c r="AG418" t="b">
        <f t="shared" ref="AG418:AG501" si="59">IF(NOT(ISBLANK(A418)), LEN(_xlfn.CONCAT(C418:AF418))&gt;0, "")</f>
        <v>1</v>
      </c>
      <c r="AH418" t="b">
        <f t="shared" si="55"/>
        <v>0</v>
      </c>
    </row>
    <row r="419" spans="1:35">
      <c r="A419" t="s">
        <v>2281</v>
      </c>
      <c r="S419" t="str">
        <f t="shared" si="58"/>
        <v>SampleID</v>
      </c>
      <c r="T419" t="str">
        <f>$T$279</f>
        <v xml:space="preserve"> ( net_complete_kwh )</v>
      </c>
      <c r="U419" t="str">
        <f>A364 &amp; ", " &amp; A407</f>
        <v>EvalExPostLifeCycleGrosskW, st_EvalNTGRkW</v>
      </c>
      <c r="V419" s="3" t="s">
        <v>650</v>
      </c>
      <c r="W419" t="s">
        <v>651</v>
      </c>
      <c r="AG419" t="b">
        <f t="shared" ref="AG419:AG421" si="60">IF(NOT(ISBLANK(A419)), LEN(_xlfn.CONCAT(C419:AF419))&gt;0, "")</f>
        <v>1</v>
      </c>
      <c r="AH419" t="b">
        <f t="shared" ref="AH419:AH421" si="61">AND(ISNUMBER(SEARCH("kw",_xlfn.CONCAT(Q419:AF419))), ISNUMBER(SEARCH("thm",_xlfn.CONCAT(Q419:AF419))))</f>
        <v>0</v>
      </c>
    </row>
    <row r="420" spans="1:35">
      <c r="A420" t="s">
        <v>2282</v>
      </c>
      <c r="S420" t="str">
        <f t="shared" si="58"/>
        <v>SampleID</v>
      </c>
      <c r="T420" t="str">
        <f>$T$279</f>
        <v xml:space="preserve"> ( net_complete_kwh )</v>
      </c>
      <c r="U420" t="str">
        <f>A365 &amp; ", " &amp; A408</f>
        <v>EvalExPostLifeCycleGrosskWh, st_EvalNTGRkWh</v>
      </c>
      <c r="V420" s="3" t="s">
        <v>650</v>
      </c>
      <c r="W420" t="s">
        <v>651</v>
      </c>
      <c r="AG420" t="b">
        <f t="shared" si="60"/>
        <v>1</v>
      </c>
      <c r="AH420" t="b">
        <f t="shared" si="61"/>
        <v>0</v>
      </c>
    </row>
    <row r="421" spans="1:35">
      <c r="A421" t="s">
        <v>2283</v>
      </c>
      <c r="S421" t="str">
        <f t="shared" si="58"/>
        <v>SampleID</v>
      </c>
      <c r="T421" t="str">
        <f>$T$280</f>
        <v xml:space="preserve"> ( net_complete_thm )</v>
      </c>
      <c r="U421" t="str">
        <f>A366 &amp; ", " &amp; A409</f>
        <v>EvalExPostLifeCycleGrossTherm, st_EvalNTGRTherm</v>
      </c>
      <c r="V421" s="3" t="s">
        <v>650</v>
      </c>
      <c r="W421" t="s">
        <v>651</v>
      </c>
      <c r="AG421" t="b">
        <f t="shared" si="60"/>
        <v>1</v>
      </c>
      <c r="AH421" t="b">
        <f t="shared" si="61"/>
        <v>0</v>
      </c>
    </row>
    <row r="422" spans="1:35">
      <c r="A422" t="s">
        <v>2654</v>
      </c>
      <c r="Q422" t="str">
        <f>A50</f>
        <v>NTGRkW</v>
      </c>
      <c r="V422" s="3"/>
      <c r="W422" s="3"/>
      <c r="AA422" t="str">
        <f>"( " &amp; $A$239 &amp; " ==True), ( " &amp; A50 &amp; " ), np.nan"</f>
        <v>( ss_net_complete_kwh ==True), ( NTGRkW ), np.nan</v>
      </c>
    </row>
    <row r="423" spans="1:35">
      <c r="A423" t="s">
        <v>2655</v>
      </c>
      <c r="Q423" t="str">
        <f>A51</f>
        <v>NTGRkWh</v>
      </c>
      <c r="V423" s="3"/>
      <c r="W423" s="3"/>
      <c r="AA423" t="str">
        <f>"( " &amp; $A$239 &amp; " ==True), ( " &amp; A51 &amp; " ), np.nan"</f>
        <v>( ss_net_complete_kwh ==True), ( NTGRkWh ), np.nan</v>
      </c>
    </row>
    <row r="424" spans="1:35">
      <c r="A424" t="s">
        <v>2656</v>
      </c>
      <c r="Q424" t="str">
        <f>A52</f>
        <v>NTGRTherm</v>
      </c>
      <c r="V424" s="3"/>
      <c r="W424" s="3"/>
      <c r="AA424" t="str">
        <f>"( " &amp; $A$240 &amp; " ==True), ( " &amp; A52 &amp; " ), np.nan"</f>
        <v>( ss_net_complete_thm ==True), ( NTGRTherm ), np.nan</v>
      </c>
    </row>
    <row r="425" spans="1:35">
      <c r="A425" t="s">
        <v>2794</v>
      </c>
      <c r="S425" t="str">
        <f>S379</f>
        <v>SampleID ss_stratum_kwh</v>
      </c>
      <c r="T425" s="37" t="str">
        <f>" ( " &amp; $A$178 &amp; " != 8 )"</f>
        <v xml:space="preserve"> ( stratum_kWh != 8 )</v>
      </c>
      <c r="U425" t="str">
        <f>A422</f>
        <v>ss_ExAnte_NTGR_kw</v>
      </c>
      <c r="V425" s="3" t="s">
        <v>2660</v>
      </c>
      <c r="W425" s="3"/>
      <c r="AI425" t="str">
        <f>T379</f>
        <v xml:space="preserve"> ( net_complete_kwh ) &amp; ( stratum_kWh != 8 )</v>
      </c>
    </row>
    <row r="426" spans="1:35">
      <c r="A426" t="s">
        <v>2795</v>
      </c>
      <c r="S426" t="str">
        <f>S380</f>
        <v>SampleID ss_stratum_kwh</v>
      </c>
      <c r="T426" s="37" t="str">
        <f>" ( " &amp; $A$178 &amp; " != 8 )"</f>
        <v xml:space="preserve"> ( stratum_kWh != 8 )</v>
      </c>
      <c r="U426" t="str">
        <f>A423</f>
        <v>ss_ExAnte_NTGR_kwh</v>
      </c>
      <c r="V426" s="3" t="s">
        <v>2660</v>
      </c>
      <c r="W426" s="3"/>
      <c r="AI426" t="str">
        <f>T380</f>
        <v xml:space="preserve"> ( net_complete_kwh ) &amp; ( stratum_kWh != 8 )</v>
      </c>
    </row>
    <row r="427" spans="1:35">
      <c r="A427" t="s">
        <v>2796</v>
      </c>
      <c r="S427" t="str">
        <f>S381</f>
        <v>SampleID ss_stratum_thm</v>
      </c>
      <c r="T427" s="37" t="str">
        <f>" ( " &amp; $A$179 &amp; " != 8 )"</f>
        <v xml:space="preserve"> ( stratum_thm != 8 )</v>
      </c>
      <c r="U427" t="str">
        <f>A424</f>
        <v>ss_ExAnte_NTGR_thm</v>
      </c>
      <c r="V427" s="3" t="s">
        <v>2660</v>
      </c>
      <c r="W427" s="3"/>
      <c r="AI427" t="str">
        <f>T381</f>
        <v xml:space="preserve"> ( net_complete_thm ) &amp; ( stratum_thm != 8 )</v>
      </c>
    </row>
    <row r="428" spans="1:35">
      <c r="A428" t="s">
        <v>2657</v>
      </c>
      <c r="S428" t="str">
        <f>S425</f>
        <v>SampleID ss_stratum_kwh</v>
      </c>
      <c r="T428" t="str">
        <f>T379</f>
        <v xml:space="preserve"> ( net_complete_kwh ) &amp; ( stratum_kWh != 8 )</v>
      </c>
      <c r="U428" t="str">
        <f>U425</f>
        <v>ss_ExAnte_NTGR_kw</v>
      </c>
      <c r="V428" s="3" t="s">
        <v>2660</v>
      </c>
      <c r="W428" s="3"/>
    </row>
    <row r="429" spans="1:35">
      <c r="A429" t="s">
        <v>2658</v>
      </c>
      <c r="S429" t="str">
        <f>S426</f>
        <v>SampleID ss_stratum_kwh</v>
      </c>
      <c r="T429" t="str">
        <f>T380</f>
        <v xml:space="preserve"> ( net_complete_kwh ) &amp; ( stratum_kWh != 8 )</v>
      </c>
      <c r="U429" t="str">
        <f>U426</f>
        <v>ss_ExAnte_NTGR_kwh</v>
      </c>
      <c r="V429" s="3" t="s">
        <v>2660</v>
      </c>
      <c r="W429" s="3"/>
    </row>
    <row r="430" spans="1:35">
      <c r="A430" t="s">
        <v>2659</v>
      </c>
      <c r="S430" t="str">
        <f>S427</f>
        <v>SampleID ss_stratum_thm</v>
      </c>
      <c r="T430" t="str">
        <f>T381</f>
        <v xml:space="preserve"> ( net_complete_thm ) &amp; ( stratum_thm != 8 )</v>
      </c>
      <c r="U430" t="str">
        <f>U427</f>
        <v>ss_ExAnte_NTGR_thm</v>
      </c>
      <c r="V430" s="3" t="s">
        <v>2660</v>
      </c>
      <c r="W430" s="3"/>
    </row>
    <row r="431" spans="1:35">
      <c r="A431" t="s">
        <v>2803</v>
      </c>
      <c r="R431" s="37" t="str">
        <f xml:space="preserve"> $A$402 &amp; " * " &amp; A425</f>
        <v>exante_ss_weight_kwh * ss_mean_ExAnte_NTGR_kw_nonets</v>
      </c>
      <c r="V431" s="3"/>
      <c r="W431" s="3"/>
    </row>
    <row r="432" spans="1:35">
      <c r="A432" t="s">
        <v>2804</v>
      </c>
      <c r="R432" s="37" t="str">
        <f xml:space="preserve"> $A$402 &amp; " * " &amp; A426</f>
        <v>exante_ss_weight_kwh * ss_mean_ExAnte_NTGR_kwh_nonets</v>
      </c>
      <c r="V432" s="3"/>
      <c r="W432" s="3"/>
    </row>
    <row r="433" spans="1:35">
      <c r="A433" t="s">
        <v>2805</v>
      </c>
      <c r="R433" s="37" t="str">
        <f xml:space="preserve"> $A$403 &amp; " * " &amp; A427</f>
        <v>exante_ss_weight_thm * ss_mean_ExAnte_NTGR_thm_nonets</v>
      </c>
      <c r="V433" s="3"/>
      <c r="W433" s="3"/>
    </row>
    <row r="434" spans="1:35">
      <c r="A434" t="s">
        <v>2661</v>
      </c>
      <c r="R434" s="3" t="str">
        <f xml:space="preserve"> $A$400 &amp; " * " &amp; A428</f>
        <v>ss_weight_kwh * ss_mean_ExAnte_NTGR_kw</v>
      </c>
      <c r="V434" s="3"/>
      <c r="W434" s="3"/>
    </row>
    <row r="435" spans="1:35">
      <c r="A435" t="s">
        <v>2662</v>
      </c>
      <c r="R435" s="3" t="str">
        <f xml:space="preserve"> $A$400 &amp; " * " &amp; A429</f>
        <v>ss_weight_kwh * ss_mean_ExAnte_NTGR_kwh</v>
      </c>
      <c r="V435" s="3"/>
      <c r="W435" s="3"/>
    </row>
    <row r="436" spans="1:35">
      <c r="A436" t="s">
        <v>2663</v>
      </c>
      <c r="R436" s="3" t="str">
        <f xml:space="preserve"> $A$401 &amp; " * " &amp; A430</f>
        <v>ss_weight_thm * ss_mean_ExAnte_NTGR_thm</v>
      </c>
      <c r="V436" s="3"/>
      <c r="W436" s="3"/>
    </row>
    <row r="437" spans="1:35">
      <c r="A437" s="3" t="s">
        <v>2797</v>
      </c>
      <c r="S437" t="str">
        <f>map_gross!$A$165</f>
        <v>SampleID</v>
      </c>
      <c r="T437" s="37" t="str">
        <f>T425</f>
        <v xml:space="preserve"> ( stratum_kWh != 8 )</v>
      </c>
      <c r="U437" t="str">
        <f t="shared" ref="U437:U442" si="62">A431</f>
        <v>ss_wtd_mean_ExAnte_NTGR_kw_nonets</v>
      </c>
      <c r="V437" s="3" t="s">
        <v>629</v>
      </c>
      <c r="W437" s="3"/>
      <c r="X437" t="str">
        <f>map_gross!Q395</f>
        <v>SampleID ss_stratum_kwh</v>
      </c>
      <c r="Y437" t="s">
        <v>673</v>
      </c>
      <c r="AI437" t="str">
        <f t="shared" ref="AI437:AI442" si="63">T407</f>
        <v>( ss_net_complete_kwh ) &amp; ( stratum_kWh != 8 )</v>
      </c>
    </row>
    <row r="438" spans="1:35">
      <c r="A438" s="3" t="s">
        <v>2798</v>
      </c>
      <c r="S438" t="str">
        <f>map_gross!$A$165</f>
        <v>SampleID</v>
      </c>
      <c r="T438" s="37" t="str">
        <f>T426</f>
        <v xml:space="preserve"> ( stratum_kWh != 8 )</v>
      </c>
      <c r="U438" t="str">
        <f t="shared" si="62"/>
        <v>ss_wtd_mean_ExAnte_NTGR_kwh_nonets</v>
      </c>
      <c r="V438" s="3" t="s">
        <v>629</v>
      </c>
      <c r="W438" s="3"/>
      <c r="X438" t="str">
        <f>map_gross!Q396</f>
        <v>SampleID ss_stratum_kwh</v>
      </c>
      <c r="Y438" t="str">
        <f>Y437</f>
        <v>max</v>
      </c>
      <c r="AI438" t="str">
        <f t="shared" si="63"/>
        <v>( ss_net_complete_kwh ) &amp; ( stratum_kWh != 8 )</v>
      </c>
    </row>
    <row r="439" spans="1:35">
      <c r="A439" s="3" t="s">
        <v>2799</v>
      </c>
      <c r="S439" t="str">
        <f>map_gross!$A$165</f>
        <v>SampleID</v>
      </c>
      <c r="T439" s="37" t="str">
        <f>T427</f>
        <v xml:space="preserve"> ( stratum_thm != 8 )</v>
      </c>
      <c r="U439" t="str">
        <f t="shared" si="62"/>
        <v>ss_wtd_mean_ExAnte_NTGR_thm_nonets</v>
      </c>
      <c r="V439" s="3" t="s">
        <v>629</v>
      </c>
      <c r="W439" s="3"/>
      <c r="X439" t="str">
        <f>map_gross!Q397</f>
        <v>SampleID ss_stratum_thm</v>
      </c>
      <c r="Y439" t="str">
        <f>Y438</f>
        <v>max</v>
      </c>
      <c r="AI439" t="str">
        <f t="shared" si="63"/>
        <v>( ss_net_complete_thm ) &amp; ( stratum_thm != 8 )</v>
      </c>
    </row>
    <row r="440" spans="1:35">
      <c r="A440" s="3" t="s">
        <v>2800</v>
      </c>
      <c r="S440" t="str">
        <f>map_gross!$A$165</f>
        <v>SampleID</v>
      </c>
      <c r="T440" s="3" t="str">
        <f>T407</f>
        <v>( ss_net_complete_kwh ) &amp; ( stratum_kWh != 8 )</v>
      </c>
      <c r="U440" t="str">
        <f t="shared" si="62"/>
        <v>ss_wtd_mean_ExAnte_NTGR_kw</v>
      </c>
      <c r="V440" s="3" t="s">
        <v>629</v>
      </c>
      <c r="W440" s="3"/>
      <c r="X440" t="str">
        <f>map_gross!Q398</f>
        <v>SampleID</v>
      </c>
      <c r="Y440" t="s">
        <v>673</v>
      </c>
      <c r="AI440">
        <f t="shared" si="63"/>
        <v>0</v>
      </c>
    </row>
    <row r="441" spans="1:35">
      <c r="A441" s="3" t="s">
        <v>2801</v>
      </c>
      <c r="S441" t="str">
        <f>map_gross!$A$165</f>
        <v>SampleID</v>
      </c>
      <c r="T441" s="3" t="str">
        <f>T408</f>
        <v>( ss_net_complete_kwh ) &amp; ( stratum_kWh != 8 )</v>
      </c>
      <c r="U441" t="str">
        <f t="shared" si="62"/>
        <v>ss_wtd_mean_ExAnte_NTGR_kwh</v>
      </c>
      <c r="V441" s="3" t="s">
        <v>629</v>
      </c>
      <c r="W441" s="3"/>
      <c r="X441" t="str">
        <f>map_gross!Q399</f>
        <v>SampleID ss_stratum_kwh</v>
      </c>
      <c r="Y441" t="str">
        <f>Y440</f>
        <v>max</v>
      </c>
      <c r="AI441">
        <f t="shared" si="63"/>
        <v>0</v>
      </c>
    </row>
    <row r="442" spans="1:35">
      <c r="A442" s="3" t="s">
        <v>2802</v>
      </c>
      <c r="S442" t="str">
        <f>map_gross!$A$165</f>
        <v>SampleID</v>
      </c>
      <c r="T442" s="3" t="str">
        <f>T409</f>
        <v>( ss_net_complete_thm ) &amp; ( stratum_thm != 8 )</v>
      </c>
      <c r="U442" t="str">
        <f t="shared" si="62"/>
        <v>ss_wtd_mean_ExAnte_NTGR_thm</v>
      </c>
      <c r="V442" s="3" t="s">
        <v>629</v>
      </c>
      <c r="W442" s="3"/>
      <c r="X442" t="str">
        <f>map_gross!Q400</f>
        <v>SampleID ss_stratum_thm</v>
      </c>
      <c r="Y442" t="str">
        <f>Y441</f>
        <v>max</v>
      </c>
      <c r="AI442">
        <f t="shared" si="63"/>
        <v>0</v>
      </c>
    </row>
    <row r="443" spans="1:35">
      <c r="A443" s="3" t="s">
        <v>2664</v>
      </c>
      <c r="T443" s="3"/>
      <c r="V443" s="3"/>
      <c r="W443" s="3"/>
      <c r="AA443" t="str">
        <f>A386 &amp; " .notnull(), ( " &amp; A440 &amp; " ), ( " &amp; A437 &amp; " )"</f>
        <v>domain_completes_kwh .notnull(), ( st_ExAnte_NTGRkW_nets ), ( st_ExAnte_NTGRkW_nonets )</v>
      </c>
    </row>
    <row r="444" spans="1:35">
      <c r="A444" s="3" t="s">
        <v>2665</v>
      </c>
      <c r="T444" s="3"/>
      <c r="V444" s="3"/>
      <c r="W444" s="3"/>
      <c r="AA444" t="str">
        <f>A386 &amp; " .notnull(), ( " &amp; A441 &amp; " ), ( " &amp; A438 &amp; " )"</f>
        <v>domain_completes_kwh .notnull(), ( st_ExAnte_NTGRkWh_nets ), ( st_ExAnte_NTGRkWh_nonets )</v>
      </c>
    </row>
    <row r="445" spans="1:35">
      <c r="A445" s="3" t="s">
        <v>2666</v>
      </c>
      <c r="T445" s="3"/>
      <c r="V445" s="3"/>
      <c r="W445" s="3"/>
      <c r="AA445" t="str">
        <f>A387 &amp; " .notnull(), ( " &amp; A442 &amp; " ), ( " &amp; A439 &amp; " )"</f>
        <v>domain_completes_thm .notnull(), ( st_ExAnte_NTGRTherm_nets ), ( st_ExAnte_NTGRTherm_nonets )</v>
      </c>
    </row>
    <row r="446" spans="1:35">
      <c r="A446" t="str">
        <f>E446</f>
        <v>SBD_OwnerIncentive</v>
      </c>
      <c r="E446" t="s">
        <v>321</v>
      </c>
      <c r="AG446" t="b">
        <f t="shared" si="59"/>
        <v>1</v>
      </c>
      <c r="AH446" t="b">
        <f t="shared" ref="AH446:AH505" si="64">AND(ISNUMBER(SEARCH("kw",_xlfn.CONCAT(Q446:AF446))), ISNUMBER(SEARCH("thm",_xlfn.CONCAT(Q446:AF446))))</f>
        <v>0</v>
      </c>
    </row>
    <row r="447" spans="1:35">
      <c r="A447" t="str">
        <f>E447</f>
        <v>SBD_DesignTeamIncentive</v>
      </c>
      <c r="E447" t="s">
        <v>322</v>
      </c>
      <c r="AG447" t="b">
        <f t="shared" si="59"/>
        <v>1</v>
      </c>
      <c r="AH447" t="b">
        <f t="shared" si="64"/>
        <v>0</v>
      </c>
    </row>
    <row r="448" spans="1:35">
      <c r="A448" t="str">
        <f>E448</f>
        <v>SBDclaim</v>
      </c>
      <c r="E448" t="s">
        <v>245</v>
      </c>
      <c r="AG448" t="b">
        <f t="shared" si="59"/>
        <v>1</v>
      </c>
      <c r="AH448" t="b">
        <f t="shared" si="64"/>
        <v>0</v>
      </c>
    </row>
    <row r="449" spans="1:34">
      <c r="A449" t="s">
        <v>676</v>
      </c>
      <c r="O449" t="s">
        <v>658</v>
      </c>
      <c r="AA449" t="str">
        <f>A448 &amp; " =='Yes', " &amp; A446 &amp; " + " &amp; A447 &amp; ", ( " &amp; A203 &amp; " )"</f>
        <v>SBDclaim =='Yes', SBD_OwnerIncentive + SBD_DesignTeamIncentive, ( TotalGrossIncentive_Eval )</v>
      </c>
      <c r="AG449" t="b">
        <f t="shared" si="59"/>
        <v>1</v>
      </c>
      <c r="AH449" t="b">
        <f t="shared" si="64"/>
        <v>0</v>
      </c>
    </row>
    <row r="450" spans="1:34">
      <c r="A450" t="s">
        <v>690</v>
      </c>
      <c r="O450" t="s">
        <v>658</v>
      </c>
      <c r="R450" t="str">
        <f>$A$82 &amp; " * " &amp; A267</f>
        <v>ExAnteGrossIncentive * subsample_weight_kwh</v>
      </c>
      <c r="AG450" t="b">
        <f t="shared" si="59"/>
        <v>1</v>
      </c>
      <c r="AH450" t="b">
        <f t="shared" si="64"/>
        <v>0</v>
      </c>
    </row>
    <row r="451" spans="1:34">
      <c r="A451" t="s">
        <v>691</v>
      </c>
      <c r="O451" t="s">
        <v>658</v>
      </c>
      <c r="R451" t="str">
        <f>$A$82 &amp; " * " &amp; A268</f>
        <v>ExAnteGrossIncentive * subsample_weight_thm</v>
      </c>
      <c r="AG451" t="b">
        <f t="shared" si="59"/>
        <v>1</v>
      </c>
      <c r="AH451" t="b">
        <f t="shared" si="64"/>
        <v>0</v>
      </c>
    </row>
    <row r="452" spans="1:34">
      <c r="A452" t="s">
        <v>692</v>
      </c>
      <c r="O452" t="s">
        <v>658</v>
      </c>
      <c r="R452" t="str">
        <f>$A$449 &amp; " * " &amp; A267</f>
        <v>ss_Incentive * subsample_weight_kwh</v>
      </c>
      <c r="AG452" t="b">
        <f t="shared" si="59"/>
        <v>1</v>
      </c>
      <c r="AH452" t="b">
        <f t="shared" si="64"/>
        <v>0</v>
      </c>
    </row>
    <row r="453" spans="1:34">
      <c r="A453" t="s">
        <v>693</v>
      </c>
      <c r="O453" t="s">
        <v>658</v>
      </c>
      <c r="R453" t="str">
        <f>$A$449 &amp; " * " &amp; A268</f>
        <v>ss_Incentive * subsample_weight_thm</v>
      </c>
      <c r="AG453" t="b">
        <f t="shared" si="59"/>
        <v>1</v>
      </c>
      <c r="AH453" t="b">
        <f t="shared" si="64"/>
        <v>0</v>
      </c>
    </row>
    <row r="454" spans="1:34">
      <c r="A454" t="s">
        <v>694</v>
      </c>
      <c r="O454" t="s">
        <v>658</v>
      </c>
      <c r="S454" t="str">
        <f>$A$187</f>
        <v>SampleID</v>
      </c>
      <c r="T454" t="str">
        <f>T279</f>
        <v xml:space="preserve"> ( net_complete_kwh )</v>
      </c>
      <c r="U454" t="str">
        <f>A452 &amp; ", " &amp; A450</f>
        <v>ss_wtd_Eval_Incentive_kwh, ss_wtd_Claim_Incentive_kwh</v>
      </c>
      <c r="V454" t="s">
        <v>625</v>
      </c>
      <c r="W454" t="s">
        <v>627</v>
      </c>
      <c r="AG454" t="b">
        <f t="shared" si="59"/>
        <v>1</v>
      </c>
      <c r="AH454" t="b">
        <f t="shared" si="64"/>
        <v>0</v>
      </c>
    </row>
    <row r="455" spans="1:34">
      <c r="A455" t="s">
        <v>695</v>
      </c>
      <c r="O455" t="s">
        <v>658</v>
      </c>
      <c r="S455" t="str">
        <f>$A$187</f>
        <v>SampleID</v>
      </c>
      <c r="T455" t="str">
        <f>T280</f>
        <v xml:space="preserve"> ( net_complete_thm )</v>
      </c>
      <c r="U455" t="str">
        <f>A453 &amp; ", " &amp; A451</f>
        <v>ss_wtd_Eval_Incentive_thm, ss_wtd_Claim_Incentive_thm</v>
      </c>
      <c r="V455" t="s">
        <v>625</v>
      </c>
      <c r="W455" t="s">
        <v>627</v>
      </c>
      <c r="AG455" t="b">
        <f t="shared" si="59"/>
        <v>1</v>
      </c>
      <c r="AH455" t="b">
        <f t="shared" si="64"/>
        <v>0</v>
      </c>
    </row>
    <row r="456" spans="1:34">
      <c r="A456" t="s">
        <v>696</v>
      </c>
      <c r="O456" t="s">
        <v>658</v>
      </c>
      <c r="R456" t="str">
        <f>$A$82 &amp; " * " &amp; A454</f>
        <v>ExAnteGrossIncentive * ss_Incentive_kwh_rr</v>
      </c>
      <c r="AG456" t="b">
        <f t="shared" si="59"/>
        <v>1</v>
      </c>
      <c r="AH456" t="b">
        <f t="shared" si="64"/>
        <v>0</v>
      </c>
    </row>
    <row r="457" spans="1:34">
      <c r="A457" t="s">
        <v>697</v>
      </c>
      <c r="O457" t="s">
        <v>658</v>
      </c>
      <c r="R457" t="str">
        <f>$A$82 &amp; " * " &amp; A455</f>
        <v>ExAnteGrossIncentive * ss_Incentive_thm_rr</v>
      </c>
      <c r="AG457" t="b">
        <f t="shared" si="59"/>
        <v>1</v>
      </c>
      <c r="AH457" t="b">
        <f t="shared" si="64"/>
        <v>0</v>
      </c>
    </row>
    <row r="458" spans="1:34">
      <c r="A458" t="s">
        <v>733</v>
      </c>
      <c r="O458" t="s">
        <v>658</v>
      </c>
      <c r="AA458" t="str">
        <f>"np.logical_and( " &amp; A225 &amp; " =='Y' , " &amp; A456 &amp; " .isnull()), ( " &amp; $A$203 &amp; " ), ( " &amp; A456 &amp; " )"</f>
        <v>np.logical_and( Sampled_kwh =='Y' , prj_EvalIncentive_kwh .isnull()), ( TotalGrossIncentive_Eval ), ( prj_EvalIncentive_kwh )</v>
      </c>
      <c r="AG458" t="b">
        <f t="shared" si="59"/>
        <v>1</v>
      </c>
      <c r="AH458" t="b">
        <f t="shared" si="64"/>
        <v>0</v>
      </c>
    </row>
    <row r="459" spans="1:34">
      <c r="A459" t="s">
        <v>734</v>
      </c>
      <c r="O459" t="s">
        <v>658</v>
      </c>
      <c r="AA459" t="str">
        <f>"np.logical_and( " &amp; A226 &amp; " =='Y' , " &amp; A457 &amp; " .isnull()), ( " &amp; $A$203 &amp; " ), ( " &amp; A457 &amp; " )"</f>
        <v>np.logical_and( Sampled_thm =='Y' , prj_EvalIncentive_thm .isnull()), ( TotalGrossIncentive_Eval ), ( prj_EvalIncentive_thm )</v>
      </c>
      <c r="AG459" t="b">
        <f t="shared" si="59"/>
        <v>1</v>
      </c>
      <c r="AH459" t="b">
        <f t="shared" si="64"/>
        <v>0</v>
      </c>
    </row>
    <row r="460" spans="1:34">
      <c r="A460" t="s">
        <v>698</v>
      </c>
      <c r="O460" t="s">
        <v>658</v>
      </c>
      <c r="R460" t="str">
        <f>$A$80 &amp; " * " &amp; $A$267</f>
        <v>ExAnteGrossMeasureCost * subsample_weight_kwh</v>
      </c>
      <c r="AG460" t="b">
        <f t="shared" si="59"/>
        <v>1</v>
      </c>
      <c r="AH460" t="b">
        <f t="shared" si="64"/>
        <v>0</v>
      </c>
    </row>
    <row r="461" spans="1:34">
      <c r="A461" t="s">
        <v>699</v>
      </c>
      <c r="O461" t="s">
        <v>658</v>
      </c>
      <c r="R461" t="str">
        <f>$A$80 &amp; " * " &amp; $A$268</f>
        <v>ExAnteGrossMeasureCost * subsample_weight_thm</v>
      </c>
      <c r="AG461" t="b">
        <f t="shared" si="59"/>
        <v>1</v>
      </c>
      <c r="AH461" t="b">
        <f t="shared" si="64"/>
        <v>0</v>
      </c>
    </row>
    <row r="462" spans="1:34">
      <c r="A462" t="s">
        <v>700</v>
      </c>
      <c r="O462" t="s">
        <v>658</v>
      </c>
      <c r="R462" t="str">
        <f>$A$205 &amp; " * " &amp; $A$267</f>
        <v>TotalGrossMeasureCost_Eval * subsample_weight_kwh</v>
      </c>
      <c r="AG462" t="b">
        <f t="shared" si="59"/>
        <v>1</v>
      </c>
      <c r="AH462" t="b">
        <f t="shared" si="64"/>
        <v>0</v>
      </c>
    </row>
    <row r="463" spans="1:34">
      <c r="A463" t="s">
        <v>701</v>
      </c>
      <c r="O463" t="s">
        <v>658</v>
      </c>
      <c r="R463" t="str">
        <f>$A$205 &amp; " * " &amp; $A$268</f>
        <v>TotalGrossMeasureCost_Eval * subsample_weight_thm</v>
      </c>
      <c r="AG463" t="b">
        <f t="shared" si="59"/>
        <v>1</v>
      </c>
      <c r="AH463" t="b">
        <f t="shared" si="64"/>
        <v>0</v>
      </c>
    </row>
    <row r="464" spans="1:34">
      <c r="A464" t="s">
        <v>702</v>
      </c>
      <c r="O464" t="s">
        <v>658</v>
      </c>
      <c r="S464" t="str">
        <f>$A$187</f>
        <v>SampleID</v>
      </c>
      <c r="T464" t="str">
        <f>T279</f>
        <v xml:space="preserve"> ( net_complete_kwh )</v>
      </c>
      <c r="U464" t="str">
        <f>A462 &amp; ", " &amp; A460</f>
        <v>ss_wtd_Eval_1stBaselineCost_kwh, ss_wtd_Claim_1stBaselineCost_kwh</v>
      </c>
      <c r="V464" t="s">
        <v>625</v>
      </c>
      <c r="W464" t="s">
        <v>627</v>
      </c>
      <c r="AG464" t="b">
        <f t="shared" si="59"/>
        <v>1</v>
      </c>
      <c r="AH464" t="b">
        <f t="shared" si="64"/>
        <v>0</v>
      </c>
    </row>
    <row r="465" spans="1:34">
      <c r="A465" t="s">
        <v>703</v>
      </c>
      <c r="O465" t="s">
        <v>658</v>
      </c>
      <c r="S465" t="str">
        <f>$A$187</f>
        <v>SampleID</v>
      </c>
      <c r="T465" t="str">
        <f>T280</f>
        <v xml:space="preserve"> ( net_complete_thm )</v>
      </c>
      <c r="U465" t="str">
        <f>A463 &amp; ", " &amp; A461</f>
        <v>ss_wtd_Eval_1stBaselineCost_thm, ss_wtd_Claim_1stBaselineCost_thm</v>
      </c>
      <c r="V465" t="s">
        <v>625</v>
      </c>
      <c r="W465" t="s">
        <v>627</v>
      </c>
      <c r="AG465" t="b">
        <f t="shared" si="59"/>
        <v>1</v>
      </c>
      <c r="AH465" t="b">
        <f t="shared" si="64"/>
        <v>0</v>
      </c>
    </row>
    <row r="466" spans="1:34">
      <c r="A466" t="s">
        <v>704</v>
      </c>
      <c r="O466" t="s">
        <v>658</v>
      </c>
      <c r="R466" t="str">
        <f>$A$80 &amp; " * " &amp; A464</f>
        <v>ExAnteGrossMeasureCost * ss_1stBaselineCost_kwh_rr</v>
      </c>
      <c r="AG466" t="b">
        <f t="shared" si="59"/>
        <v>1</v>
      </c>
      <c r="AH466" t="b">
        <f t="shared" si="64"/>
        <v>0</v>
      </c>
    </row>
    <row r="467" spans="1:34">
      <c r="A467" t="s">
        <v>705</v>
      </c>
      <c r="O467" t="s">
        <v>658</v>
      </c>
      <c r="R467" t="str">
        <f>$A$80 &amp; " * " &amp; A465</f>
        <v>ExAnteGrossMeasureCost * ss_1stBaselineCost_thm_rr</v>
      </c>
      <c r="AG467" t="b">
        <f t="shared" si="59"/>
        <v>1</v>
      </c>
      <c r="AH467" t="b">
        <f t="shared" si="64"/>
        <v>0</v>
      </c>
    </row>
    <row r="468" spans="1:34">
      <c r="A468" t="s">
        <v>735</v>
      </c>
      <c r="O468" t="s">
        <v>658</v>
      </c>
      <c r="AA468" t="str">
        <f>"np.logical_and( " &amp; A225 &amp; " =='Y' , " &amp; A466 &amp; " .isnull()), ( " &amp; $A$205 &amp; " ), ( " &amp; A466 &amp; " )"</f>
        <v>np.logical_and( Sampled_kwh =='Y' , prj_Eval1stBaselineCost_kwh .isnull()), ( TotalGrossMeasureCost_Eval ), ( prj_Eval1stBaselineCost_kwh )</v>
      </c>
      <c r="AG468" t="b">
        <f t="shared" si="59"/>
        <v>1</v>
      </c>
      <c r="AH468" t="b">
        <f t="shared" si="64"/>
        <v>0</v>
      </c>
    </row>
    <row r="469" spans="1:34">
      <c r="A469" t="s">
        <v>736</v>
      </c>
      <c r="O469" t="s">
        <v>658</v>
      </c>
      <c r="AA469" t="str">
        <f>"np.logical_and( " &amp; A226 &amp; " =='Y' , " &amp; A467 &amp; " .isnull()), ( " &amp; $A$205 &amp; " ), ( " &amp; A467 &amp; " )"</f>
        <v>np.logical_and( Sampled_thm =='Y' , prj_Eval1stBaselineCost_thm .isnull()), ( TotalGrossMeasureCost_Eval ), ( prj_Eval1stBaselineCost_thm )</v>
      </c>
      <c r="AG469" t="b">
        <f t="shared" si="59"/>
        <v>1</v>
      </c>
      <c r="AH469" t="b">
        <f t="shared" si="64"/>
        <v>0</v>
      </c>
    </row>
    <row r="470" spans="1:34">
      <c r="A470" t="s">
        <v>706</v>
      </c>
      <c r="O470" t="s">
        <v>658</v>
      </c>
      <c r="R470" t="str">
        <f>$A$81 &amp; " * " &amp; $A$267</f>
        <v>ExAnteGrossMeasureCost_ER * subsample_weight_kwh</v>
      </c>
      <c r="AG470" t="b">
        <f t="shared" si="59"/>
        <v>1</v>
      </c>
      <c r="AH470" t="b">
        <f t="shared" si="64"/>
        <v>0</v>
      </c>
    </row>
    <row r="471" spans="1:34">
      <c r="A471" t="s">
        <v>707</v>
      </c>
      <c r="O471" t="s">
        <v>658</v>
      </c>
      <c r="R471" t="str">
        <f>$A$81 &amp; " * " &amp; $A$268</f>
        <v>ExAnteGrossMeasureCost_ER * subsample_weight_thm</v>
      </c>
      <c r="AG471" t="b">
        <f t="shared" si="59"/>
        <v>1</v>
      </c>
      <c r="AH471" t="b">
        <f t="shared" si="64"/>
        <v>0</v>
      </c>
    </row>
    <row r="472" spans="1:34">
      <c r="A472" t="s">
        <v>708</v>
      </c>
      <c r="O472" t="s">
        <v>658</v>
      </c>
      <c r="R472" t="str">
        <f>$A$206 &amp; " * " &amp; $A$267</f>
        <v>TotalGrossMeasureCost_ER_Eval * subsample_weight_kwh</v>
      </c>
      <c r="AG472" t="b">
        <f t="shared" si="59"/>
        <v>1</v>
      </c>
      <c r="AH472" t="b">
        <f t="shared" si="64"/>
        <v>0</v>
      </c>
    </row>
    <row r="473" spans="1:34">
      <c r="A473" t="s">
        <v>709</v>
      </c>
      <c r="O473" t="s">
        <v>658</v>
      </c>
      <c r="R473" t="str">
        <f>$A$206 &amp; " * " &amp; $A$268</f>
        <v>TotalGrossMeasureCost_ER_Eval * subsample_weight_thm</v>
      </c>
      <c r="AG473" t="b">
        <f t="shared" si="59"/>
        <v>1</v>
      </c>
      <c r="AH473" t="b">
        <f t="shared" si="64"/>
        <v>0</v>
      </c>
    </row>
    <row r="474" spans="1:34">
      <c r="A474" t="s">
        <v>710</v>
      </c>
      <c r="O474" t="s">
        <v>658</v>
      </c>
      <c r="S474" t="str">
        <f>$A$187</f>
        <v>SampleID</v>
      </c>
      <c r="T474" t="str">
        <f>T279</f>
        <v xml:space="preserve"> ( net_complete_kwh )</v>
      </c>
      <c r="U474" t="str">
        <f>A472 &amp; ", " &amp; A470</f>
        <v>ss_wtd_Eval_2ndBaselineCost_kwh, ss_wtd_Claim_2ndBaselineCost_kwh</v>
      </c>
      <c r="V474" t="s">
        <v>625</v>
      </c>
      <c r="W474" t="s">
        <v>627</v>
      </c>
      <c r="AG474" t="b">
        <f t="shared" si="59"/>
        <v>1</v>
      </c>
      <c r="AH474" t="b">
        <f t="shared" si="64"/>
        <v>0</v>
      </c>
    </row>
    <row r="475" spans="1:34">
      <c r="A475" t="s">
        <v>711</v>
      </c>
      <c r="O475" t="s">
        <v>658</v>
      </c>
      <c r="S475" t="str">
        <f>$A$187</f>
        <v>SampleID</v>
      </c>
      <c r="T475" t="str">
        <f>T280</f>
        <v xml:space="preserve"> ( net_complete_thm )</v>
      </c>
      <c r="U475" t="str">
        <f>A473 &amp; ", " &amp; A471</f>
        <v>ss_wtd_Eval_2ndBaselineCost_thm, ss_wtd_Claim_2ndBaselineCost_thm</v>
      </c>
      <c r="V475" t="s">
        <v>625</v>
      </c>
      <c r="W475" t="s">
        <v>627</v>
      </c>
      <c r="AG475" t="b">
        <f t="shared" si="59"/>
        <v>1</v>
      </c>
      <c r="AH475" t="b">
        <f t="shared" si="64"/>
        <v>0</v>
      </c>
    </row>
    <row r="476" spans="1:34">
      <c r="A476" t="s">
        <v>712</v>
      </c>
      <c r="O476" t="s">
        <v>658</v>
      </c>
      <c r="R476" t="str">
        <f>$A$81 &amp; " * " &amp; A474</f>
        <v>ExAnteGrossMeasureCost_ER * ss_2ndBaselineCost_kwh_rr</v>
      </c>
      <c r="AG476" t="b">
        <f t="shared" si="59"/>
        <v>1</v>
      </c>
      <c r="AH476" t="b">
        <f t="shared" si="64"/>
        <v>0</v>
      </c>
    </row>
    <row r="477" spans="1:34">
      <c r="A477" t="s">
        <v>713</v>
      </c>
      <c r="O477" t="s">
        <v>658</v>
      </c>
      <c r="R477" t="str">
        <f>$A$81 &amp; " * " &amp; A475</f>
        <v>ExAnteGrossMeasureCost_ER * ss_2ndBaselineCost_thm_rr</v>
      </c>
      <c r="AG477" t="b">
        <f t="shared" si="59"/>
        <v>1</v>
      </c>
      <c r="AH477" t="b">
        <f t="shared" si="64"/>
        <v>0</v>
      </c>
    </row>
    <row r="478" spans="1:34">
      <c r="A478" t="s">
        <v>737</v>
      </c>
      <c r="O478" t="s">
        <v>658</v>
      </c>
      <c r="AA478" t="str">
        <f>"np.logical_and( " &amp; A225 &amp; " =='Y' , " &amp; A476 &amp; " .isnull()), ( " &amp; $A$206 &amp; " ), ( " &amp; A476 &amp; " )"</f>
        <v>np.logical_and( Sampled_kwh =='Y' , prj_Eval2ndBaselineCost_kwh .isnull()), ( TotalGrossMeasureCost_ER_Eval ), ( prj_Eval2ndBaselineCost_kwh )</v>
      </c>
      <c r="AG478" t="b">
        <f t="shared" si="59"/>
        <v>1</v>
      </c>
      <c r="AH478" t="b">
        <f t="shared" si="64"/>
        <v>0</v>
      </c>
    </row>
    <row r="479" spans="1:34">
      <c r="A479" t="s">
        <v>738</v>
      </c>
      <c r="O479" t="s">
        <v>658</v>
      </c>
      <c r="AA479" t="str">
        <f>"np.logical_and( " &amp; A226 &amp; " =='Y' , " &amp; A477 &amp; " .isnull()), ( " &amp; $A$206 &amp; " ), ( " &amp; A477 &amp; " )"</f>
        <v>np.logical_and( Sampled_thm =='Y' , prj_Eval2ndBaselineCost_thm .isnull()), ( TotalGrossMeasureCost_ER_Eval ), ( prj_Eval2ndBaselineCost_thm )</v>
      </c>
      <c r="AG479" t="b">
        <f t="shared" si="59"/>
        <v>1</v>
      </c>
      <c r="AH479" t="b">
        <f t="shared" si="64"/>
        <v>0</v>
      </c>
    </row>
    <row r="480" spans="1:34">
      <c r="A480" t="str">
        <f t="shared" ref="A480:A485" si="65">E480</f>
        <v>EvalBase1kWReasons</v>
      </c>
      <c r="E480" t="s">
        <v>331</v>
      </c>
      <c r="O480" t="s">
        <v>658</v>
      </c>
      <c r="AG480" t="b">
        <f t="shared" si="59"/>
        <v>1</v>
      </c>
      <c r="AH480" t="b">
        <f t="shared" si="64"/>
        <v>0</v>
      </c>
    </row>
    <row r="481" spans="1:38">
      <c r="A481" t="str">
        <f t="shared" si="65"/>
        <v>EvalBase1kWhReasons</v>
      </c>
      <c r="E481" t="s">
        <v>332</v>
      </c>
      <c r="O481" t="s">
        <v>658</v>
      </c>
      <c r="AG481" t="b">
        <f t="shared" si="59"/>
        <v>1</v>
      </c>
      <c r="AH481" t="b">
        <f t="shared" si="64"/>
        <v>0</v>
      </c>
    </row>
    <row r="482" spans="1:38">
      <c r="A482" t="str">
        <f t="shared" si="65"/>
        <v>EvalBase1ThermReasons</v>
      </c>
      <c r="E482" t="s">
        <v>333</v>
      </c>
      <c r="O482" t="s">
        <v>658</v>
      </c>
      <c r="AG482" t="b">
        <f t="shared" si="59"/>
        <v>1</v>
      </c>
      <c r="AH482" t="b">
        <f t="shared" si="64"/>
        <v>0</v>
      </c>
    </row>
    <row r="483" spans="1:38">
      <c r="A483" t="str">
        <f t="shared" si="65"/>
        <v>EvalBase2kWReasons</v>
      </c>
      <c r="E483" t="s">
        <v>335</v>
      </c>
      <c r="O483" t="s">
        <v>658</v>
      </c>
      <c r="AG483" t="b">
        <f t="shared" si="59"/>
        <v>1</v>
      </c>
      <c r="AH483" t="b">
        <f t="shared" si="64"/>
        <v>0</v>
      </c>
    </row>
    <row r="484" spans="1:38">
      <c r="A484" t="str">
        <f t="shared" si="65"/>
        <v>EvalBase2kWhReasons</v>
      </c>
      <c r="E484" t="s">
        <v>337</v>
      </c>
      <c r="O484" t="s">
        <v>658</v>
      </c>
      <c r="AG484" t="b">
        <f t="shared" si="59"/>
        <v>1</v>
      </c>
      <c r="AH484" t="b">
        <f t="shared" si="64"/>
        <v>0</v>
      </c>
    </row>
    <row r="485" spans="1:38">
      <c r="A485" t="str">
        <f t="shared" si="65"/>
        <v>EvalBase2ThermReasons</v>
      </c>
      <c r="E485" t="s">
        <v>339</v>
      </c>
      <c r="O485" t="s">
        <v>658</v>
      </c>
      <c r="AG485" t="b">
        <f t="shared" si="59"/>
        <v>1</v>
      </c>
      <c r="AH485" t="b">
        <f t="shared" si="64"/>
        <v>0</v>
      </c>
    </row>
    <row r="486" spans="1:38">
      <c r="A486" t="s">
        <v>1554</v>
      </c>
      <c r="O486" t="s">
        <v>658</v>
      </c>
      <c r="AA486" t="str">
        <f>"( " &amp; A468 &amp; " ) , ( " &amp;A468 &amp; " ) , ( " &amp; A469 &amp; " )"</f>
        <v>( Eval1stBaselineCost_kWh ) , ( Eval1stBaselineCost_kWh ) , ( Eval1stBaselineCost_Therm )</v>
      </c>
      <c r="AG486" t="b">
        <f t="shared" si="59"/>
        <v>1</v>
      </c>
      <c r="AH486" t="b">
        <f t="shared" si="64"/>
        <v>0</v>
      </c>
    </row>
    <row r="487" spans="1:38">
      <c r="A487" t="s">
        <v>1555</v>
      </c>
      <c r="O487" t="s">
        <v>658</v>
      </c>
      <c r="AA487" t="str">
        <f>"( " &amp; A478 &amp; " ) , ( " &amp;A478 &amp; " ) , ( " &amp; A479 &amp; " )"</f>
        <v>( Eval2ndBaselineCost_kWh ) , ( Eval2ndBaselineCost_kWh ) , ( Eval2ndBaselineCost_Therm )</v>
      </c>
      <c r="AG487" t="b">
        <f t="shared" si="59"/>
        <v>1</v>
      </c>
      <c r="AH487" t="b">
        <f t="shared" si="64"/>
        <v>0</v>
      </c>
    </row>
    <row r="488" spans="1:38">
      <c r="A488" t="s">
        <v>1556</v>
      </c>
      <c r="O488" t="s">
        <v>658</v>
      </c>
      <c r="AA488" t="str">
        <f>"( " &amp; A458 &amp; " ) , ( " &amp;A458 &amp; " ) , ( " &amp; A459 &amp; " )"</f>
        <v>( EvalIncentive_kWh ) , ( EvalIncentive_kWh ) , ( EvalIncentive_Therm )</v>
      </c>
      <c r="AG488" t="b">
        <f t="shared" si="59"/>
        <v>1</v>
      </c>
      <c r="AH488" t="b">
        <f t="shared" si="64"/>
        <v>0</v>
      </c>
    </row>
    <row r="489" spans="1:38">
      <c r="A489" t="str">
        <f>G489</f>
        <v>ReviewStartDate</v>
      </c>
      <c r="G489" t="s">
        <v>1559</v>
      </c>
      <c r="O489" t="s">
        <v>658</v>
      </c>
      <c r="AG489" t="b">
        <f t="shared" si="59"/>
        <v>1</v>
      </c>
      <c r="AH489" t="b">
        <f t="shared" si="64"/>
        <v>0</v>
      </c>
    </row>
    <row r="490" spans="1:38">
      <c r="A490" t="str">
        <f>G490</f>
        <v>RecruitDate</v>
      </c>
      <c r="G490" t="s">
        <v>512</v>
      </c>
      <c r="O490" t="s">
        <v>658</v>
      </c>
      <c r="AG490" t="b">
        <f t="shared" si="59"/>
        <v>1</v>
      </c>
      <c r="AH490" t="b">
        <f t="shared" si="64"/>
        <v>0</v>
      </c>
    </row>
    <row r="491" spans="1:38">
      <c r="A491" t="s">
        <v>1557</v>
      </c>
      <c r="O491" t="s">
        <v>658</v>
      </c>
      <c r="AA491" t="str">
        <f>A490 &amp; " .notnull(), True, False"</f>
        <v>RecruitDate .notnull(), True, False</v>
      </c>
      <c r="AG491" t="b">
        <f t="shared" si="59"/>
        <v>1</v>
      </c>
      <c r="AH491" t="b">
        <f t="shared" si="64"/>
        <v>0</v>
      </c>
    </row>
    <row r="492" spans="1:38">
      <c r="A492" t="s">
        <v>1558</v>
      </c>
      <c r="B492" s="23" t="s">
        <v>2215</v>
      </c>
      <c r="O492" s="3"/>
      <c r="R492" s="23" t="str">
        <f>A193 &amp; " .notnull()"</f>
        <v>NetDisposition .notnull()</v>
      </c>
      <c r="AG492" t="b">
        <f t="shared" si="59"/>
        <v>1</v>
      </c>
      <c r="AH492" t="b">
        <f t="shared" si="64"/>
        <v>0</v>
      </c>
      <c r="AI492" s="23" t="s">
        <v>1922</v>
      </c>
    </row>
    <row r="493" spans="1:38">
      <c r="A493" t="s">
        <v>1669</v>
      </c>
      <c r="O493" s="3" t="s">
        <v>658</v>
      </c>
      <c r="AA493" t="str">
        <f xml:space="preserve"> A362 &amp; " .notnull() , " &amp; A362 &amp; " * .003412 , 0"</f>
        <v>EvalExPostAnnualizedGrosskWh .notnull() , EvalExPostAnnualizedGrosskWh * .003412 , 0</v>
      </c>
      <c r="AG493" t="b">
        <f t="shared" si="59"/>
        <v>1</v>
      </c>
      <c r="AH493" t="b">
        <f t="shared" si="64"/>
        <v>0</v>
      </c>
    </row>
    <row r="494" spans="1:38">
      <c r="A494" t="s">
        <v>1668</v>
      </c>
      <c r="O494" s="3" t="s">
        <v>658</v>
      </c>
      <c r="AA494" t="str">
        <f>A363 &amp; " .notnull() , " &amp; A363 &amp; " / 10 , 0"</f>
        <v>EvalExPostAnnualizedGrossTherm .notnull() , EvalExPostAnnualizedGrossTherm / 10 , 0</v>
      </c>
      <c r="AG494" t="b">
        <f t="shared" si="59"/>
        <v>1</v>
      </c>
      <c r="AH494" t="b">
        <f t="shared" si="64"/>
        <v>0</v>
      </c>
    </row>
    <row r="495" spans="1:38">
      <c r="A495" t="s">
        <v>1666</v>
      </c>
      <c r="O495" s="3" t="s">
        <v>658</v>
      </c>
      <c r="R495" t="str">
        <f>A493 &amp; " + " &amp; A494</f>
        <v>ExPost_Annualized_Gross_kwh_mmbtu + ExPost_Annualized_Gross_thm_mmbtu</v>
      </c>
      <c r="AG495" t="b">
        <f t="shared" si="59"/>
        <v>1</v>
      </c>
      <c r="AH495" t="b">
        <f t="shared" si="64"/>
        <v>1</v>
      </c>
      <c r="AI495" t="s">
        <v>2214</v>
      </c>
    </row>
    <row r="496" spans="1:38">
      <c r="A496" t="s">
        <v>1670</v>
      </c>
      <c r="O496" s="3" t="s">
        <v>658</v>
      </c>
      <c r="AA496" t="str">
        <f>A365 &amp; " .notnull() , " &amp; A365 &amp; " * .003412 , 0"</f>
        <v>EvalExPostLifeCycleGrosskWh .notnull() , EvalExPostLifeCycleGrosskWh * .003412 , 0</v>
      </c>
      <c r="AG496" t="b">
        <f t="shared" si="59"/>
        <v>1</v>
      </c>
      <c r="AH496" t="b">
        <f t="shared" si="64"/>
        <v>0</v>
      </c>
      <c r="AL496">
        <v>24</v>
      </c>
    </row>
    <row r="497" spans="1:38">
      <c r="A497" t="s">
        <v>1671</v>
      </c>
      <c r="O497" s="3" t="s">
        <v>658</v>
      </c>
      <c r="AA497" t="str">
        <f>A366 &amp; " .notnull() , " &amp; A366 &amp; " / 10 , 0"</f>
        <v>EvalExPostLifeCycleGrossTherm .notnull() , EvalExPostLifeCycleGrossTherm / 10 , 0</v>
      </c>
      <c r="AG497" t="b">
        <f t="shared" si="59"/>
        <v>1</v>
      </c>
      <c r="AH497" t="b">
        <f t="shared" si="64"/>
        <v>0</v>
      </c>
      <c r="AL497">
        <v>24</v>
      </c>
    </row>
    <row r="498" spans="1:38">
      <c r="A498" t="s">
        <v>1667</v>
      </c>
      <c r="O498" s="3" t="s">
        <v>658</v>
      </c>
      <c r="R498" t="str">
        <f>A496 &amp; " + " &amp; A497</f>
        <v>ExPost_Lifecycle_Gross_kwh_mmbtu + ExPost_Lifecycle_Gross_thm_mmbtu</v>
      </c>
      <c r="AG498" t="b">
        <f t="shared" si="59"/>
        <v>1</v>
      </c>
      <c r="AH498" t="b">
        <f t="shared" si="64"/>
        <v>1</v>
      </c>
      <c r="AI498" t="s">
        <v>2214</v>
      </c>
      <c r="AL498">
        <v>24</v>
      </c>
    </row>
    <row r="499" spans="1:38">
      <c r="A499" t="s">
        <v>2178</v>
      </c>
      <c r="AA499" t="str">
        <f>A414 &amp; " .notnull() , " &amp; A414 &amp; " * .003412 , 0"</f>
        <v>EvalExPostLifeCycleNetkWh .notnull() , EvalExPostLifeCycleNetkWh * .003412 , 0</v>
      </c>
      <c r="AG499" t="b">
        <f t="shared" si="59"/>
        <v>1</v>
      </c>
      <c r="AH499" t="b">
        <f t="shared" si="64"/>
        <v>0</v>
      </c>
      <c r="AL499">
        <v>24</v>
      </c>
    </row>
    <row r="500" spans="1:38">
      <c r="A500" t="s">
        <v>2179</v>
      </c>
      <c r="AA500" t="str">
        <f>A415 &amp; " .notnull() , " &amp; A415 &amp; " / 10 , 0"</f>
        <v>EvalExPostLifeCycleNetTherm .notnull() , EvalExPostLifeCycleNetTherm / 10 , 0</v>
      </c>
      <c r="AG500" t="b">
        <f t="shared" si="59"/>
        <v>1</v>
      </c>
      <c r="AH500" t="b">
        <f t="shared" si="64"/>
        <v>0</v>
      </c>
      <c r="AL500">
        <v>24</v>
      </c>
    </row>
    <row r="501" spans="1:38">
      <c r="A501" t="s">
        <v>2180</v>
      </c>
      <c r="R501" t="str">
        <f>A499 &amp; " + " &amp; A500</f>
        <v>ExPost_Lifecycle_Net_kwh_mmbtu + ExPost_Lifecycle_Net_thm_mmbtu</v>
      </c>
      <c r="AG501" t="b">
        <f t="shared" si="59"/>
        <v>1</v>
      </c>
      <c r="AH501" t="b">
        <f t="shared" si="64"/>
        <v>1</v>
      </c>
      <c r="AI501" t="s">
        <v>2214</v>
      </c>
      <c r="AL501">
        <v>24</v>
      </c>
    </row>
    <row r="502" spans="1:38">
      <c r="A502" t="s">
        <v>2172</v>
      </c>
      <c r="O502" t="s">
        <v>658</v>
      </c>
      <c r="AA502" t="str">
        <f>A90 &amp; " .notnull() , " &amp; A90 &amp; " * .003412 , 0"</f>
        <v>ExAnte_LifeCycleGross_NoRR_kWh .notnull() , ExAnte_LifeCycleGross_NoRR_kWh * .003412 , 0</v>
      </c>
      <c r="AG502" t="b">
        <f t="shared" ref="AG502:AG507" si="66">IF(NOT(ISBLANK(A502)), LEN(_xlfn.CONCAT(C502:AF502))&gt;0, "")</f>
        <v>1</v>
      </c>
      <c r="AH502" t="b">
        <f t="shared" si="64"/>
        <v>0</v>
      </c>
      <c r="AL502">
        <v>24</v>
      </c>
    </row>
    <row r="503" spans="1:38">
      <c r="A503" t="s">
        <v>2173</v>
      </c>
      <c r="O503" t="s">
        <v>658</v>
      </c>
      <c r="AA503" t="str">
        <f>A91 &amp; " .notnull() , " &amp;A91 &amp; " / 10 , 0"</f>
        <v>ExAnte_LifeCycleGross_NoRR_thm .notnull() , ExAnte_LifeCycleGross_NoRR_thm / 10 , 0</v>
      </c>
      <c r="AG503" t="b">
        <f t="shared" si="66"/>
        <v>1</v>
      </c>
      <c r="AH503" t="b">
        <f t="shared" si="64"/>
        <v>0</v>
      </c>
      <c r="AL503">
        <v>24</v>
      </c>
    </row>
    <row r="504" spans="1:38">
      <c r="A504" t="s">
        <v>2174</v>
      </c>
      <c r="O504" t="s">
        <v>658</v>
      </c>
      <c r="R504" t="str">
        <f>A502 &amp; " + " &amp; A503</f>
        <v>ExAnte_Lifecycle_Gross_kwh_mmbtu + ExAnte_Lifecycle_Gross_thm_mmbtu</v>
      </c>
      <c r="AG504" t="b">
        <f t="shared" si="66"/>
        <v>1</v>
      </c>
      <c r="AH504" t="b">
        <f t="shared" si="64"/>
        <v>1</v>
      </c>
      <c r="AI504" t="s">
        <v>2214</v>
      </c>
      <c r="AL504">
        <v>24</v>
      </c>
    </row>
    <row r="505" spans="1:38">
      <c r="A505" t="s">
        <v>2175</v>
      </c>
      <c r="AA505" t="str">
        <f>A93 &amp; " .notnull() , " &amp; A93 &amp; " * .003412 , 0"</f>
        <v>ExAnte_LifeCycleNet_NoRR_kWh .notnull() , ExAnte_LifeCycleNet_NoRR_kWh * .003412 , 0</v>
      </c>
      <c r="AG505" t="b">
        <f t="shared" si="66"/>
        <v>1</v>
      </c>
      <c r="AH505" t="b">
        <f t="shared" si="64"/>
        <v>0</v>
      </c>
      <c r="AL505">
        <v>24</v>
      </c>
    </row>
    <row r="506" spans="1:38">
      <c r="A506" t="s">
        <v>2176</v>
      </c>
      <c r="AA506" t="str">
        <f>A94 &amp; " .notnull() , " &amp;A94 &amp; " / 10 , 0"</f>
        <v>ExAnte_LifeCycleNet_NoRR_thm .notnull() , ExAnte_LifeCycleNet_NoRR_thm / 10 , 0</v>
      </c>
      <c r="AG506" t="b">
        <f t="shared" si="66"/>
        <v>1</v>
      </c>
      <c r="AH506" t="b">
        <f t="shared" ref="AH506:AH550" si="67">AND(ISNUMBER(SEARCH("kw",_xlfn.CONCAT(Q506:AF506))), ISNUMBER(SEARCH("thm",_xlfn.CONCAT(Q506:AF506))))</f>
        <v>0</v>
      </c>
      <c r="AL506">
        <v>24</v>
      </c>
    </row>
    <row r="507" spans="1:38">
      <c r="A507" t="s">
        <v>2177</v>
      </c>
      <c r="R507" t="str">
        <f>A505 &amp; " + " &amp; A506</f>
        <v>ExAnte_Lifecycle_Net_kwh_mmbtu + ExAnte_Lifecycle_Net_thm_mmbtu</v>
      </c>
      <c r="AG507" t="b">
        <f t="shared" si="66"/>
        <v>1</v>
      </c>
      <c r="AH507" t="b">
        <f t="shared" si="67"/>
        <v>1</v>
      </c>
      <c r="AI507" t="s">
        <v>2214</v>
      </c>
      <c r="AL507">
        <v>24</v>
      </c>
    </row>
    <row r="508" spans="1:38">
      <c r="A508" t="str">
        <f>E508</f>
        <v>InstallDeadline</v>
      </c>
      <c r="E508" t="s">
        <v>233</v>
      </c>
      <c r="O508" t="s">
        <v>658</v>
      </c>
      <c r="AG508" t="b">
        <f t="shared" ref="AG508:AG550" si="68">IF(NOT(ISBLANK(A508)), LEN(_xlfn.CONCAT(C508:AE508))&gt;0, "")</f>
        <v>1</v>
      </c>
      <c r="AH508" t="b">
        <f t="shared" si="67"/>
        <v>0</v>
      </c>
    </row>
    <row r="509" spans="1:38">
      <c r="A509" t="str">
        <f t="shared" ref="A509:A536" si="69">E509</f>
        <v>InstallDeadline_MV</v>
      </c>
      <c r="E509" t="s">
        <v>234</v>
      </c>
      <c r="O509" t="s">
        <v>658</v>
      </c>
      <c r="AG509" t="b">
        <f t="shared" si="68"/>
        <v>1</v>
      </c>
      <c r="AH509" t="b">
        <f t="shared" si="67"/>
        <v>0</v>
      </c>
    </row>
    <row r="510" spans="1:38">
      <c r="A510" t="str">
        <f t="shared" si="69"/>
        <v>EquipOrderCheck</v>
      </c>
      <c r="E510" t="s">
        <v>235</v>
      </c>
      <c r="O510" t="s">
        <v>658</v>
      </c>
      <c r="AG510" t="b">
        <f t="shared" si="68"/>
        <v>1</v>
      </c>
      <c r="AH510" t="b">
        <f t="shared" si="67"/>
        <v>0</v>
      </c>
    </row>
    <row r="511" spans="1:38">
      <c r="A511" t="str">
        <f t="shared" si="69"/>
        <v>InstallationTimeLimit</v>
      </c>
      <c r="E511" t="s">
        <v>236</v>
      </c>
      <c r="O511" t="s">
        <v>658</v>
      </c>
      <c r="AG511" t="b">
        <f t="shared" si="68"/>
        <v>1</v>
      </c>
      <c r="AH511" t="b">
        <f t="shared" si="67"/>
        <v>0</v>
      </c>
    </row>
    <row r="512" spans="1:38">
      <c r="A512" t="str">
        <f t="shared" si="69"/>
        <v>PaymentDateCheck</v>
      </c>
      <c r="E512" t="s">
        <v>237</v>
      </c>
      <c r="O512" t="s">
        <v>658</v>
      </c>
      <c r="AG512" t="b">
        <f t="shared" si="68"/>
        <v>1</v>
      </c>
      <c r="AH512" t="b">
        <f t="shared" si="67"/>
        <v>0</v>
      </c>
    </row>
    <row r="513" spans="1:34">
      <c r="A513" t="str">
        <f t="shared" si="69"/>
        <v>PartialClaimCheck</v>
      </c>
      <c r="E513" t="s">
        <v>238</v>
      </c>
      <c r="O513" t="s">
        <v>658</v>
      </c>
      <c r="AG513" t="b">
        <f t="shared" si="68"/>
        <v>1</v>
      </c>
      <c r="AH513" t="b">
        <f t="shared" si="67"/>
        <v>0</v>
      </c>
    </row>
    <row r="514" spans="1:34">
      <c r="A514" t="str">
        <f t="shared" si="69"/>
        <v>PartialClaimDesc</v>
      </c>
      <c r="E514" t="s">
        <v>239</v>
      </c>
      <c r="O514" t="s">
        <v>658</v>
      </c>
      <c r="AG514" t="b">
        <f t="shared" si="68"/>
        <v>1</v>
      </c>
      <c r="AH514" t="b">
        <f t="shared" si="67"/>
        <v>0</v>
      </c>
    </row>
    <row r="515" spans="1:34">
      <c r="A515" t="str">
        <f t="shared" si="69"/>
        <v>FuelSubTest</v>
      </c>
      <c r="E515" t="s">
        <v>240</v>
      </c>
      <c r="O515" t="s">
        <v>658</v>
      </c>
      <c r="AG515" t="b">
        <f t="shared" si="68"/>
        <v>1</v>
      </c>
      <c r="AH515" t="b">
        <f t="shared" si="67"/>
        <v>0</v>
      </c>
    </row>
    <row r="516" spans="1:34">
      <c r="A516" t="str">
        <f t="shared" si="69"/>
        <v>CogenImpact</v>
      </c>
      <c r="E516" t="s">
        <v>241</v>
      </c>
      <c r="O516" t="s">
        <v>658</v>
      </c>
      <c r="AG516" t="b">
        <f t="shared" si="68"/>
        <v>1</v>
      </c>
      <c r="AH516" t="b">
        <f t="shared" si="67"/>
        <v>0</v>
      </c>
    </row>
    <row r="517" spans="1:34">
      <c r="A517" t="str">
        <f t="shared" si="69"/>
        <v>LikeforLike</v>
      </c>
      <c r="E517" t="s">
        <v>242</v>
      </c>
      <c r="O517" t="s">
        <v>658</v>
      </c>
      <c r="AG517" t="b">
        <f t="shared" si="68"/>
        <v>1</v>
      </c>
      <c r="AH517" t="b">
        <f t="shared" si="67"/>
        <v>0</v>
      </c>
    </row>
    <row r="518" spans="1:34">
      <c r="A518" t="str">
        <f t="shared" si="69"/>
        <v>PermitsObtained</v>
      </c>
      <c r="E518" t="s">
        <v>243</v>
      </c>
      <c r="O518" t="s">
        <v>658</v>
      </c>
      <c r="AG518" t="b">
        <f t="shared" si="68"/>
        <v>1</v>
      </c>
      <c r="AH518" t="b">
        <f t="shared" si="67"/>
        <v>0</v>
      </c>
    </row>
    <row r="519" spans="1:34">
      <c r="A519" t="str">
        <f t="shared" si="69"/>
        <v>IneligibleMeasure</v>
      </c>
      <c r="E519" t="s">
        <v>64</v>
      </c>
      <c r="O519" t="s">
        <v>658</v>
      </c>
      <c r="AG519" t="b">
        <f t="shared" si="68"/>
        <v>1</v>
      </c>
      <c r="AH519" t="b">
        <f t="shared" si="67"/>
        <v>0</v>
      </c>
    </row>
    <row r="520" spans="1:34">
      <c r="A520" t="str">
        <f t="shared" si="69"/>
        <v>ExistingEquipRemoved</v>
      </c>
      <c r="E520" t="s">
        <v>244</v>
      </c>
      <c r="O520" t="s">
        <v>658</v>
      </c>
      <c r="AG520" t="b">
        <f t="shared" si="68"/>
        <v>1</v>
      </c>
      <c r="AH520" t="b">
        <f t="shared" si="67"/>
        <v>0</v>
      </c>
    </row>
    <row r="521" spans="1:34">
      <c r="A521" t="str">
        <f t="shared" si="69"/>
        <v>SBDcheck1</v>
      </c>
      <c r="E521" t="s">
        <v>246</v>
      </c>
      <c r="O521" t="s">
        <v>658</v>
      </c>
      <c r="AG521" t="b">
        <f t="shared" si="68"/>
        <v>1</v>
      </c>
      <c r="AH521" t="b">
        <f t="shared" si="67"/>
        <v>0</v>
      </c>
    </row>
    <row r="522" spans="1:34">
      <c r="A522" t="str">
        <f t="shared" si="69"/>
        <v>SBDcheck2</v>
      </c>
      <c r="E522" t="s">
        <v>247</v>
      </c>
      <c r="O522" t="s">
        <v>658</v>
      </c>
      <c r="AG522" t="b">
        <f t="shared" si="68"/>
        <v>1</v>
      </c>
      <c r="AH522" t="b">
        <f t="shared" si="67"/>
        <v>0</v>
      </c>
    </row>
    <row r="523" spans="1:34">
      <c r="A523" t="str">
        <f t="shared" si="69"/>
        <v>DecisionProcess</v>
      </c>
      <c r="E523" t="s">
        <v>248</v>
      </c>
      <c r="O523" t="s">
        <v>658</v>
      </c>
      <c r="AG523" t="b">
        <f t="shared" si="68"/>
        <v>1</v>
      </c>
      <c r="AH523" t="b">
        <f t="shared" si="67"/>
        <v>0</v>
      </c>
    </row>
    <row r="524" spans="1:34">
      <c r="A524" t="str">
        <f t="shared" si="69"/>
        <v>ProjectInitiated</v>
      </c>
      <c r="E524" t="s">
        <v>249</v>
      </c>
      <c r="O524" t="s">
        <v>658</v>
      </c>
      <c r="AG524" t="b">
        <f t="shared" si="68"/>
        <v>1</v>
      </c>
      <c r="AH524" t="b">
        <f t="shared" si="67"/>
        <v>0</v>
      </c>
    </row>
    <row r="525" spans="1:34">
      <c r="A525" t="str">
        <f t="shared" si="69"/>
        <v>MeasuresIdentifiedDesc</v>
      </c>
      <c r="E525" t="s">
        <v>250</v>
      </c>
      <c r="O525" t="s">
        <v>658</v>
      </c>
      <c r="AG525" t="b">
        <f t="shared" si="68"/>
        <v>1</v>
      </c>
      <c r="AH525" t="b">
        <f t="shared" si="67"/>
        <v>0</v>
      </c>
    </row>
    <row r="526" spans="1:34">
      <c r="A526" t="str">
        <f t="shared" si="69"/>
        <v>AlternativeOptions</v>
      </c>
      <c r="E526" t="s">
        <v>251</v>
      </c>
      <c r="O526" t="s">
        <v>658</v>
      </c>
      <c r="AG526" t="b">
        <f t="shared" si="68"/>
        <v>1</v>
      </c>
      <c r="AH526" t="b">
        <f t="shared" si="67"/>
        <v>0</v>
      </c>
    </row>
    <row r="527" spans="1:34">
      <c r="A527" t="str">
        <f t="shared" si="69"/>
        <v>SavingsProvided</v>
      </c>
      <c r="E527" t="s">
        <v>252</v>
      </c>
      <c r="O527" t="s">
        <v>658</v>
      </c>
      <c r="AG527" t="b">
        <f t="shared" si="68"/>
        <v>1</v>
      </c>
      <c r="AH527" t="b">
        <f t="shared" si="67"/>
        <v>0</v>
      </c>
    </row>
    <row r="528" spans="1:34">
      <c r="A528" t="str">
        <f t="shared" si="69"/>
        <v>NonEnergyBenefits</v>
      </c>
      <c r="E528" t="s">
        <v>253</v>
      </c>
      <c r="O528" t="s">
        <v>658</v>
      </c>
      <c r="AG528" t="b">
        <f t="shared" si="68"/>
        <v>1</v>
      </c>
      <c r="AH528" t="b">
        <f t="shared" si="67"/>
        <v>0</v>
      </c>
    </row>
    <row r="529" spans="1:34">
      <c r="A529" t="str">
        <f t="shared" si="69"/>
        <v>ProgramInfulence</v>
      </c>
      <c r="E529" t="s">
        <v>254</v>
      </c>
      <c r="O529" t="s">
        <v>658</v>
      </c>
      <c r="AG529" t="b">
        <f t="shared" si="68"/>
        <v>1</v>
      </c>
      <c r="AH529" t="b">
        <f t="shared" si="67"/>
        <v>0</v>
      </c>
    </row>
    <row r="530" spans="1:34">
      <c r="A530" t="str">
        <f t="shared" si="69"/>
        <v>PaybackCriteria</v>
      </c>
      <c r="E530" t="s">
        <v>255</v>
      </c>
      <c r="O530" t="s">
        <v>658</v>
      </c>
      <c r="AG530" t="b">
        <f t="shared" si="68"/>
        <v>1</v>
      </c>
      <c r="AH530" t="b">
        <f t="shared" si="67"/>
        <v>0</v>
      </c>
    </row>
    <row r="531" spans="1:34">
      <c r="A531" t="str">
        <f t="shared" si="69"/>
        <v>CorporatePolicies</v>
      </c>
      <c r="E531" t="s">
        <v>256</v>
      </c>
      <c r="O531" t="s">
        <v>658</v>
      </c>
      <c r="AG531" t="b">
        <f t="shared" si="68"/>
        <v>1</v>
      </c>
      <c r="AH531" t="b">
        <f t="shared" si="67"/>
        <v>0</v>
      </c>
    </row>
    <row r="532" spans="1:34">
      <c r="A532" t="str">
        <f t="shared" si="69"/>
        <v>OtherInfluencesDesc</v>
      </c>
      <c r="E532" t="s">
        <v>257</v>
      </c>
      <c r="O532" t="s">
        <v>658</v>
      </c>
      <c r="AG532" t="b">
        <f t="shared" si="68"/>
        <v>1</v>
      </c>
      <c r="AH532" t="b">
        <f t="shared" si="67"/>
        <v>0</v>
      </c>
    </row>
    <row r="533" spans="1:34">
      <c r="A533" t="str">
        <f t="shared" si="69"/>
        <v>FinalEligibilityDecision</v>
      </c>
      <c r="E533" t="s">
        <v>258</v>
      </c>
      <c r="O533" t="s">
        <v>658</v>
      </c>
      <c r="AG533" t="b">
        <f t="shared" si="68"/>
        <v>1</v>
      </c>
      <c r="AH533" t="b">
        <f t="shared" si="67"/>
        <v>0</v>
      </c>
    </row>
    <row r="534" spans="1:34">
      <c r="A534" t="str">
        <f t="shared" si="69"/>
        <v>FinalEvalDecision</v>
      </c>
      <c r="E534" t="s">
        <v>259</v>
      </c>
      <c r="O534" t="s">
        <v>658</v>
      </c>
      <c r="AG534" t="b">
        <f t="shared" si="68"/>
        <v>1</v>
      </c>
      <c r="AH534" t="b">
        <f t="shared" si="67"/>
        <v>0</v>
      </c>
    </row>
    <row r="535" spans="1:34">
      <c r="A535" t="str">
        <f t="shared" si="69"/>
        <v>EligibilityComments_Prelim</v>
      </c>
      <c r="E535" t="s">
        <v>260</v>
      </c>
      <c r="O535" t="s">
        <v>658</v>
      </c>
      <c r="AG535" t="b">
        <f t="shared" si="68"/>
        <v>1</v>
      </c>
      <c r="AH535" t="b">
        <f t="shared" si="67"/>
        <v>0</v>
      </c>
    </row>
    <row r="536" spans="1:34">
      <c r="A536" t="str">
        <f t="shared" si="69"/>
        <v>EligibilityComments</v>
      </c>
      <c r="E536" t="s">
        <v>261</v>
      </c>
      <c r="O536" t="s">
        <v>658</v>
      </c>
      <c r="AG536" t="b">
        <f t="shared" si="68"/>
        <v>1</v>
      </c>
      <c r="AH536" t="b">
        <f t="shared" si="67"/>
        <v>0</v>
      </c>
    </row>
    <row r="537" spans="1:34">
      <c r="A537" t="str">
        <f>E537</f>
        <v>HardToReach</v>
      </c>
      <c r="E537" t="s">
        <v>297</v>
      </c>
      <c r="O537" t="s">
        <v>658</v>
      </c>
      <c r="AG537" t="b">
        <f t="shared" si="68"/>
        <v>1</v>
      </c>
      <c r="AH537" t="b">
        <f t="shared" si="67"/>
        <v>0</v>
      </c>
    </row>
    <row r="538" spans="1:34">
      <c r="A538" t="s">
        <v>1660</v>
      </c>
      <c r="O538" t="s">
        <v>658</v>
      </c>
      <c r="S538" t="str">
        <f t="shared" ref="S538:T540" si="70">S541</f>
        <v>domain</v>
      </c>
      <c r="T538" t="str">
        <f t="shared" si="70"/>
        <v>np.logical_and( sampled_kWh =='Y',  ProjectDropped ==False )</v>
      </c>
      <c r="U538" t="str">
        <f>A364 &amp; " , " &amp; A89</f>
        <v>EvalExPostLifeCycleGrosskW , ExAnte_LifeCycleGross_NoRR_kW</v>
      </c>
      <c r="V538" t="s">
        <v>625</v>
      </c>
      <c r="W538" t="s">
        <v>627</v>
      </c>
      <c r="AG538" t="b">
        <f t="shared" si="68"/>
        <v>1</v>
      </c>
      <c r="AH538" t="b">
        <f t="shared" si="67"/>
        <v>0</v>
      </c>
    </row>
    <row r="539" spans="1:34">
      <c r="A539" t="s">
        <v>1661</v>
      </c>
      <c r="O539" t="s">
        <v>658</v>
      </c>
      <c r="S539" t="str">
        <f t="shared" si="70"/>
        <v>domain</v>
      </c>
      <c r="T539" t="str">
        <f t="shared" si="70"/>
        <v>np.logical_and( sampled_kWh =='Y',  ProjectDropped ==False )</v>
      </c>
      <c r="U539" t="str">
        <f>A365 &amp; " , " &amp; A90</f>
        <v>EvalExPostLifeCycleGrosskWh , ExAnte_LifeCycleGross_NoRR_kWh</v>
      </c>
      <c r="V539" t="s">
        <v>625</v>
      </c>
      <c r="W539" t="s">
        <v>627</v>
      </c>
      <c r="AG539" t="b">
        <f t="shared" si="68"/>
        <v>1</v>
      </c>
      <c r="AH539" t="b">
        <f t="shared" si="67"/>
        <v>0</v>
      </c>
    </row>
    <row r="540" spans="1:34">
      <c r="A540" t="s">
        <v>1662</v>
      </c>
      <c r="O540" t="s">
        <v>658</v>
      </c>
      <c r="S540" t="str">
        <f t="shared" si="70"/>
        <v>domain</v>
      </c>
      <c r="T540" t="str">
        <f t="shared" si="70"/>
        <v>np.logical_and( sampled_thm =='Y',  ProjectDropped ==False )</v>
      </c>
      <c r="U540" t="str">
        <f>A366 &amp; " , " &amp; A91</f>
        <v>EvalExPostLifeCycleGrossTherm , ExAnte_LifeCycleGross_NoRR_thm</v>
      </c>
      <c r="V540" t="s">
        <v>625</v>
      </c>
      <c r="W540" t="s">
        <v>627</v>
      </c>
      <c r="AG540" t="b">
        <f t="shared" si="68"/>
        <v>1</v>
      </c>
      <c r="AH540" t="b">
        <f t="shared" si="67"/>
        <v>0</v>
      </c>
    </row>
    <row r="541" spans="1:34">
      <c r="A541" t="s">
        <v>1663</v>
      </c>
      <c r="O541" t="s">
        <v>658</v>
      </c>
      <c r="S541" t="str">
        <f>$A$177</f>
        <v>domain</v>
      </c>
      <c r="T541" t="str">
        <f>"np.logical_and( " &amp; A180 &amp; " =='Y',  " &amp; $A$195 &amp; " ==False )"</f>
        <v>np.logical_and( sampled_kWh =='Y',  ProjectDropped ==False )</v>
      </c>
      <c r="U541" t="str">
        <f>A361 &amp; " , " &amp; A95</f>
        <v>EvalExPostAnnualizedGrosskW , ExAnte_Annualized_NoRR_kW</v>
      </c>
      <c r="V541" t="s">
        <v>625</v>
      </c>
      <c r="W541" t="s">
        <v>627</v>
      </c>
      <c r="AG541" t="b">
        <f t="shared" si="68"/>
        <v>1</v>
      </c>
      <c r="AH541" t="b">
        <f t="shared" si="67"/>
        <v>0</v>
      </c>
    </row>
    <row r="542" spans="1:34">
      <c r="A542" t="s">
        <v>1664</v>
      </c>
      <c r="O542" t="s">
        <v>658</v>
      </c>
      <c r="S542" t="str">
        <f>$A$177</f>
        <v>domain</v>
      </c>
      <c r="T542" t="str">
        <f>T541</f>
        <v>np.logical_and( sampled_kWh =='Y',  ProjectDropped ==False )</v>
      </c>
      <c r="U542" t="str">
        <f>A362 &amp; " , " &amp; A96</f>
        <v>EvalExPostAnnualizedGrosskWh , ExAnte_Annualized_NoRR_kWh</v>
      </c>
      <c r="V542" t="s">
        <v>625</v>
      </c>
      <c r="W542" t="s">
        <v>627</v>
      </c>
      <c r="AG542" t="b">
        <f t="shared" si="68"/>
        <v>1</v>
      </c>
      <c r="AH542" t="b">
        <f t="shared" si="67"/>
        <v>0</v>
      </c>
    </row>
    <row r="543" spans="1:34">
      <c r="A543" t="s">
        <v>1665</v>
      </c>
      <c r="O543" t="s">
        <v>658</v>
      </c>
      <c r="S543" t="str">
        <f>$A$177</f>
        <v>domain</v>
      </c>
      <c r="T543" t="str">
        <f>"np.logical_and( " &amp; A181 &amp; " =='Y',  " &amp; $A$195 &amp; " ==False )"</f>
        <v>np.logical_and( sampled_thm =='Y',  ProjectDropped ==False )</v>
      </c>
      <c r="U543" t="str">
        <f>A363 &amp; " , " &amp; A97</f>
        <v>EvalExPostAnnualizedGrossTherm , ExAnte_Annualized_NoRR_thm</v>
      </c>
      <c r="V543" t="s">
        <v>625</v>
      </c>
      <c r="W543" t="s">
        <v>627</v>
      </c>
      <c r="AG543" t="b">
        <f t="shared" si="68"/>
        <v>1</v>
      </c>
      <c r="AH543" t="b">
        <f t="shared" si="67"/>
        <v>0</v>
      </c>
    </row>
    <row r="544" spans="1:34">
      <c r="A544" t="s">
        <v>1891</v>
      </c>
      <c r="O544" t="s">
        <v>658</v>
      </c>
      <c r="AA544" t="str">
        <f>A125 &amp; " =='ER', ( " &amp; A90 &amp;  " ), 0"</f>
        <v>MeasAppType =='ER', ( ExAnte_LifeCycleGross_NoRR_kWh ), 0</v>
      </c>
      <c r="AG544" t="b">
        <f t="shared" si="68"/>
        <v>1</v>
      </c>
      <c r="AH544" t="b">
        <f t="shared" si="67"/>
        <v>0</v>
      </c>
    </row>
    <row r="545" spans="1:34">
      <c r="A545" t="s">
        <v>1892</v>
      </c>
      <c r="O545" t="s">
        <v>658</v>
      </c>
      <c r="AA545" t="str">
        <f>$A$217 &amp; " =='AR', ( " &amp; A90 &amp;  " ), 0"</f>
        <v>EvalMeasAppType =='AR', ( ExAnte_LifeCycleGross_NoRR_kWh ), 0</v>
      </c>
      <c r="AG545" t="b">
        <f t="shared" si="68"/>
        <v>1</v>
      </c>
      <c r="AH545" t="b">
        <f t="shared" si="67"/>
        <v>0</v>
      </c>
    </row>
    <row r="546" spans="1:34">
      <c r="A546" t="s">
        <v>1940</v>
      </c>
      <c r="O546" t="s">
        <v>658</v>
      </c>
      <c r="R546" t="str">
        <f>A365 &amp; " * " &amp; A254</f>
        <v>EvalExPostLifeCycleGrosskWh * domain_weight_kwh</v>
      </c>
      <c r="AG546" t="b">
        <f t="shared" si="68"/>
        <v>1</v>
      </c>
      <c r="AH546" t="b">
        <f t="shared" si="67"/>
        <v>0</v>
      </c>
    </row>
    <row r="547" spans="1:34">
      <c r="A547" t="s">
        <v>1941</v>
      </c>
      <c r="O547" t="s">
        <v>658</v>
      </c>
      <c r="R547" t="str">
        <f>A366 &amp; " * " &amp; A255</f>
        <v>EvalExPostLifeCycleGrossTherm * domain_weight_thm</v>
      </c>
      <c r="AG547" t="b">
        <f t="shared" si="68"/>
        <v>1</v>
      </c>
      <c r="AH547" t="b">
        <f t="shared" si="67"/>
        <v>0</v>
      </c>
    </row>
    <row r="548" spans="1:34">
      <c r="A548" t="s">
        <v>1942</v>
      </c>
      <c r="R548" t="str">
        <f>A414 &amp; " * " &amp; A254</f>
        <v>EvalExPostLifeCycleNetkWh * domain_weight_kwh</v>
      </c>
      <c r="AG548" t="b">
        <f t="shared" si="68"/>
        <v>1</v>
      </c>
      <c r="AH548" t="b">
        <f t="shared" si="67"/>
        <v>0</v>
      </c>
    </row>
    <row r="549" spans="1:34">
      <c r="A549" t="s">
        <v>1943</v>
      </c>
      <c r="R549" t="str">
        <f>A415 &amp; " * " &amp; A255</f>
        <v>EvalExPostLifeCycleNetTherm * domain_weight_thm</v>
      </c>
      <c r="AG549" t="b">
        <f t="shared" si="68"/>
        <v>1</v>
      </c>
      <c r="AH549" t="b">
        <f t="shared" si="67"/>
        <v>0</v>
      </c>
    </row>
    <row r="550" spans="1:34">
      <c r="A550" t="s">
        <v>2094</v>
      </c>
      <c r="O550" t="s">
        <v>658</v>
      </c>
      <c r="AG550" t="b">
        <f t="shared" si="68"/>
        <v>1</v>
      </c>
      <c r="AH550" t="b">
        <f t="shared" si="67"/>
        <v>0</v>
      </c>
    </row>
    <row r="551" spans="1:34">
      <c r="A551" t="s">
        <v>2465</v>
      </c>
      <c r="AA551" t="str">
        <f>$A$217 &amp; " =='AR', ( " &amp; A331 &amp; " ), np.nan"</f>
        <v>EvalMeasAppType =='AR', ( ss_ExPostLifecycleNetkW ), np.nan</v>
      </c>
      <c r="AG551" t="b">
        <f t="shared" ref="AG551:AG560" si="71">IF(NOT(ISBLANK(A551)), LEN(_xlfn.CONCAT(C551:AE551))&gt;0, "")</f>
        <v>1</v>
      </c>
      <c r="AH551" t="b">
        <f t="shared" ref="AH551:AH560" si="72">AND(ISNUMBER(SEARCH("kw",_xlfn.CONCAT(Q551:AF551))), ISNUMBER(SEARCH("thm",_xlfn.CONCAT(Q551:AF551))))</f>
        <v>0</v>
      </c>
    </row>
    <row r="552" spans="1:34">
      <c r="A552" t="s">
        <v>2466</v>
      </c>
      <c r="AA552" t="str">
        <f>$A$217 &amp; " =='AR', ( " &amp; A332 &amp; " ), np.nan"</f>
        <v>EvalMeasAppType =='AR', ( ss_ExPostLifecycleNetkWh ), np.nan</v>
      </c>
      <c r="AG552" t="b">
        <f t="shared" si="71"/>
        <v>1</v>
      </c>
      <c r="AH552" t="b">
        <f t="shared" si="72"/>
        <v>0</v>
      </c>
    </row>
    <row r="553" spans="1:34">
      <c r="A553" t="s">
        <v>2467</v>
      </c>
      <c r="AA553" t="str">
        <f>$A$217 &amp; " =='AR', ( " &amp; A333 &amp; " ), np.nan"</f>
        <v>EvalMeasAppType =='AR', ( ss_ExPostLifecycleNetthm ), np.nan</v>
      </c>
      <c r="AG553" t="b">
        <f t="shared" si="71"/>
        <v>1</v>
      </c>
      <c r="AH553" t="b">
        <f t="shared" si="72"/>
        <v>0</v>
      </c>
    </row>
    <row r="554" spans="1:34">
      <c r="A554" t="s">
        <v>2468</v>
      </c>
      <c r="R554" t="str">
        <f>A551 &amp; " * " &amp; $A$267</f>
        <v>ss_AR_ExPost_LifeCycleNet_NoRR_kw * subsample_weight_kwh</v>
      </c>
      <c r="AG554" t="b">
        <f t="shared" si="71"/>
        <v>1</v>
      </c>
      <c r="AH554" t="b">
        <f t="shared" si="72"/>
        <v>0</v>
      </c>
    </row>
    <row r="555" spans="1:34">
      <c r="A555" t="s">
        <v>2469</v>
      </c>
      <c r="R555" t="str">
        <f>A552 &amp; " * " &amp; $A$267</f>
        <v>ss_AR_ExPost_LifeCycleNet_NoRR_kwh * subsample_weight_kwh</v>
      </c>
      <c r="AG555" t="b">
        <f t="shared" si="71"/>
        <v>1</v>
      </c>
      <c r="AH555" t="b">
        <f t="shared" si="72"/>
        <v>0</v>
      </c>
    </row>
    <row r="556" spans="1:34">
      <c r="A556" t="s">
        <v>2470</v>
      </c>
      <c r="R556" t="str">
        <f>A553 &amp; " * " &amp; $A$268</f>
        <v>ss_AR_ExPost_LifeCycleNet_NoRR_thm * subsample_weight_thm</v>
      </c>
      <c r="AG556" t="b">
        <f t="shared" si="71"/>
        <v>1</v>
      </c>
      <c r="AH556" t="b">
        <f t="shared" si="72"/>
        <v>0</v>
      </c>
    </row>
    <row r="557" spans="1:34">
      <c r="A557" t="s">
        <v>2471</v>
      </c>
      <c r="S557" t="str">
        <f>$A$187</f>
        <v>SampleID</v>
      </c>
      <c r="T557" t="str">
        <f>"( " &amp; $A$180 &amp; " =='Y' ) &amp; ( " &amp; $A$195 &amp; " ==False ) &amp; ( " &amp; $A$3 &amp; " ==True )"</f>
        <v>( sampled_kWh =='Y' ) &amp; ( ProjectDropped ==False ) &amp; ( Frame_Electric ==True )</v>
      </c>
      <c r="U557" t="str">
        <f>A554</f>
        <v>str_wtd_AR_ExPost_LifeCycleNet_NoRR_kw</v>
      </c>
      <c r="V557" t="s">
        <v>629</v>
      </c>
      <c r="AG557" t="b">
        <f t="shared" si="71"/>
        <v>1</v>
      </c>
      <c r="AH557" t="b">
        <f t="shared" si="72"/>
        <v>0</v>
      </c>
    </row>
    <row r="558" spans="1:34">
      <c r="A558" t="s">
        <v>2472</v>
      </c>
      <c r="S558" t="str">
        <f>$A$187</f>
        <v>SampleID</v>
      </c>
      <c r="T558" t="str">
        <f>"( " &amp; $A$180 &amp; " =='Y' ) &amp; ( " &amp; $A$195 &amp; " ==False ) &amp; ( " &amp; $A$3 &amp; " ==True )"</f>
        <v>( sampled_kWh =='Y' ) &amp; ( ProjectDropped ==False ) &amp; ( Frame_Electric ==True )</v>
      </c>
      <c r="U558" t="str">
        <f>A555</f>
        <v>str_wtd_AR_ExPost_LifeCycleNet_NoRR_kwh</v>
      </c>
      <c r="V558" t="s">
        <v>629</v>
      </c>
      <c r="AG558" t="b">
        <f t="shared" si="71"/>
        <v>1</v>
      </c>
      <c r="AH558" t="b">
        <f t="shared" si="72"/>
        <v>0</v>
      </c>
    </row>
    <row r="559" spans="1:34">
      <c r="A559" t="s">
        <v>2473</v>
      </c>
      <c r="S559" t="str">
        <f>$A$187</f>
        <v>SampleID</v>
      </c>
      <c r="T559" t="str">
        <f>"( " &amp; $A$181 &amp; " =='Y' ) &amp; ( " &amp; $A$195 &amp; " ==False ) &amp; ( " &amp; $A$4 &amp; " ==True )"</f>
        <v>( sampled_thm =='Y' ) &amp; ( ProjectDropped ==False ) &amp; ( Frame_Gas ==True )</v>
      </c>
      <c r="U559" t="str">
        <f>A556</f>
        <v>str_wtd_AR_ExPost_LifeCycleNet_NoRR_thm</v>
      </c>
      <c r="V559" t="s">
        <v>629</v>
      </c>
      <c r="AG559" t="b">
        <f t="shared" si="71"/>
        <v>1</v>
      </c>
      <c r="AH559" t="b">
        <f t="shared" si="72"/>
        <v>0</v>
      </c>
    </row>
    <row r="560" spans="1:34">
      <c r="A560" t="s">
        <v>2462</v>
      </c>
      <c r="AA560" t="str">
        <f>A557 &amp; " ==0, np.nan, ( " &amp; A557 &amp; " )"</f>
        <v>Proj_AR_ExPost_LifeCycleNet_NoRR_kw_raw ==0, np.nan, ( Proj_AR_ExPost_LifeCycleNet_NoRR_kw_raw )</v>
      </c>
      <c r="AG560" t="b">
        <f t="shared" si="71"/>
        <v>1</v>
      </c>
      <c r="AH560" t="b">
        <f t="shared" si="72"/>
        <v>0</v>
      </c>
    </row>
    <row r="561" spans="1:34">
      <c r="A561" t="s">
        <v>2464</v>
      </c>
      <c r="AA561" t="str">
        <f>A558 &amp; " ==0, np.nan, ( " &amp; A558 &amp; " )"</f>
        <v>Proj_AR_ExPost_LifeCycleNet_NoRR_kwh_raw ==0, np.nan, ( Proj_AR_ExPost_LifeCycleNet_NoRR_kwh_raw )</v>
      </c>
      <c r="AG561" t="b">
        <f t="shared" ref="AG561:AG598" si="73">IF(NOT(ISBLANK(A561)), LEN(_xlfn.CONCAT(C561:AE561))&gt;0, "")</f>
        <v>1</v>
      </c>
      <c r="AH561" t="b">
        <f t="shared" ref="AH561:AH598" si="74">AND(ISNUMBER(SEARCH("kw",_xlfn.CONCAT(Q561:AF561))), ISNUMBER(SEARCH("thm",_xlfn.CONCAT(Q561:AF561))))</f>
        <v>0</v>
      </c>
    </row>
    <row r="562" spans="1:34">
      <c r="A562" t="s">
        <v>2463</v>
      </c>
      <c r="AA562" t="str">
        <f>A559 &amp; " ==0, np.nan, ( " &amp; A559 &amp; " )"</f>
        <v>Proj_AR_ExPost_LifeCycleNet_NoRR_thm_raw ==0, np.nan, ( Proj_AR_ExPost_LifeCycleNet_NoRR_thm_raw )</v>
      </c>
      <c r="AG562" t="b">
        <f t="shared" si="73"/>
        <v>1</v>
      </c>
      <c r="AH562" t="b">
        <f t="shared" si="74"/>
        <v>0</v>
      </c>
    </row>
    <row r="563" spans="1:34">
      <c r="AG563" t="str">
        <f t="shared" si="73"/>
        <v/>
      </c>
      <c r="AH563" t="b">
        <f t="shared" si="74"/>
        <v>0</v>
      </c>
    </row>
    <row r="564" spans="1:34">
      <c r="AG564" t="str">
        <f t="shared" si="73"/>
        <v/>
      </c>
      <c r="AH564" t="b">
        <f t="shared" si="74"/>
        <v>0</v>
      </c>
    </row>
    <row r="565" spans="1:34">
      <c r="AG565" t="str">
        <f t="shared" si="73"/>
        <v/>
      </c>
      <c r="AH565" t="b">
        <f t="shared" si="74"/>
        <v>0</v>
      </c>
    </row>
    <row r="566" spans="1:34">
      <c r="AG566" t="str">
        <f t="shared" si="73"/>
        <v/>
      </c>
      <c r="AH566" t="b">
        <f t="shared" si="74"/>
        <v>0</v>
      </c>
    </row>
    <row r="567" spans="1:34">
      <c r="AG567" t="str">
        <f t="shared" si="73"/>
        <v/>
      </c>
      <c r="AH567" t="b">
        <f t="shared" si="74"/>
        <v>0</v>
      </c>
    </row>
    <row r="568" spans="1:34">
      <c r="AG568" t="str">
        <f t="shared" si="73"/>
        <v/>
      </c>
      <c r="AH568" t="b">
        <f t="shared" si="74"/>
        <v>0</v>
      </c>
    </row>
    <row r="569" spans="1:34">
      <c r="AG569" t="str">
        <f t="shared" si="73"/>
        <v/>
      </c>
      <c r="AH569" t="b">
        <f t="shared" si="74"/>
        <v>0</v>
      </c>
    </row>
    <row r="570" spans="1:34">
      <c r="AG570" t="str">
        <f t="shared" si="73"/>
        <v/>
      </c>
      <c r="AH570" t="b">
        <f t="shared" si="74"/>
        <v>0</v>
      </c>
    </row>
    <row r="571" spans="1:34">
      <c r="AG571" t="str">
        <f t="shared" si="73"/>
        <v/>
      </c>
      <c r="AH571" t="b">
        <f t="shared" si="74"/>
        <v>0</v>
      </c>
    </row>
    <row r="572" spans="1:34">
      <c r="AG572" t="str">
        <f t="shared" si="73"/>
        <v/>
      </c>
      <c r="AH572" t="b">
        <f t="shared" si="74"/>
        <v>0</v>
      </c>
    </row>
    <row r="573" spans="1:34">
      <c r="AG573" t="str">
        <f t="shared" si="73"/>
        <v/>
      </c>
      <c r="AH573" t="b">
        <f t="shared" si="74"/>
        <v>0</v>
      </c>
    </row>
    <row r="574" spans="1:34">
      <c r="AG574" t="str">
        <f t="shared" si="73"/>
        <v/>
      </c>
      <c r="AH574" t="b">
        <f t="shared" si="74"/>
        <v>0</v>
      </c>
    </row>
    <row r="575" spans="1:34">
      <c r="AG575" t="str">
        <f t="shared" si="73"/>
        <v/>
      </c>
      <c r="AH575" t="b">
        <f t="shared" si="74"/>
        <v>0</v>
      </c>
    </row>
    <row r="576" spans="1:34">
      <c r="AG576" t="str">
        <f t="shared" si="73"/>
        <v/>
      </c>
      <c r="AH576" t="b">
        <f t="shared" si="74"/>
        <v>0</v>
      </c>
    </row>
    <row r="577" spans="33:34">
      <c r="AG577" t="str">
        <f t="shared" si="73"/>
        <v/>
      </c>
      <c r="AH577" t="b">
        <f t="shared" si="74"/>
        <v>0</v>
      </c>
    </row>
    <row r="578" spans="33:34">
      <c r="AG578" t="str">
        <f t="shared" si="73"/>
        <v/>
      </c>
      <c r="AH578" t="b">
        <f t="shared" si="74"/>
        <v>0</v>
      </c>
    </row>
    <row r="579" spans="33:34">
      <c r="AG579" t="str">
        <f t="shared" si="73"/>
        <v/>
      </c>
      <c r="AH579" t="b">
        <f t="shared" si="74"/>
        <v>0</v>
      </c>
    </row>
    <row r="580" spans="33:34">
      <c r="AG580" t="str">
        <f t="shared" si="73"/>
        <v/>
      </c>
      <c r="AH580" t="b">
        <f t="shared" si="74"/>
        <v>0</v>
      </c>
    </row>
    <row r="581" spans="33:34">
      <c r="AG581" t="str">
        <f t="shared" si="73"/>
        <v/>
      </c>
      <c r="AH581" t="b">
        <f t="shared" si="74"/>
        <v>0</v>
      </c>
    </row>
    <row r="582" spans="33:34">
      <c r="AG582" t="str">
        <f t="shared" si="73"/>
        <v/>
      </c>
      <c r="AH582" t="b">
        <f t="shared" si="74"/>
        <v>0</v>
      </c>
    </row>
    <row r="583" spans="33:34">
      <c r="AG583" t="str">
        <f t="shared" si="73"/>
        <v/>
      </c>
      <c r="AH583" t="b">
        <f t="shared" si="74"/>
        <v>0</v>
      </c>
    </row>
    <row r="584" spans="33:34">
      <c r="AG584" t="str">
        <f t="shared" si="73"/>
        <v/>
      </c>
      <c r="AH584" t="b">
        <f t="shared" si="74"/>
        <v>0</v>
      </c>
    </row>
    <row r="585" spans="33:34">
      <c r="AG585" t="str">
        <f t="shared" si="73"/>
        <v/>
      </c>
      <c r="AH585" t="b">
        <f t="shared" si="74"/>
        <v>0</v>
      </c>
    </row>
    <row r="586" spans="33:34">
      <c r="AG586" t="str">
        <f t="shared" si="73"/>
        <v/>
      </c>
      <c r="AH586" t="b">
        <f t="shared" si="74"/>
        <v>0</v>
      </c>
    </row>
    <row r="587" spans="33:34">
      <c r="AG587" t="str">
        <f t="shared" si="73"/>
        <v/>
      </c>
      <c r="AH587" t="b">
        <f t="shared" si="74"/>
        <v>0</v>
      </c>
    </row>
    <row r="588" spans="33:34">
      <c r="AG588" t="str">
        <f t="shared" si="73"/>
        <v/>
      </c>
      <c r="AH588" t="b">
        <f t="shared" si="74"/>
        <v>0</v>
      </c>
    </row>
    <row r="589" spans="33:34">
      <c r="AG589" t="str">
        <f t="shared" si="73"/>
        <v/>
      </c>
      <c r="AH589" t="b">
        <f t="shared" si="74"/>
        <v>0</v>
      </c>
    </row>
    <row r="590" spans="33:34">
      <c r="AG590" t="str">
        <f t="shared" si="73"/>
        <v/>
      </c>
      <c r="AH590" t="b">
        <f t="shared" si="74"/>
        <v>0</v>
      </c>
    </row>
    <row r="591" spans="33:34">
      <c r="AG591" t="str">
        <f t="shared" si="73"/>
        <v/>
      </c>
      <c r="AH591" t="b">
        <f t="shared" si="74"/>
        <v>0</v>
      </c>
    </row>
    <row r="592" spans="33:34">
      <c r="AG592" t="str">
        <f t="shared" si="73"/>
        <v/>
      </c>
      <c r="AH592" t="b">
        <f t="shared" si="74"/>
        <v>0</v>
      </c>
    </row>
    <row r="593" spans="33:34">
      <c r="AG593" t="str">
        <f t="shared" si="73"/>
        <v/>
      </c>
      <c r="AH593" t="b">
        <f t="shared" si="74"/>
        <v>0</v>
      </c>
    </row>
    <row r="594" spans="33:34">
      <c r="AG594" t="str">
        <f t="shared" si="73"/>
        <v/>
      </c>
      <c r="AH594" t="b">
        <f t="shared" si="74"/>
        <v>0</v>
      </c>
    </row>
    <row r="595" spans="33:34">
      <c r="AG595" t="str">
        <f t="shared" si="73"/>
        <v/>
      </c>
      <c r="AH595" t="b">
        <f t="shared" si="74"/>
        <v>0</v>
      </c>
    </row>
    <row r="596" spans="33:34">
      <c r="AG596" t="str">
        <f t="shared" si="73"/>
        <v/>
      </c>
      <c r="AH596" t="b">
        <f t="shared" si="74"/>
        <v>0</v>
      </c>
    </row>
    <row r="597" spans="33:34">
      <c r="AG597" t="str">
        <f t="shared" si="73"/>
        <v/>
      </c>
      <c r="AH597" t="b">
        <f t="shared" si="74"/>
        <v>0</v>
      </c>
    </row>
    <row r="598" spans="33:34">
      <c r="AG598" t="str">
        <f t="shared" si="73"/>
        <v/>
      </c>
      <c r="AH598" t="b">
        <f t="shared" si="74"/>
        <v>0</v>
      </c>
    </row>
  </sheetData>
  <autoFilter ref="A1:AL598" xr:uid="{66000173-5E05-41E4-B642-52C15CDAAA70}"/>
  <conditionalFormatting sqref="H2">
    <cfRule type="duplicateValues" dxfId="138" priority="136"/>
  </conditionalFormatting>
  <conditionalFormatting sqref="A560:A1048576 A1:A2">
    <cfRule type="duplicateValues" dxfId="137" priority="137"/>
  </conditionalFormatting>
  <conditionalFormatting sqref="A343:A357 A253:A292 A446:A553 A305:A327 A1:A246 A390:A395 A398:A421 A361:A387 A560:A1048576">
    <cfRule type="expression" dxfId="136" priority="135">
      <formula>NOT(AG1)</formula>
    </cfRule>
  </conditionalFormatting>
  <conditionalFormatting sqref="F560:F1048576 F2">
    <cfRule type="duplicateValues" dxfId="135" priority="138"/>
  </conditionalFormatting>
  <conditionalFormatting sqref="D560:D1048576 D2">
    <cfRule type="duplicateValues" dxfId="134" priority="139"/>
  </conditionalFormatting>
  <conditionalFormatting sqref="E560:E1048576 E2">
    <cfRule type="duplicateValues" dxfId="133" priority="140"/>
  </conditionalFormatting>
  <conditionalFormatting sqref="G560:H1048576 G2">
    <cfRule type="duplicateValues" dxfId="132" priority="147"/>
  </conditionalFormatting>
  <conditionalFormatting sqref="AH446:AH1048576 AH1:AH387 AH390:AH395 AH398:AH421">
    <cfRule type="cellIs" dxfId="131" priority="132" operator="equal">
      <formula>TRUE</formula>
    </cfRule>
  </conditionalFormatting>
  <conditionalFormatting sqref="C2">
    <cfRule type="duplicateValues" dxfId="130" priority="155"/>
  </conditionalFormatting>
  <conditionalFormatting sqref="A560:A1048576 A1:A2">
    <cfRule type="duplicateValues" dxfId="129" priority="156"/>
  </conditionalFormatting>
  <conditionalFormatting sqref="A250:A252">
    <cfRule type="expression" dxfId="128" priority="61">
      <formula>NOT(AG250)</formula>
    </cfRule>
  </conditionalFormatting>
  <conditionalFormatting sqref="D328:D345">
    <cfRule type="duplicateValues" dxfId="127" priority="84"/>
  </conditionalFormatting>
  <conditionalFormatting sqref="E328:E345">
    <cfRule type="duplicateValues" dxfId="126" priority="85"/>
  </conditionalFormatting>
  <conditionalFormatting sqref="F328:F345">
    <cfRule type="duplicateValues" dxfId="125" priority="86"/>
  </conditionalFormatting>
  <conditionalFormatting sqref="G328:H345">
    <cfRule type="duplicateValues" dxfId="124" priority="87"/>
  </conditionalFormatting>
  <conditionalFormatting sqref="C328:C345">
    <cfRule type="duplicateValues" dxfId="123" priority="88"/>
  </conditionalFormatting>
  <conditionalFormatting sqref="D229">
    <cfRule type="duplicateValues" dxfId="122" priority="89"/>
  </conditionalFormatting>
  <conditionalFormatting sqref="A472">
    <cfRule type="expression" dxfId="121" priority="77">
      <formula>NOT(AG479)</formula>
    </cfRule>
  </conditionalFormatting>
  <conditionalFormatting sqref="A475">
    <cfRule type="expression" dxfId="120" priority="78">
      <formula>NOT(AG480)</formula>
    </cfRule>
  </conditionalFormatting>
  <conditionalFormatting sqref="A456:A473">
    <cfRule type="expression" dxfId="119" priority="91">
      <formula>NOT(#REF!)</formula>
    </cfRule>
  </conditionalFormatting>
  <conditionalFormatting sqref="A474">
    <cfRule type="expression" dxfId="118" priority="92">
      <formula>NOT(AG479)</formula>
    </cfRule>
  </conditionalFormatting>
  <conditionalFormatting sqref="A450:A451 A460:A461 A470">
    <cfRule type="expression" dxfId="117" priority="93">
      <formula>NOT(#REF!)</formula>
    </cfRule>
  </conditionalFormatting>
  <conditionalFormatting sqref="A452:A453 A462:A463">
    <cfRule type="expression" dxfId="116" priority="94">
      <formula>NOT(#REF!)</formula>
    </cfRule>
  </conditionalFormatting>
  <conditionalFormatting sqref="A454:A455 A464:A465">
    <cfRule type="expression" dxfId="115" priority="95">
      <formula>NOT(#REF!)</formula>
    </cfRule>
  </conditionalFormatting>
  <conditionalFormatting sqref="A471">
    <cfRule type="expression" dxfId="114" priority="96">
      <formula>NOT(AG479)</formula>
    </cfRule>
  </conditionalFormatting>
  <conditionalFormatting sqref="A476:A479">
    <cfRule type="expression" dxfId="113" priority="75">
      <formula>NOT(AG480)</formula>
    </cfRule>
  </conditionalFormatting>
  <conditionalFormatting sqref="A296:A303 A331:A342">
    <cfRule type="expression" dxfId="112" priority="97">
      <formula>NOT(AG293)</formula>
    </cfRule>
  </conditionalFormatting>
  <conditionalFormatting sqref="A247:A249">
    <cfRule type="expression" dxfId="111" priority="68">
      <formula>NOT(AG247)</formula>
    </cfRule>
  </conditionalFormatting>
  <conditionalFormatting sqref="F247:F249">
    <cfRule type="duplicateValues" dxfId="110" priority="69"/>
  </conditionalFormatting>
  <conditionalFormatting sqref="D247:D249">
    <cfRule type="duplicateValues" dxfId="109" priority="70"/>
  </conditionalFormatting>
  <conditionalFormatting sqref="E247:E249">
    <cfRule type="duplicateValues" dxfId="108" priority="71"/>
  </conditionalFormatting>
  <conditionalFormatting sqref="G247:G249">
    <cfRule type="duplicateValues" dxfId="107" priority="72"/>
  </conditionalFormatting>
  <conditionalFormatting sqref="A247:A249">
    <cfRule type="duplicateValues" dxfId="106" priority="73"/>
  </conditionalFormatting>
  <conditionalFormatting sqref="C247:C249">
    <cfRule type="duplicateValues" dxfId="105" priority="74"/>
  </conditionalFormatting>
  <conditionalFormatting sqref="F250:F252">
    <cfRule type="duplicateValues" dxfId="104" priority="62"/>
  </conditionalFormatting>
  <conditionalFormatting sqref="D250:D252">
    <cfRule type="duplicateValues" dxfId="103" priority="63"/>
  </conditionalFormatting>
  <conditionalFormatting sqref="E250:E252">
    <cfRule type="duplicateValues" dxfId="102" priority="64"/>
  </conditionalFormatting>
  <conditionalFormatting sqref="G250:G252">
    <cfRule type="duplicateValues" dxfId="101" priority="65"/>
  </conditionalFormatting>
  <conditionalFormatting sqref="A250:A252">
    <cfRule type="duplicateValues" dxfId="100" priority="66"/>
  </conditionalFormatting>
  <conditionalFormatting sqref="C250:C252">
    <cfRule type="duplicateValues" dxfId="99" priority="67"/>
  </conditionalFormatting>
  <conditionalFormatting sqref="A304">
    <cfRule type="expression" dxfId="98" priority="100">
      <formula>NOT(AG296)</formula>
    </cfRule>
  </conditionalFormatting>
  <conditionalFormatting sqref="F1">
    <cfRule type="duplicateValues" dxfId="97" priority="57"/>
  </conditionalFormatting>
  <conditionalFormatting sqref="D1">
    <cfRule type="duplicateValues" dxfId="96" priority="58"/>
  </conditionalFormatting>
  <conditionalFormatting sqref="E1">
    <cfRule type="duplicateValues" dxfId="95" priority="59"/>
  </conditionalFormatting>
  <conditionalFormatting sqref="G1:M1">
    <cfRule type="duplicateValues" dxfId="94" priority="60"/>
  </conditionalFormatting>
  <conditionalFormatting sqref="A446:A553 A390:A395 A398:A421 A1:A387 A560:A1048576">
    <cfRule type="expression" dxfId="93" priority="56">
      <formula>NOT(ISBLANK(O1))</formula>
    </cfRule>
  </conditionalFormatting>
  <conditionalFormatting sqref="C346:C387 C253:C327 C446:C479 C3:C246 C390:C395 C398:C421">
    <cfRule type="duplicateValues" dxfId="92" priority="1055"/>
  </conditionalFormatting>
  <conditionalFormatting sqref="R563:AE615 R560:Z562 AB560:AE562 AM311:AM316 R293:Z298 AE293:AE298 R299:AE310 R446:AE559 R2:AE292 S311:AE313 S314:Z316 AB314:AE316 R317:AE385 R386:S387 U386:AE387 R390:AE395 R398:AE421">
    <cfRule type="expression" dxfId="91" priority="54">
      <formula>NOT(ISBLANK($M2))</formula>
    </cfRule>
  </conditionalFormatting>
  <conditionalFormatting sqref="E492:E559 E346:E387 E253:E327 E3:E246 E446:E478 E390:E395 E398:E421">
    <cfRule type="duplicateValues" dxfId="90" priority="1592"/>
  </conditionalFormatting>
  <conditionalFormatting sqref="G491:H559 G346:H387 G50:H213 G237:H238 G293:H327 G216:H222 G273:H274 G214:G215 I214:M215 I275:M292 G239:G246 G224:G236 G3:G4 G6:G49 G275:G292 H489:H490 G253:G272 G446:H488 G5:H5 G390:H395 G398:H421">
    <cfRule type="duplicateValues" dxfId="89" priority="1599"/>
  </conditionalFormatting>
  <conditionalFormatting sqref="F413:F421 F346:F387 F311:F327 F253:F303 F446:F559 F3:F246 F390:F395 F398:F406">
    <cfRule type="duplicateValues" dxfId="88" priority="1615"/>
  </conditionalFormatting>
  <conditionalFormatting sqref="A331:A357 A253:A292 A446:A553 A296:A327 A3:A246 A390:A395 A398:A421 A361:A387">
    <cfRule type="duplicateValues" dxfId="87" priority="1620"/>
  </conditionalFormatting>
  <conditionalFormatting sqref="D346:D387 D253:D327 D50:D228 D230:D246 D446:D559 D5 D390:D395 D398:D421">
    <cfRule type="duplicateValues" dxfId="86" priority="1625"/>
  </conditionalFormatting>
  <conditionalFormatting sqref="A554:A559">
    <cfRule type="expression" dxfId="85" priority="47">
      <formula>NOT(AG554)</formula>
    </cfRule>
  </conditionalFormatting>
  <conditionalFormatting sqref="A554:A559">
    <cfRule type="expression" dxfId="84" priority="46">
      <formula>NOT(ISBLANK(O554))</formula>
    </cfRule>
  </conditionalFormatting>
  <conditionalFormatting sqref="A554:A559">
    <cfRule type="duplicateValues" dxfId="83" priority="48"/>
  </conditionalFormatting>
  <conditionalFormatting sqref="A554:A559">
    <cfRule type="duplicateValues" dxfId="82" priority="49"/>
  </conditionalFormatting>
  <conditionalFormatting sqref="A308">
    <cfRule type="expression" dxfId="81" priority="45">
      <formula>NOT(AG300)</formula>
    </cfRule>
  </conditionalFormatting>
  <conditionalFormatting sqref="A293:A295">
    <cfRule type="expression" dxfId="80" priority="43">
      <formula>NOT(AG290)</formula>
    </cfRule>
  </conditionalFormatting>
  <conditionalFormatting sqref="A293:A295">
    <cfRule type="duplicateValues" dxfId="79" priority="44"/>
  </conditionalFormatting>
  <conditionalFormatting sqref="AA293:AD298">
    <cfRule type="expression" dxfId="78" priority="42">
      <formula>NOT(ISBLANK($M293))</formula>
    </cfRule>
  </conditionalFormatting>
  <conditionalFormatting sqref="A293:A295">
    <cfRule type="expression" dxfId="77" priority="40">
      <formula>NOT(AG290)</formula>
    </cfRule>
  </conditionalFormatting>
  <conditionalFormatting sqref="A293:A295">
    <cfRule type="duplicateValues" dxfId="76" priority="41"/>
  </conditionalFormatting>
  <conditionalFormatting sqref="A443:A445 A422:A439">
    <cfRule type="expression" dxfId="75" priority="33">
      <formula>NOT(AG422)</formula>
    </cfRule>
  </conditionalFormatting>
  <conditionalFormatting sqref="H422:H439 H443:H445">
    <cfRule type="duplicateValues" dxfId="74" priority="34"/>
  </conditionalFormatting>
  <conditionalFormatting sqref="F422:F439 F443:F445">
    <cfRule type="duplicateValues" dxfId="73" priority="35"/>
  </conditionalFormatting>
  <conditionalFormatting sqref="G422:G439 G443:G445">
    <cfRule type="duplicateValues" dxfId="72" priority="36"/>
  </conditionalFormatting>
  <conditionalFormatting sqref="I422:J439 I443:J445">
    <cfRule type="duplicateValues" dxfId="71" priority="37"/>
  </conditionalFormatting>
  <conditionalFormatting sqref="AH422:AH439 AH443:AH445">
    <cfRule type="cellIs" dxfId="70" priority="32" operator="equal">
      <formula>TRUE</formula>
    </cfRule>
  </conditionalFormatting>
  <conditionalFormatting sqref="E422:E439 E443:E445">
    <cfRule type="duplicateValues" dxfId="69" priority="38"/>
  </conditionalFormatting>
  <conditionalFormatting sqref="A443:A445 A422:A439">
    <cfRule type="duplicateValues" dxfId="68" priority="39"/>
  </conditionalFormatting>
  <conditionalFormatting sqref="A443:A445 A422:A439">
    <cfRule type="expression" dxfId="67" priority="31">
      <formula>NOT(ISBLANK(O422))</formula>
    </cfRule>
  </conditionalFormatting>
  <conditionalFormatting sqref="A473">
    <cfRule type="expression" dxfId="66" priority="1698">
      <formula>NOT(AG5)</formula>
    </cfRule>
  </conditionalFormatting>
  <conditionalFormatting sqref="A474">
    <cfRule type="expression" dxfId="65" priority="1700">
      <formula>NOT(AG5)</formula>
    </cfRule>
  </conditionalFormatting>
  <conditionalFormatting sqref="A475">
    <cfRule type="expression" dxfId="64" priority="1702">
      <formula>NOT(AG5)</formula>
    </cfRule>
  </conditionalFormatting>
  <conditionalFormatting sqref="A480:A553 A237:A238 A216:A217 A220:A222 A50:A88 A5 A125:A213">
    <cfRule type="duplicateValues" dxfId="63" priority="1715"/>
  </conditionalFormatting>
  <conditionalFormatting sqref="AA314:AA316">
    <cfRule type="expression" dxfId="62" priority="1767">
      <formula>NOT(ISBLANK($M315))</formula>
    </cfRule>
  </conditionalFormatting>
  <conditionalFormatting sqref="A388:A389">
    <cfRule type="expression" dxfId="61" priority="24">
      <formula>NOT(AG388)</formula>
    </cfRule>
  </conditionalFormatting>
  <conditionalFormatting sqref="AH388:AH389">
    <cfRule type="cellIs" dxfId="60" priority="23" operator="equal">
      <formula>TRUE</formula>
    </cfRule>
  </conditionalFormatting>
  <conditionalFormatting sqref="A388:A389">
    <cfRule type="expression" dxfId="59" priority="22">
      <formula>NOT(ISBLANK(O388))</formula>
    </cfRule>
  </conditionalFormatting>
  <conditionalFormatting sqref="C388:C389">
    <cfRule type="duplicateValues" dxfId="58" priority="25"/>
  </conditionalFormatting>
  <conditionalFormatting sqref="R388:AE389">
    <cfRule type="expression" dxfId="57" priority="21">
      <formula>NOT(ISBLANK($M388))</formula>
    </cfRule>
  </conditionalFormatting>
  <conditionalFormatting sqref="E388:E389">
    <cfRule type="duplicateValues" dxfId="56" priority="26"/>
  </conditionalFormatting>
  <conditionalFormatting sqref="G388:H389">
    <cfRule type="duplicateValues" dxfId="55" priority="27"/>
  </conditionalFormatting>
  <conditionalFormatting sqref="F388:F389">
    <cfRule type="duplicateValues" dxfId="54" priority="28"/>
  </conditionalFormatting>
  <conditionalFormatting sqref="A388:A389">
    <cfRule type="duplicateValues" dxfId="53" priority="29"/>
  </conditionalFormatting>
  <conditionalFormatting sqref="D388:D389">
    <cfRule type="duplicateValues" dxfId="52" priority="30"/>
  </conditionalFormatting>
  <conditionalFormatting sqref="A396:A397">
    <cfRule type="expression" dxfId="51" priority="14">
      <formula>NOT(AG396)</formula>
    </cfRule>
  </conditionalFormatting>
  <conditionalFormatting sqref="AH396:AH397">
    <cfRule type="cellIs" dxfId="50" priority="13" operator="equal">
      <formula>TRUE</formula>
    </cfRule>
  </conditionalFormatting>
  <conditionalFormatting sqref="A396:A397">
    <cfRule type="expression" dxfId="49" priority="12">
      <formula>NOT(ISBLANK(O396))</formula>
    </cfRule>
  </conditionalFormatting>
  <conditionalFormatting sqref="C396:C397">
    <cfRule type="duplicateValues" dxfId="48" priority="15"/>
  </conditionalFormatting>
  <conditionalFormatting sqref="R396:AE397">
    <cfRule type="expression" dxfId="47" priority="11">
      <formula>NOT(ISBLANK($M396))</formula>
    </cfRule>
  </conditionalFormatting>
  <conditionalFormatting sqref="E396:E397">
    <cfRule type="duplicateValues" dxfId="46" priority="16"/>
  </conditionalFormatting>
  <conditionalFormatting sqref="G396:H397">
    <cfRule type="duplicateValues" dxfId="45" priority="17"/>
  </conditionalFormatting>
  <conditionalFormatting sqref="F396:F397">
    <cfRule type="duplicateValues" dxfId="44" priority="18"/>
  </conditionalFormatting>
  <conditionalFormatting sqref="A396:A397">
    <cfRule type="duplicateValues" dxfId="43" priority="19"/>
  </conditionalFormatting>
  <conditionalFormatting sqref="D396:D397">
    <cfRule type="duplicateValues" dxfId="42" priority="20"/>
  </conditionalFormatting>
  <conditionalFormatting sqref="T386:T387">
    <cfRule type="expression" dxfId="41" priority="10">
      <formula>NOT(ISBLANK($M386))</formula>
    </cfRule>
  </conditionalFormatting>
  <conditionalFormatting sqref="A440:A442">
    <cfRule type="expression" dxfId="40" priority="3">
      <formula>NOT(AG440)</formula>
    </cfRule>
  </conditionalFormatting>
  <conditionalFormatting sqref="H440:H442">
    <cfRule type="duplicateValues" dxfId="39" priority="4"/>
  </conditionalFormatting>
  <conditionalFormatting sqref="F440:F442">
    <cfRule type="duplicateValues" dxfId="38" priority="5"/>
  </conditionalFormatting>
  <conditionalFormatting sqref="G440:G442">
    <cfRule type="duplicateValues" dxfId="37" priority="6"/>
  </conditionalFormatting>
  <conditionalFormatting sqref="I440:J442">
    <cfRule type="duplicateValues" dxfId="36" priority="7"/>
  </conditionalFormatting>
  <conditionalFormatting sqref="AH440:AH442">
    <cfRule type="cellIs" dxfId="35" priority="2" operator="equal">
      <formula>TRUE</formula>
    </cfRule>
  </conditionalFormatting>
  <conditionalFormatting sqref="E440:E442">
    <cfRule type="duplicateValues" dxfId="34" priority="8"/>
  </conditionalFormatting>
  <conditionalFormatting sqref="A440:A442">
    <cfRule type="duplicateValues" dxfId="33" priority="9"/>
  </conditionalFormatting>
  <conditionalFormatting sqref="A440:A442">
    <cfRule type="expression" dxfId="32" priority="1">
      <formula>NOT(ISBLANK(O440))</formula>
    </cfRule>
  </conditionalFormatting>
  <dataValidations disablePrompts="1" count="1">
    <dataValidation showInputMessage="1" showErrorMessage="1" sqref="C1" xr:uid="{A0DD14C7-4FEC-437D-A4FA-8F9BD3B254EF}"/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D82-7629-4340-8949-611E1F396CA7}">
  <sheetPr codeName="Sheet6"/>
  <dimension ref="A1:AE624"/>
  <sheetViews>
    <sheetView zoomScaleNormal="100" workbookViewId="0">
      <pane xSplit="1" ySplit="1" topLeftCell="E560" activePane="bottomRight" state="frozen"/>
      <selection pane="topRight" activeCell="B1" sqref="B1"/>
      <selection pane="bottomLeft" activeCell="A2" sqref="A2"/>
      <selection pane="bottomRight" activeCell="M558" sqref="M558"/>
    </sheetView>
  </sheetViews>
  <sheetFormatPr defaultColWidth="8.85546875" defaultRowHeight="15" outlineLevelCol="1"/>
  <cols>
    <col min="1" max="1" width="37.42578125" customWidth="1"/>
    <col min="2" max="2" width="21.140625" customWidth="1"/>
    <col min="3" max="3" width="22.140625" customWidth="1" outlineLevel="1"/>
    <col min="4" max="5" width="15" customWidth="1" outlineLevel="1"/>
    <col min="6" max="7" width="5.85546875" customWidth="1"/>
    <col min="8" max="8" width="7.28515625" customWidth="1"/>
    <col min="9" max="9" width="9.7109375" customWidth="1"/>
    <col min="10" max="10" width="38.7109375" customWidth="1"/>
    <col min="11" max="11" width="32.42578125" customWidth="1" outlineLevel="1"/>
    <col min="12" max="12" width="57.42578125" customWidth="1" outlineLevel="1"/>
    <col min="13" max="13" width="61.42578125" customWidth="1" outlineLevel="1"/>
    <col min="14" max="15" width="12.42578125" customWidth="1" outlineLevel="1"/>
    <col min="16" max="16" width="30.5703125" customWidth="1" outlineLevel="1"/>
    <col min="17" max="17" width="8.28515625" customWidth="1" outlineLevel="1"/>
    <col min="18" max="18" width="10.42578125" customWidth="1"/>
    <col min="19" max="19" width="54.7109375" customWidth="1"/>
    <col min="20" max="20" width="122.85546875" hidden="1" customWidth="1" outlineLevel="1"/>
    <col min="21" max="21" width="57.42578125" hidden="1" customWidth="1" outlineLevel="1"/>
    <col min="22" max="22" width="50.42578125" hidden="1" customWidth="1" outlineLevel="1"/>
    <col min="23" max="23" width="14.42578125" customWidth="1" collapsed="1"/>
    <col min="24" max="24" width="10.140625" customWidth="1"/>
    <col min="25" max="26" width="9.7109375" customWidth="1"/>
    <col min="27" max="27" width="29.7109375" customWidth="1"/>
    <col min="28" max="28" width="22.42578125" customWidth="1"/>
    <col min="29" max="29" width="31.42578125" customWidth="1"/>
  </cols>
  <sheetData>
    <row r="1" spans="1:30">
      <c r="A1" s="6" t="str">
        <f>"out_" &amp; SourceDef!A11</f>
        <v>out_ClaimPop</v>
      </c>
      <c r="B1" t="s">
        <v>1718</v>
      </c>
      <c r="C1" s="11" t="str">
        <f>"src_" &amp; SourceDef!A33</f>
        <v>src_gross_claim</v>
      </c>
      <c r="D1" s="11" t="str">
        <f>"src_" &amp; SourceDef!A34</f>
        <v>src_net_claim</v>
      </c>
      <c r="E1" s="11" t="str">
        <f>"src_" &amp; SourceDef!A20</f>
        <v>src_domainpop</v>
      </c>
      <c r="F1" s="6" t="s">
        <v>652</v>
      </c>
      <c r="G1" s="6" t="s">
        <v>657</v>
      </c>
      <c r="H1" t="s">
        <v>0</v>
      </c>
      <c r="I1" t="s">
        <v>616</v>
      </c>
      <c r="J1" t="s">
        <v>602</v>
      </c>
      <c r="K1" t="s">
        <v>610</v>
      </c>
      <c r="L1" t="s">
        <v>611</v>
      </c>
      <c r="M1" t="s">
        <v>612</v>
      </c>
      <c r="N1" t="s">
        <v>624</v>
      </c>
      <c r="O1" t="s">
        <v>628</v>
      </c>
      <c r="P1" t="s">
        <v>677</v>
      </c>
      <c r="Q1" t="s">
        <v>678</v>
      </c>
      <c r="R1" t="s">
        <v>613</v>
      </c>
      <c r="S1" t="s">
        <v>617</v>
      </c>
      <c r="T1" t="s">
        <v>1</v>
      </c>
      <c r="U1" t="s">
        <v>2</v>
      </c>
      <c r="V1" t="s">
        <v>3</v>
      </c>
      <c r="W1" t="s">
        <v>595</v>
      </c>
      <c r="X1" t="s">
        <v>4</v>
      </c>
      <c r="Y1" t="s">
        <v>5</v>
      </c>
      <c r="Z1" t="s">
        <v>720</v>
      </c>
      <c r="AA1" t="s">
        <v>6</v>
      </c>
      <c r="AB1" t="s">
        <v>7</v>
      </c>
      <c r="AC1" t="s">
        <v>8</v>
      </c>
      <c r="AD1" t="s">
        <v>2169</v>
      </c>
    </row>
    <row r="2" spans="1:30">
      <c r="A2" s="5" t="str">
        <f>IF(ISBLANK(C2), D2, C2)</f>
        <v>ClaimID</v>
      </c>
      <c r="B2" t="s">
        <v>1719</v>
      </c>
      <c r="C2" t="s">
        <v>9</v>
      </c>
      <c r="D2" t="s">
        <v>9</v>
      </c>
      <c r="Y2" t="b">
        <f t="shared" ref="Y2:Y65" si="0">IF(NOT(ISBLANK(A2)), LEN(_xlfn.CONCAT(C2:X2))&gt;0, "")</f>
        <v>1</v>
      </c>
      <c r="Z2" t="b">
        <f t="shared" ref="Z2:Z65" si="1">AND(ISNUMBER(SEARCH("kw",_xlfn.CONCAT(I2:X2))), ISNUMBER(SEARCH("thm",_xlfn.CONCAT(I2:X2))))</f>
        <v>0</v>
      </c>
    </row>
    <row r="3" spans="1:30">
      <c r="A3" s="5" t="str">
        <f t="shared" ref="A3:A66" si="2">IF(ISBLANK(C3), D3, C3)</f>
        <v>SiteID</v>
      </c>
      <c r="B3" t="s">
        <v>1719</v>
      </c>
      <c r="C3" t="s">
        <v>89</v>
      </c>
      <c r="Y3" t="b">
        <f t="shared" si="0"/>
        <v>1</v>
      </c>
      <c r="Z3" t="b">
        <f t="shared" si="1"/>
        <v>0</v>
      </c>
    </row>
    <row r="4" spans="1:30">
      <c r="A4" s="5" t="str">
        <f t="shared" si="2"/>
        <v>PrgID</v>
      </c>
      <c r="B4" t="s">
        <v>1719</v>
      </c>
      <c r="C4" t="s">
        <v>12</v>
      </c>
      <c r="Y4" t="b">
        <f t="shared" si="0"/>
        <v>1</v>
      </c>
      <c r="Z4" t="b">
        <f t="shared" si="1"/>
        <v>0</v>
      </c>
    </row>
    <row r="5" spans="1:30">
      <c r="A5" s="5" t="str">
        <f t="shared" si="2"/>
        <v>ImplementationPA</v>
      </c>
      <c r="B5" t="s">
        <v>1719</v>
      </c>
      <c r="C5" t="s">
        <v>90</v>
      </c>
      <c r="Y5" t="b">
        <f t="shared" si="0"/>
        <v>1</v>
      </c>
      <c r="Z5" t="b">
        <f t="shared" si="1"/>
        <v>0</v>
      </c>
    </row>
    <row r="6" spans="1:30">
      <c r="A6" s="5" t="str">
        <f t="shared" si="2"/>
        <v>ImplementationID</v>
      </c>
      <c r="B6" t="s">
        <v>1719</v>
      </c>
      <c r="C6" t="s">
        <v>91</v>
      </c>
      <c r="Y6" t="b">
        <f t="shared" si="0"/>
        <v>1</v>
      </c>
      <c r="Z6" t="b">
        <f t="shared" si="1"/>
        <v>0</v>
      </c>
    </row>
    <row r="7" spans="1:30">
      <c r="A7" s="5" t="str">
        <f t="shared" si="2"/>
        <v>BldgType</v>
      </c>
      <c r="B7" t="s">
        <v>1719</v>
      </c>
      <c r="C7" t="s">
        <v>92</v>
      </c>
      <c r="Y7" t="b">
        <f t="shared" si="0"/>
        <v>1</v>
      </c>
      <c r="Z7" t="b">
        <f t="shared" si="1"/>
        <v>0</v>
      </c>
    </row>
    <row r="8" spans="1:30">
      <c r="A8" s="5" t="str">
        <f t="shared" si="2"/>
        <v>BldgLoc</v>
      </c>
      <c r="B8" t="s">
        <v>1719</v>
      </c>
      <c r="C8" t="s">
        <v>93</v>
      </c>
      <c r="Y8" t="b">
        <f t="shared" si="0"/>
        <v>1</v>
      </c>
      <c r="Z8" t="b">
        <f t="shared" si="1"/>
        <v>0</v>
      </c>
    </row>
    <row r="9" spans="1:30">
      <c r="A9" s="5" t="str">
        <f t="shared" si="2"/>
        <v>BldgVint</v>
      </c>
      <c r="B9" t="s">
        <v>1719</v>
      </c>
      <c r="C9" t="s">
        <v>94</v>
      </c>
      <c r="Y9" t="b">
        <f t="shared" si="0"/>
        <v>1</v>
      </c>
      <c r="Z9" t="b">
        <f t="shared" si="1"/>
        <v>0</v>
      </c>
    </row>
    <row r="10" spans="1:30">
      <c r="A10" s="5" t="str">
        <f t="shared" si="2"/>
        <v>BldgHVAC</v>
      </c>
      <c r="B10" t="s">
        <v>1719</v>
      </c>
      <c r="C10" t="s">
        <v>95</v>
      </c>
      <c r="Y10" t="b">
        <f t="shared" si="0"/>
        <v>1</v>
      </c>
      <c r="Z10" t="b">
        <f t="shared" si="1"/>
        <v>0</v>
      </c>
    </row>
    <row r="11" spans="1:30">
      <c r="A11" s="5" t="str">
        <f t="shared" si="2"/>
        <v>NormUnit</v>
      </c>
      <c r="B11" t="s">
        <v>1719</v>
      </c>
      <c r="C11" t="s">
        <v>27</v>
      </c>
      <c r="Y11" t="b">
        <f t="shared" si="0"/>
        <v>1</v>
      </c>
      <c r="Z11" t="b">
        <f t="shared" si="1"/>
        <v>0</v>
      </c>
    </row>
    <row r="12" spans="1:30">
      <c r="A12" s="5" t="str">
        <f t="shared" si="2"/>
        <v>Sector</v>
      </c>
      <c r="B12" t="s">
        <v>1719</v>
      </c>
      <c r="C12" t="s">
        <v>96</v>
      </c>
      <c r="Y12" t="b">
        <f t="shared" si="0"/>
        <v>1</v>
      </c>
      <c r="Z12" t="b">
        <f t="shared" si="1"/>
        <v>0</v>
      </c>
    </row>
    <row r="13" spans="1:30">
      <c r="A13" s="5" t="str">
        <f t="shared" si="2"/>
        <v>DeliveryType</v>
      </c>
      <c r="B13" t="s">
        <v>1719</v>
      </c>
      <c r="C13" t="s">
        <v>17</v>
      </c>
      <c r="Y13" t="b">
        <f t="shared" si="0"/>
        <v>1</v>
      </c>
      <c r="Z13" t="b">
        <f t="shared" si="1"/>
        <v>0</v>
      </c>
    </row>
    <row r="14" spans="1:30">
      <c r="A14" s="5" t="str">
        <f t="shared" si="2"/>
        <v>PrgElement</v>
      </c>
      <c r="B14" t="s">
        <v>1719</v>
      </c>
      <c r="C14" t="s">
        <v>97</v>
      </c>
      <c r="Y14" t="b">
        <f t="shared" si="0"/>
        <v>1</v>
      </c>
      <c r="Z14" t="b">
        <f t="shared" si="1"/>
        <v>0</v>
      </c>
    </row>
    <row r="15" spans="1:30">
      <c r="A15" s="5" t="str">
        <f t="shared" si="2"/>
        <v>ProjectID</v>
      </c>
      <c r="B15" t="s">
        <v>1719</v>
      </c>
      <c r="C15" t="s">
        <v>98</v>
      </c>
      <c r="Y15" t="b">
        <f t="shared" si="0"/>
        <v>1</v>
      </c>
      <c r="Z15" t="b">
        <f t="shared" si="1"/>
        <v>0</v>
      </c>
    </row>
    <row r="16" spans="1:30">
      <c r="A16" s="5" t="str">
        <f t="shared" si="2"/>
        <v>ProjectDescription</v>
      </c>
      <c r="B16" t="s">
        <v>1719</v>
      </c>
      <c r="C16" t="s">
        <v>99</v>
      </c>
      <c r="Y16" t="b">
        <f t="shared" si="0"/>
        <v>1</v>
      </c>
      <c r="Z16" t="b">
        <f t="shared" si="1"/>
        <v>0</v>
      </c>
    </row>
    <row r="17" spans="1:26">
      <c r="A17" s="5" t="str">
        <f t="shared" si="2"/>
        <v>NAICSBldgType</v>
      </c>
      <c r="B17" t="s">
        <v>1719</v>
      </c>
      <c r="C17" t="s">
        <v>100</v>
      </c>
      <c r="Y17" t="b">
        <f t="shared" si="0"/>
        <v>1</v>
      </c>
      <c r="Z17" t="b">
        <f t="shared" si="1"/>
        <v>0</v>
      </c>
    </row>
    <row r="18" spans="1:26">
      <c r="A18" s="5" t="str">
        <f t="shared" si="2"/>
        <v>E3TargetSector</v>
      </c>
      <c r="B18" t="s">
        <v>1719</v>
      </c>
      <c r="C18" t="s">
        <v>101</v>
      </c>
      <c r="Y18" t="b">
        <f t="shared" si="0"/>
        <v>1</v>
      </c>
      <c r="Z18" t="b">
        <f t="shared" si="1"/>
        <v>0</v>
      </c>
    </row>
    <row r="19" spans="1:26">
      <c r="A19" s="5" t="str">
        <f t="shared" si="2"/>
        <v>E3MeaElecEndUseShape</v>
      </c>
      <c r="B19" t="s">
        <v>1719</v>
      </c>
      <c r="C19" t="s">
        <v>102</v>
      </c>
      <c r="Y19" t="b">
        <f t="shared" si="0"/>
        <v>1</v>
      </c>
      <c r="Z19" t="b">
        <f t="shared" si="1"/>
        <v>0</v>
      </c>
    </row>
    <row r="20" spans="1:26">
      <c r="A20" s="5" t="str">
        <f t="shared" si="2"/>
        <v>E3GasSector</v>
      </c>
      <c r="B20" t="s">
        <v>1719</v>
      </c>
      <c r="C20" t="s">
        <v>103</v>
      </c>
      <c r="Y20" t="b">
        <f t="shared" si="0"/>
        <v>1</v>
      </c>
      <c r="Z20" t="b">
        <f t="shared" si="1"/>
        <v>0</v>
      </c>
    </row>
    <row r="21" spans="1:26">
      <c r="A21" s="5" t="str">
        <f t="shared" si="2"/>
        <v>E3GasSavProfile</v>
      </c>
      <c r="B21" t="s">
        <v>1719</v>
      </c>
      <c r="C21" t="s">
        <v>104</v>
      </c>
      <c r="Y21" t="b">
        <f t="shared" si="0"/>
        <v>1</v>
      </c>
      <c r="Z21" t="b">
        <f t="shared" si="1"/>
        <v>0</v>
      </c>
    </row>
    <row r="22" spans="1:26">
      <c r="A22" s="5" t="str">
        <f t="shared" si="2"/>
        <v>E3ClimateZone</v>
      </c>
      <c r="B22" t="s">
        <v>1719</v>
      </c>
      <c r="C22" t="s">
        <v>105</v>
      </c>
      <c r="Y22" t="b">
        <f t="shared" si="0"/>
        <v>1</v>
      </c>
      <c r="Z22" t="b">
        <f t="shared" si="1"/>
        <v>0</v>
      </c>
    </row>
    <row r="23" spans="1:26">
      <c r="A23" s="5" t="str">
        <f t="shared" si="2"/>
        <v>NumUnits</v>
      </c>
      <c r="B23" t="s">
        <v>1719</v>
      </c>
      <c r="C23" t="s">
        <v>29</v>
      </c>
      <c r="Y23" t="b">
        <f t="shared" si="0"/>
        <v>1</v>
      </c>
      <c r="Z23" t="b">
        <f t="shared" si="1"/>
        <v>0</v>
      </c>
    </row>
    <row r="24" spans="1:26">
      <c r="A24" s="5" t="str">
        <f t="shared" si="2"/>
        <v>InstalledNumUnits</v>
      </c>
      <c r="B24" t="s">
        <v>1719</v>
      </c>
      <c r="C24" t="s">
        <v>106</v>
      </c>
      <c r="Y24" t="b">
        <f t="shared" si="0"/>
        <v>1</v>
      </c>
      <c r="Z24" t="b">
        <f t="shared" si="1"/>
        <v>0</v>
      </c>
    </row>
    <row r="25" spans="1:26">
      <c r="A25" s="5" t="str">
        <f t="shared" si="2"/>
        <v>InstalledNormUnit</v>
      </c>
      <c r="B25" t="s">
        <v>1719</v>
      </c>
      <c r="C25" t="s">
        <v>107</v>
      </c>
      <c r="Y25" t="b">
        <f t="shared" si="0"/>
        <v>1</v>
      </c>
      <c r="Z25" t="b">
        <f t="shared" si="1"/>
        <v>0</v>
      </c>
    </row>
    <row r="26" spans="1:26">
      <c r="A26" s="5" t="str">
        <f t="shared" si="2"/>
        <v>CombustionType</v>
      </c>
      <c r="B26" t="s">
        <v>1719</v>
      </c>
      <c r="C26" t="s">
        <v>108</v>
      </c>
      <c r="Y26" t="b">
        <f t="shared" si="0"/>
        <v>1</v>
      </c>
      <c r="Z26" t="b">
        <f t="shared" si="1"/>
        <v>0</v>
      </c>
    </row>
    <row r="27" spans="1:26">
      <c r="A27" s="5" t="str">
        <f t="shared" si="2"/>
        <v>NTGRkW</v>
      </c>
      <c r="B27" t="s">
        <v>1719</v>
      </c>
      <c r="C27" t="s">
        <v>42</v>
      </c>
      <c r="Y27" t="b">
        <f t="shared" si="0"/>
        <v>1</v>
      </c>
      <c r="Z27" t="b">
        <f t="shared" si="1"/>
        <v>0</v>
      </c>
    </row>
    <row r="28" spans="1:26">
      <c r="A28" s="5" t="str">
        <f t="shared" si="2"/>
        <v>NTGRkWh</v>
      </c>
      <c r="B28" t="s">
        <v>1719</v>
      </c>
      <c r="C28" t="s">
        <v>43</v>
      </c>
      <c r="Y28" t="b">
        <f t="shared" si="0"/>
        <v>1</v>
      </c>
      <c r="Z28" t="b">
        <f t="shared" si="1"/>
        <v>0</v>
      </c>
    </row>
    <row r="29" spans="1:26">
      <c r="A29" s="5" t="str">
        <f t="shared" si="2"/>
        <v>NTGRTherm</v>
      </c>
      <c r="B29" t="s">
        <v>1719</v>
      </c>
      <c r="C29" t="s">
        <v>44</v>
      </c>
      <c r="Y29" t="b">
        <f t="shared" si="0"/>
        <v>1</v>
      </c>
      <c r="Z29" t="b">
        <f t="shared" si="1"/>
        <v>0</v>
      </c>
    </row>
    <row r="30" spans="1:26">
      <c r="A30" s="5" t="str">
        <f t="shared" si="2"/>
        <v>NTGRCost</v>
      </c>
      <c r="B30" t="s">
        <v>1719</v>
      </c>
      <c r="C30" t="s">
        <v>45</v>
      </c>
      <c r="Y30" t="b">
        <f t="shared" si="0"/>
        <v>1</v>
      </c>
      <c r="Z30" t="b">
        <f t="shared" si="1"/>
        <v>0</v>
      </c>
    </row>
    <row r="31" spans="1:26">
      <c r="A31" s="5" t="str">
        <f t="shared" si="2"/>
        <v>NTG_ID</v>
      </c>
      <c r="B31" t="s">
        <v>1719</v>
      </c>
      <c r="C31" t="s">
        <v>23</v>
      </c>
      <c r="Y31" t="b">
        <f t="shared" si="0"/>
        <v>1</v>
      </c>
      <c r="Z31" t="b">
        <f t="shared" si="1"/>
        <v>0</v>
      </c>
    </row>
    <row r="32" spans="1:26">
      <c r="A32" s="5" t="str">
        <f t="shared" si="2"/>
        <v>TotalFirstYearGrosskW</v>
      </c>
      <c r="B32" t="s">
        <v>1719</v>
      </c>
      <c r="C32" t="s">
        <v>109</v>
      </c>
      <c r="Y32" t="b">
        <f t="shared" si="0"/>
        <v>1</v>
      </c>
      <c r="Z32" t="b">
        <f t="shared" si="1"/>
        <v>0</v>
      </c>
    </row>
    <row r="33" spans="1:26">
      <c r="A33" s="5" t="str">
        <f t="shared" si="2"/>
        <v>TotalFirstYearGrosskWh</v>
      </c>
      <c r="B33" t="s">
        <v>1719</v>
      </c>
      <c r="C33" t="s">
        <v>110</v>
      </c>
      <c r="Y33" t="b">
        <f t="shared" si="0"/>
        <v>1</v>
      </c>
      <c r="Z33" t="b">
        <f t="shared" si="1"/>
        <v>0</v>
      </c>
    </row>
    <row r="34" spans="1:26">
      <c r="A34" s="5" t="str">
        <f t="shared" si="2"/>
        <v>TotalFirstYearGrossTherm</v>
      </c>
      <c r="B34" t="s">
        <v>1719</v>
      </c>
      <c r="C34" t="s">
        <v>111</v>
      </c>
      <c r="Y34" t="b">
        <f t="shared" si="0"/>
        <v>1</v>
      </c>
      <c r="Z34" t="b">
        <f t="shared" si="1"/>
        <v>0</v>
      </c>
    </row>
    <row r="35" spans="1:26">
      <c r="A35" s="5" t="str">
        <f t="shared" si="2"/>
        <v>TotalFirstYearNetkW</v>
      </c>
      <c r="B35" t="s">
        <v>1719</v>
      </c>
      <c r="C35" t="s">
        <v>112</v>
      </c>
      <c r="Y35" t="b">
        <f t="shared" si="0"/>
        <v>1</v>
      </c>
      <c r="Z35" t="b">
        <f t="shared" si="1"/>
        <v>0</v>
      </c>
    </row>
    <row r="36" spans="1:26">
      <c r="A36" s="5" t="str">
        <f t="shared" si="2"/>
        <v>TotalFirstYearNetkWh</v>
      </c>
      <c r="B36" t="s">
        <v>1719</v>
      </c>
      <c r="C36" t="s">
        <v>113</v>
      </c>
      <c r="Y36" t="b">
        <f t="shared" si="0"/>
        <v>1</v>
      </c>
      <c r="Z36" t="b">
        <f t="shared" si="1"/>
        <v>0</v>
      </c>
    </row>
    <row r="37" spans="1:26">
      <c r="A37" s="5" t="str">
        <f t="shared" si="2"/>
        <v>TotalFirstYearNetTherm</v>
      </c>
      <c r="B37" t="s">
        <v>1719</v>
      </c>
      <c r="C37" t="s">
        <v>114</v>
      </c>
      <c r="Y37" t="b">
        <f t="shared" si="0"/>
        <v>1</v>
      </c>
      <c r="Z37" t="b">
        <f t="shared" si="1"/>
        <v>0</v>
      </c>
    </row>
    <row r="38" spans="1:26">
      <c r="A38" s="5" t="str">
        <f t="shared" si="2"/>
        <v>TotalLifecycleGrosskW</v>
      </c>
      <c r="B38" t="s">
        <v>1719</v>
      </c>
      <c r="C38" t="s">
        <v>115</v>
      </c>
      <c r="Y38" t="b">
        <f t="shared" si="0"/>
        <v>1</v>
      </c>
      <c r="Z38" t="b">
        <f t="shared" si="1"/>
        <v>0</v>
      </c>
    </row>
    <row r="39" spans="1:26">
      <c r="A39" s="5" t="str">
        <f t="shared" si="2"/>
        <v>TotalLifecycleGrosskWh</v>
      </c>
      <c r="B39" t="s">
        <v>1719</v>
      </c>
      <c r="C39" t="s">
        <v>116</v>
      </c>
      <c r="Y39" t="b">
        <f t="shared" si="0"/>
        <v>1</v>
      </c>
      <c r="Z39" t="b">
        <f t="shared" si="1"/>
        <v>0</v>
      </c>
    </row>
    <row r="40" spans="1:26">
      <c r="A40" s="5" t="str">
        <f t="shared" si="2"/>
        <v>TotalLifecycleGrossTherm</v>
      </c>
      <c r="B40" t="s">
        <v>1719</v>
      </c>
      <c r="C40" t="s">
        <v>117</v>
      </c>
      <c r="Y40" t="b">
        <f t="shared" si="0"/>
        <v>1</v>
      </c>
      <c r="Z40" t="b">
        <f t="shared" si="1"/>
        <v>0</v>
      </c>
    </row>
    <row r="41" spans="1:26">
      <c r="A41" s="5" t="str">
        <f t="shared" si="2"/>
        <v>TotalLifecycleNetkW</v>
      </c>
      <c r="B41" t="s">
        <v>1719</v>
      </c>
      <c r="C41" t="s">
        <v>118</v>
      </c>
      <c r="Y41" t="b">
        <f t="shared" si="0"/>
        <v>1</v>
      </c>
      <c r="Z41" t="b">
        <f t="shared" si="1"/>
        <v>0</v>
      </c>
    </row>
    <row r="42" spans="1:26">
      <c r="A42" s="5" t="str">
        <f t="shared" si="2"/>
        <v>TotalLifecycleNetkWh</v>
      </c>
      <c r="B42" t="s">
        <v>1719</v>
      </c>
      <c r="C42" t="s">
        <v>119</v>
      </c>
      <c r="Y42" t="b">
        <f t="shared" si="0"/>
        <v>1</v>
      </c>
      <c r="Z42" t="b">
        <f t="shared" si="1"/>
        <v>0</v>
      </c>
    </row>
    <row r="43" spans="1:26">
      <c r="A43" s="5" t="str">
        <f t="shared" si="2"/>
        <v>TotalLifecycleNetTherm</v>
      </c>
      <c r="B43" t="s">
        <v>1719</v>
      </c>
      <c r="C43" t="s">
        <v>120</v>
      </c>
      <c r="Y43" t="b">
        <f t="shared" si="0"/>
        <v>1</v>
      </c>
      <c r="Z43" t="b">
        <f t="shared" si="1"/>
        <v>0</v>
      </c>
    </row>
    <row r="44" spans="1:26">
      <c r="A44" s="5" t="str">
        <f t="shared" si="2"/>
        <v>ExAnteFirstYearGrosskW</v>
      </c>
      <c r="B44" t="s">
        <v>1719</v>
      </c>
      <c r="C44" t="s">
        <v>48</v>
      </c>
      <c r="Y44" t="b">
        <f t="shared" si="0"/>
        <v>1</v>
      </c>
      <c r="Z44" t="b">
        <f t="shared" si="1"/>
        <v>0</v>
      </c>
    </row>
    <row r="45" spans="1:26">
      <c r="A45" s="5" t="str">
        <f t="shared" si="2"/>
        <v>ExAnteFirstYearGrosskWh</v>
      </c>
      <c r="B45" t="s">
        <v>1719</v>
      </c>
      <c r="C45" t="s">
        <v>49</v>
      </c>
      <c r="Y45" t="b">
        <f t="shared" si="0"/>
        <v>1</v>
      </c>
      <c r="Z45" t="b">
        <f t="shared" si="1"/>
        <v>0</v>
      </c>
    </row>
    <row r="46" spans="1:26">
      <c r="A46" s="5" t="str">
        <f t="shared" si="2"/>
        <v>ExAnteFirstYearGrossTherm</v>
      </c>
      <c r="B46" t="s">
        <v>1719</v>
      </c>
      <c r="C46" t="s">
        <v>50</v>
      </c>
      <c r="Y46" t="b">
        <f t="shared" si="0"/>
        <v>1</v>
      </c>
      <c r="Z46" t="b">
        <f t="shared" si="1"/>
        <v>0</v>
      </c>
    </row>
    <row r="47" spans="1:26">
      <c r="A47" s="5" t="str">
        <f t="shared" si="2"/>
        <v>ExAnteFirstYearNetkW</v>
      </c>
      <c r="B47" t="s">
        <v>1719</v>
      </c>
      <c r="C47" t="s">
        <v>51</v>
      </c>
      <c r="Y47" t="b">
        <f t="shared" si="0"/>
        <v>1</v>
      </c>
      <c r="Z47" t="b">
        <f t="shared" si="1"/>
        <v>0</v>
      </c>
    </row>
    <row r="48" spans="1:26">
      <c r="A48" s="5" t="str">
        <f t="shared" si="2"/>
        <v>ExAnteFirstYearNetkWh</v>
      </c>
      <c r="B48" t="s">
        <v>1719</v>
      </c>
      <c r="C48" t="s">
        <v>52</v>
      </c>
      <c r="Y48" t="b">
        <f t="shared" si="0"/>
        <v>1</v>
      </c>
      <c r="Z48" t="b">
        <f t="shared" si="1"/>
        <v>0</v>
      </c>
    </row>
    <row r="49" spans="1:26">
      <c r="A49" s="5" t="str">
        <f t="shared" si="2"/>
        <v>ExAnteFirstYearNetTherm</v>
      </c>
      <c r="B49" t="s">
        <v>1719</v>
      </c>
      <c r="C49" t="s">
        <v>53</v>
      </c>
      <c r="Y49" t="b">
        <f t="shared" si="0"/>
        <v>1</v>
      </c>
      <c r="Z49" t="b">
        <f t="shared" si="1"/>
        <v>0</v>
      </c>
    </row>
    <row r="50" spans="1:26">
      <c r="A50" s="5" t="str">
        <f t="shared" si="2"/>
        <v>ExAnteLifecycleGrosskW</v>
      </c>
      <c r="B50" t="s">
        <v>1719</v>
      </c>
      <c r="C50" t="s">
        <v>54</v>
      </c>
      <c r="Y50" t="b">
        <f t="shared" si="0"/>
        <v>1</v>
      </c>
      <c r="Z50" t="b">
        <f t="shared" si="1"/>
        <v>0</v>
      </c>
    </row>
    <row r="51" spans="1:26">
      <c r="A51" s="5" t="str">
        <f t="shared" si="2"/>
        <v>ExAnteLifecycleGrosskWh</v>
      </c>
      <c r="B51" t="s">
        <v>1719</v>
      </c>
      <c r="C51" t="s">
        <v>55</v>
      </c>
      <c r="Y51" t="b">
        <f t="shared" si="0"/>
        <v>1</v>
      </c>
      <c r="Z51" t="b">
        <f t="shared" si="1"/>
        <v>0</v>
      </c>
    </row>
    <row r="52" spans="1:26">
      <c r="A52" s="5" t="str">
        <f t="shared" si="2"/>
        <v>ExAnteLifecycleGrossTherm</v>
      </c>
      <c r="B52" t="s">
        <v>1719</v>
      </c>
      <c r="C52" t="s">
        <v>56</v>
      </c>
      <c r="Y52" t="b">
        <f t="shared" si="0"/>
        <v>1</v>
      </c>
      <c r="Z52" t="b">
        <f t="shared" si="1"/>
        <v>0</v>
      </c>
    </row>
    <row r="53" spans="1:26">
      <c r="A53" s="5" t="str">
        <f t="shared" si="2"/>
        <v>ExAnteLifecycleNetkW</v>
      </c>
      <c r="B53" t="s">
        <v>1719</v>
      </c>
      <c r="C53" t="s">
        <v>57</v>
      </c>
      <c r="Y53" t="b">
        <f t="shared" si="0"/>
        <v>1</v>
      </c>
      <c r="Z53" t="b">
        <f t="shared" si="1"/>
        <v>0</v>
      </c>
    </row>
    <row r="54" spans="1:26">
      <c r="A54" s="5" t="str">
        <f t="shared" si="2"/>
        <v>ExAnteLifecycleNetkWh</v>
      </c>
      <c r="B54" t="s">
        <v>1719</v>
      </c>
      <c r="C54" t="s">
        <v>58</v>
      </c>
      <c r="Y54" t="b">
        <f t="shared" si="0"/>
        <v>1</v>
      </c>
      <c r="Z54" t="b">
        <f t="shared" si="1"/>
        <v>0</v>
      </c>
    </row>
    <row r="55" spans="1:26">
      <c r="A55" s="5" t="str">
        <f t="shared" si="2"/>
        <v>ExAnteLifecycleNetTherm</v>
      </c>
      <c r="B55" t="s">
        <v>1719</v>
      </c>
      <c r="C55" t="s">
        <v>59</v>
      </c>
      <c r="Y55" t="b">
        <f t="shared" si="0"/>
        <v>1</v>
      </c>
      <c r="Z55" t="b">
        <f t="shared" si="1"/>
        <v>0</v>
      </c>
    </row>
    <row r="56" spans="1:26">
      <c r="A56" s="5" t="str">
        <f t="shared" si="2"/>
        <v>ExAnteFirstYearGrossBTU</v>
      </c>
      <c r="B56" t="s">
        <v>1719</v>
      </c>
      <c r="C56" t="s">
        <v>143</v>
      </c>
      <c r="Y56" t="b">
        <f t="shared" si="0"/>
        <v>1</v>
      </c>
      <c r="Z56" t="b">
        <f t="shared" si="1"/>
        <v>0</v>
      </c>
    </row>
    <row r="57" spans="1:26">
      <c r="A57" s="5" t="str">
        <f t="shared" si="2"/>
        <v>ExAnteGrossMeasureCost</v>
      </c>
      <c r="B57" t="s">
        <v>1719</v>
      </c>
      <c r="C57" t="s">
        <v>144</v>
      </c>
      <c r="Y57" t="b">
        <f t="shared" si="0"/>
        <v>1</v>
      </c>
      <c r="Z57" t="b">
        <f t="shared" si="1"/>
        <v>0</v>
      </c>
    </row>
    <row r="58" spans="1:26">
      <c r="A58" s="5" t="str">
        <f t="shared" si="2"/>
        <v>ExAnteGrossMeasureCost_ER</v>
      </c>
      <c r="B58" t="s">
        <v>1719</v>
      </c>
      <c r="C58" t="s">
        <v>145</v>
      </c>
      <c r="Y58" t="b">
        <f t="shared" si="0"/>
        <v>1</v>
      </c>
      <c r="Z58" t="b">
        <f t="shared" si="1"/>
        <v>0</v>
      </c>
    </row>
    <row r="59" spans="1:26">
      <c r="A59" s="5" t="str">
        <f t="shared" si="2"/>
        <v>ExAnteGrossIncentive</v>
      </c>
      <c r="B59" t="s">
        <v>1719</v>
      </c>
      <c r="C59" t="s">
        <v>146</v>
      </c>
      <c r="Y59" t="b">
        <f t="shared" si="0"/>
        <v>1</v>
      </c>
      <c r="Z59" t="b">
        <f t="shared" si="1"/>
        <v>0</v>
      </c>
    </row>
    <row r="60" spans="1:26">
      <c r="A60" s="5" t="str">
        <f t="shared" si="2"/>
        <v>ExAnteBase1kWSvgs</v>
      </c>
      <c r="C60" t="s">
        <v>596</v>
      </c>
      <c r="Y60" t="b">
        <f t="shared" si="0"/>
        <v>1</v>
      </c>
      <c r="Z60" t="b">
        <f t="shared" si="1"/>
        <v>0</v>
      </c>
    </row>
    <row r="61" spans="1:26">
      <c r="A61" s="5" t="str">
        <f t="shared" si="2"/>
        <v>ExAnteBase1kWhSvgs</v>
      </c>
      <c r="C61" t="s">
        <v>597</v>
      </c>
      <c r="Y61" t="b">
        <f t="shared" si="0"/>
        <v>1</v>
      </c>
      <c r="Z61" t="b">
        <f t="shared" si="1"/>
        <v>0</v>
      </c>
    </row>
    <row r="62" spans="1:26">
      <c r="A62" s="5" t="str">
        <f t="shared" si="2"/>
        <v>ExAnteBase1ThermSvgs</v>
      </c>
      <c r="C62" t="s">
        <v>598</v>
      </c>
      <c r="Y62" t="b">
        <f t="shared" si="0"/>
        <v>1</v>
      </c>
      <c r="Z62" t="b">
        <f t="shared" si="1"/>
        <v>0</v>
      </c>
    </row>
    <row r="63" spans="1:26">
      <c r="A63" s="5" t="str">
        <f t="shared" si="2"/>
        <v>ExAnteBase2kWSvgs</v>
      </c>
      <c r="C63" t="s">
        <v>599</v>
      </c>
      <c r="Y63" t="b">
        <f t="shared" si="0"/>
        <v>1</v>
      </c>
      <c r="Z63" t="b">
        <f t="shared" si="1"/>
        <v>0</v>
      </c>
    </row>
    <row r="64" spans="1:26">
      <c r="A64" s="5" t="str">
        <f t="shared" si="2"/>
        <v>ExAnteBase2kWhSvgs</v>
      </c>
      <c r="C64" t="s">
        <v>600</v>
      </c>
      <c r="Y64" t="b">
        <f t="shared" si="0"/>
        <v>1</v>
      </c>
      <c r="Z64" t="b">
        <f t="shared" si="1"/>
        <v>0</v>
      </c>
    </row>
    <row r="65" spans="1:30">
      <c r="A65" s="5" t="str">
        <f t="shared" si="2"/>
        <v>ExAnteBase2ThermSvgs</v>
      </c>
      <c r="C65" t="s">
        <v>601</v>
      </c>
      <c r="Y65" t="b">
        <f t="shared" si="0"/>
        <v>1</v>
      </c>
      <c r="Z65" t="b">
        <f t="shared" si="1"/>
        <v>0</v>
      </c>
    </row>
    <row r="66" spans="1:30">
      <c r="A66" s="5" t="str">
        <f t="shared" si="2"/>
        <v>ExAnte_LifeCycleGross_NoRR_kW</v>
      </c>
      <c r="C66" t="s">
        <v>1633</v>
      </c>
      <c r="Y66" t="b">
        <f t="shared" ref="Y66:Y132" si="3">IF(NOT(ISBLANK(A66)), LEN(_xlfn.CONCAT(C66:X66))&gt;0, "")</f>
        <v>1</v>
      </c>
      <c r="Z66" t="b">
        <f t="shared" ref="Z66:Z132" si="4">AND(ISNUMBER(SEARCH("kw",_xlfn.CONCAT(I66:X66))), ISNUMBER(SEARCH("thm",_xlfn.CONCAT(I66:X66))))</f>
        <v>0</v>
      </c>
      <c r="AD66">
        <v>24</v>
      </c>
    </row>
    <row r="67" spans="1:30">
      <c r="A67" s="5" t="str">
        <f t="shared" ref="A67:A133" si="5">IF(ISBLANK(C67), D67, C67)</f>
        <v>ExAnte_LifeCycleGross_NoRR_kWh</v>
      </c>
      <c r="C67" t="s">
        <v>1634</v>
      </c>
      <c r="Y67" t="b">
        <f t="shared" si="3"/>
        <v>1</v>
      </c>
      <c r="Z67" t="b">
        <f t="shared" si="4"/>
        <v>0</v>
      </c>
      <c r="AD67">
        <v>24</v>
      </c>
    </row>
    <row r="68" spans="1:30">
      <c r="A68" s="5" t="str">
        <f t="shared" si="5"/>
        <v>ExAnte_LifeCycleGross_NoRR_thm</v>
      </c>
      <c r="C68" t="s">
        <v>1635</v>
      </c>
      <c r="Y68" t="b">
        <f t="shared" si="3"/>
        <v>1</v>
      </c>
      <c r="Z68" t="b">
        <f t="shared" si="4"/>
        <v>0</v>
      </c>
      <c r="AD68">
        <v>24</v>
      </c>
    </row>
    <row r="69" spans="1:30">
      <c r="A69" s="5" t="str">
        <f t="shared" si="5"/>
        <v>ExAnte_LifeCycleNet_NoRR_kW</v>
      </c>
      <c r="C69" t="s">
        <v>1657</v>
      </c>
      <c r="Y69" t="b">
        <f t="shared" si="3"/>
        <v>1</v>
      </c>
      <c r="Z69" t="b">
        <f t="shared" si="4"/>
        <v>0</v>
      </c>
      <c r="AD69">
        <v>24</v>
      </c>
    </row>
    <row r="70" spans="1:30">
      <c r="A70" s="5" t="str">
        <f t="shared" si="5"/>
        <v>ExAnte_LifeCycleNet_NoRR_kWh</v>
      </c>
      <c r="C70" t="s">
        <v>1658</v>
      </c>
      <c r="Y70" t="b">
        <f t="shared" si="3"/>
        <v>1</v>
      </c>
      <c r="Z70" t="b">
        <f t="shared" si="4"/>
        <v>0</v>
      </c>
      <c r="AD70">
        <v>24</v>
      </c>
    </row>
    <row r="71" spans="1:30">
      <c r="A71" s="5" t="str">
        <f t="shared" si="5"/>
        <v>ExAnte_LifeCycleNet_NoRR_thm</v>
      </c>
      <c r="C71" t="s">
        <v>1659</v>
      </c>
      <c r="Y71" t="b">
        <f t="shared" si="3"/>
        <v>1</v>
      </c>
      <c r="Z71" t="b">
        <f t="shared" si="4"/>
        <v>0</v>
      </c>
      <c r="AD71">
        <v>24</v>
      </c>
    </row>
    <row r="72" spans="1:30">
      <c r="A72" s="5" t="str">
        <f t="shared" si="5"/>
        <v>ExAnte_FirstYear_NoRR_kW</v>
      </c>
      <c r="C72" t="s">
        <v>2743</v>
      </c>
      <c r="Y72" t="b">
        <f t="shared" ref="Y72:Y75" si="6">IF(NOT(ISBLANK(A72)), LEN(_xlfn.CONCAT(C72:X72))&gt;0, "")</f>
        <v>1</v>
      </c>
      <c r="Z72" t="b">
        <f t="shared" ref="Z72:Z75" si="7">AND(ISNUMBER(SEARCH("kw",_xlfn.CONCAT(I72:X72))), ISNUMBER(SEARCH("thm",_xlfn.CONCAT(I72:X72))))</f>
        <v>0</v>
      </c>
    </row>
    <row r="73" spans="1:30">
      <c r="A73" s="5" t="str">
        <f t="shared" si="5"/>
        <v>ExAnte_FirstYear_NoRR_kWh</v>
      </c>
      <c r="C73" t="s">
        <v>2744</v>
      </c>
      <c r="Y73" t="b">
        <f t="shared" si="6"/>
        <v>1</v>
      </c>
      <c r="Z73" t="b">
        <f t="shared" si="7"/>
        <v>0</v>
      </c>
    </row>
    <row r="74" spans="1:30">
      <c r="A74" s="5" t="str">
        <f t="shared" si="5"/>
        <v>ExAnte_FirstYear_NoRR_thm</v>
      </c>
      <c r="C74" t="s">
        <v>2745</v>
      </c>
      <c r="Y74" t="b">
        <f t="shared" si="6"/>
        <v>1</v>
      </c>
      <c r="Z74" t="b">
        <f t="shared" si="7"/>
        <v>0</v>
      </c>
    </row>
    <row r="75" spans="1:30">
      <c r="A75" s="5" t="str">
        <f t="shared" si="5"/>
        <v>ExAnte_Annualized_kW</v>
      </c>
      <c r="C75" t="s">
        <v>662</v>
      </c>
      <c r="Y75" t="b">
        <f t="shared" si="6"/>
        <v>1</v>
      </c>
      <c r="Z75" t="b">
        <f t="shared" si="7"/>
        <v>0</v>
      </c>
    </row>
    <row r="76" spans="1:30">
      <c r="A76" s="5" t="str">
        <f t="shared" si="5"/>
        <v>ExAnte_Annualized_kWh</v>
      </c>
      <c r="C76" t="s">
        <v>664</v>
      </c>
      <c r="Y76" t="b">
        <f t="shared" si="3"/>
        <v>1</v>
      </c>
      <c r="Z76" t="b">
        <f t="shared" si="4"/>
        <v>0</v>
      </c>
    </row>
    <row r="77" spans="1:30">
      <c r="A77" s="5" t="str">
        <f t="shared" si="5"/>
        <v>ExAnte_Annualized_thm</v>
      </c>
      <c r="C77" t="s">
        <v>663</v>
      </c>
      <c r="Y77" t="b">
        <f t="shared" si="3"/>
        <v>1</v>
      </c>
      <c r="Z77" t="b">
        <f t="shared" si="4"/>
        <v>0</v>
      </c>
    </row>
    <row r="78" spans="1:30">
      <c r="A78" s="5" t="str">
        <f t="shared" si="5"/>
        <v>ExAnte_Annualized_rradj_kW</v>
      </c>
      <c r="C78" t="s">
        <v>747</v>
      </c>
      <c r="Y78" t="b">
        <f t="shared" si="3"/>
        <v>1</v>
      </c>
      <c r="Z78" t="b">
        <f t="shared" si="4"/>
        <v>0</v>
      </c>
    </row>
    <row r="79" spans="1:30">
      <c r="A79" s="5" t="str">
        <f t="shared" si="5"/>
        <v>ExAnte_Annualized_rradj_kWh</v>
      </c>
      <c r="C79" t="s">
        <v>748</v>
      </c>
      <c r="Y79" t="b">
        <f t="shared" si="3"/>
        <v>1</v>
      </c>
      <c r="Z79" t="b">
        <f t="shared" si="4"/>
        <v>0</v>
      </c>
    </row>
    <row r="80" spans="1:30">
      <c r="A80" s="5" t="str">
        <f t="shared" si="5"/>
        <v>ExAnte_Annualized_rradj_thm</v>
      </c>
      <c r="C80" t="s">
        <v>749</v>
      </c>
      <c r="Y80" t="b">
        <f t="shared" si="3"/>
        <v>1</v>
      </c>
      <c r="Z80" t="b">
        <f t="shared" si="4"/>
        <v>0</v>
      </c>
    </row>
    <row r="81" spans="1:26">
      <c r="A81" s="5" t="str">
        <f t="shared" si="5"/>
        <v>ExAnte_Annualized_Net_rradj_kW</v>
      </c>
      <c r="C81" t="s">
        <v>750</v>
      </c>
      <c r="Y81" t="b">
        <f t="shared" si="3"/>
        <v>1</v>
      </c>
      <c r="Z81" t="b">
        <f t="shared" si="4"/>
        <v>0</v>
      </c>
    </row>
    <row r="82" spans="1:26">
      <c r="A82" s="5" t="str">
        <f t="shared" si="5"/>
        <v>ExAnte_Annualized_Net_rradj_kWh</v>
      </c>
      <c r="C82" t="s">
        <v>751</v>
      </c>
      <c r="Y82" t="b">
        <f t="shared" si="3"/>
        <v>1</v>
      </c>
      <c r="Z82" t="b">
        <f t="shared" si="4"/>
        <v>0</v>
      </c>
    </row>
    <row r="83" spans="1:26">
      <c r="A83" s="5" t="str">
        <f t="shared" si="5"/>
        <v>ExAnte_Annualized_Net_rradj_thm</v>
      </c>
      <c r="C83" t="s">
        <v>752</v>
      </c>
      <c r="Y83" t="b">
        <f t="shared" si="3"/>
        <v>1</v>
      </c>
      <c r="Z83" t="b">
        <f t="shared" si="4"/>
        <v>0</v>
      </c>
    </row>
    <row r="84" spans="1:26">
      <c r="A84" s="5" t="str">
        <f t="shared" si="5"/>
        <v>ExAnte_Annualized_Net_NoRR_kW</v>
      </c>
      <c r="C84" t="s">
        <v>1654</v>
      </c>
      <c r="Y84" t="b">
        <f t="shared" si="3"/>
        <v>1</v>
      </c>
      <c r="Z84" t="b">
        <f t="shared" si="4"/>
        <v>0</v>
      </c>
    </row>
    <row r="85" spans="1:26">
      <c r="A85" s="5" t="str">
        <f t="shared" si="5"/>
        <v>ExAnte_Annualized_Net_NoRR_kWh</v>
      </c>
      <c r="C85" t="s">
        <v>1656</v>
      </c>
      <c r="Y85" t="b">
        <f t="shared" si="3"/>
        <v>1</v>
      </c>
      <c r="Z85" t="b">
        <f t="shared" si="4"/>
        <v>0</v>
      </c>
    </row>
    <row r="86" spans="1:26">
      <c r="A86" s="5" t="str">
        <f t="shared" si="5"/>
        <v>ExAnte_Annualized_Net_NoRR_thm</v>
      </c>
      <c r="C86" t="s">
        <v>1655</v>
      </c>
      <c r="Y86" t="b">
        <f t="shared" si="3"/>
        <v>1</v>
      </c>
      <c r="Z86" t="b">
        <f t="shared" si="4"/>
        <v>0</v>
      </c>
    </row>
    <row r="87" spans="1:26">
      <c r="A87" s="5" t="str">
        <f t="shared" si="5"/>
        <v>MeasImpactType</v>
      </c>
      <c r="B87" t="s">
        <v>1719</v>
      </c>
      <c r="C87" t="s">
        <v>147</v>
      </c>
      <c r="Y87" t="b">
        <f t="shared" si="3"/>
        <v>1</v>
      </c>
      <c r="Z87" t="b">
        <f t="shared" si="4"/>
        <v>0</v>
      </c>
    </row>
    <row r="88" spans="1:26">
      <c r="A88" s="5" t="str">
        <f t="shared" si="5"/>
        <v>MarketEffectsBenefits</v>
      </c>
      <c r="B88" t="s">
        <v>1719</v>
      </c>
      <c r="C88" t="s">
        <v>28</v>
      </c>
      <c r="Y88" t="b">
        <f t="shared" si="3"/>
        <v>1</v>
      </c>
      <c r="Z88" t="b">
        <f t="shared" si="4"/>
        <v>0</v>
      </c>
    </row>
    <row r="89" spans="1:26">
      <c r="A89" s="5" t="str">
        <f t="shared" si="5"/>
        <v>MarketEffectsCosts</v>
      </c>
      <c r="B89" t="s">
        <v>1719</v>
      </c>
      <c r="C89" t="s">
        <v>150</v>
      </c>
      <c r="Y89" t="b">
        <f t="shared" si="3"/>
        <v>1</v>
      </c>
      <c r="Z89" t="b">
        <f t="shared" si="4"/>
        <v>0</v>
      </c>
    </row>
    <row r="90" spans="1:26">
      <c r="A90" s="5" t="str">
        <f t="shared" si="5"/>
        <v>RateScheduleElec</v>
      </c>
      <c r="B90" t="s">
        <v>1719</v>
      </c>
      <c r="C90" t="s">
        <v>151</v>
      </c>
      <c r="Y90" t="b">
        <f t="shared" si="3"/>
        <v>1</v>
      </c>
      <c r="Z90" t="b">
        <f t="shared" si="4"/>
        <v>0</v>
      </c>
    </row>
    <row r="91" spans="1:26">
      <c r="A91" s="5" t="str">
        <f t="shared" si="5"/>
        <v>RateScheduleGas</v>
      </c>
      <c r="B91" t="s">
        <v>1719</v>
      </c>
      <c r="C91" t="s">
        <v>152</v>
      </c>
      <c r="Y91" t="b">
        <f t="shared" si="3"/>
        <v>1</v>
      </c>
      <c r="Z91" t="b">
        <f t="shared" si="4"/>
        <v>0</v>
      </c>
    </row>
    <row r="92" spans="1:26">
      <c r="A92" s="5" t="str">
        <f t="shared" si="5"/>
        <v>MeasCode</v>
      </c>
      <c r="B92" t="s">
        <v>1719</v>
      </c>
      <c r="C92" t="s">
        <v>14</v>
      </c>
      <c r="Y92" t="b">
        <f t="shared" si="3"/>
        <v>1</v>
      </c>
      <c r="Z92" t="b">
        <f t="shared" si="4"/>
        <v>0</v>
      </c>
    </row>
    <row r="93" spans="1:26">
      <c r="A93" s="5" t="str">
        <f t="shared" si="5"/>
        <v>MeasAppType</v>
      </c>
      <c r="B93" t="s">
        <v>1719</v>
      </c>
      <c r="C93" t="s">
        <v>16</v>
      </c>
      <c r="Y93" t="b">
        <f t="shared" si="3"/>
        <v>1</v>
      </c>
      <c r="Z93" t="b">
        <f t="shared" si="4"/>
        <v>0</v>
      </c>
    </row>
    <row r="94" spans="1:26">
      <c r="A94" s="5" t="str">
        <f t="shared" si="5"/>
        <v>MeasDescription</v>
      </c>
      <c r="B94" t="s">
        <v>1719</v>
      </c>
      <c r="C94" t="s">
        <v>15</v>
      </c>
      <c r="Y94" t="b">
        <f t="shared" si="3"/>
        <v>1</v>
      </c>
      <c r="Z94" t="b">
        <f t="shared" si="4"/>
        <v>0</v>
      </c>
    </row>
    <row r="95" spans="1:26">
      <c r="A95" s="5" t="str">
        <f t="shared" si="5"/>
        <v>UseSubCategory</v>
      </c>
      <c r="B95" t="s">
        <v>1719</v>
      </c>
      <c r="C95" t="s">
        <v>153</v>
      </c>
      <c r="Y95" t="b">
        <f t="shared" si="3"/>
        <v>1</v>
      </c>
      <c r="Z95" t="b">
        <f t="shared" si="4"/>
        <v>0</v>
      </c>
    </row>
    <row r="96" spans="1:26">
      <c r="A96" s="5" t="str">
        <f t="shared" si="5"/>
        <v>TechType</v>
      </c>
      <c r="B96" t="s">
        <v>1719</v>
      </c>
      <c r="C96" t="s">
        <v>154</v>
      </c>
      <c r="Y96" t="b">
        <f t="shared" si="3"/>
        <v>1</v>
      </c>
      <c r="Z96" t="b">
        <f t="shared" si="4"/>
        <v>0</v>
      </c>
    </row>
    <row r="97" spans="1:29">
      <c r="A97" s="5" t="str">
        <f t="shared" si="5"/>
        <v>UnitkW1stBaseline</v>
      </c>
      <c r="B97" t="s">
        <v>1719</v>
      </c>
      <c r="C97" t="s">
        <v>30</v>
      </c>
      <c r="Y97" t="b">
        <f t="shared" si="3"/>
        <v>1</v>
      </c>
      <c r="Z97" t="b">
        <f t="shared" si="4"/>
        <v>0</v>
      </c>
    </row>
    <row r="98" spans="1:29">
      <c r="A98" s="5" t="str">
        <f t="shared" si="5"/>
        <v>UnitkWh1stBaseline</v>
      </c>
      <c r="B98" t="s">
        <v>1719</v>
      </c>
      <c r="C98" t="s">
        <v>31</v>
      </c>
      <c r="Y98" t="b">
        <f t="shared" si="3"/>
        <v>1</v>
      </c>
      <c r="Z98" t="b">
        <f t="shared" si="4"/>
        <v>0</v>
      </c>
    </row>
    <row r="99" spans="1:29">
      <c r="A99" s="5" t="str">
        <f t="shared" si="5"/>
        <v>UnitTherm1stBaseline</v>
      </c>
      <c r="B99" t="s">
        <v>1719</v>
      </c>
      <c r="C99" t="s">
        <v>32</v>
      </c>
      <c r="Y99" t="b">
        <f t="shared" si="3"/>
        <v>1</v>
      </c>
      <c r="Z99" t="b">
        <f t="shared" si="4"/>
        <v>0</v>
      </c>
    </row>
    <row r="100" spans="1:29">
      <c r="A100" s="5" t="str">
        <f t="shared" si="5"/>
        <v>UnitkW2ndBaseline</v>
      </c>
      <c r="B100" t="s">
        <v>1719</v>
      </c>
      <c r="C100" t="s">
        <v>33</v>
      </c>
      <c r="Y100" t="b">
        <f t="shared" si="3"/>
        <v>1</v>
      </c>
      <c r="Z100" t="b">
        <f t="shared" si="4"/>
        <v>0</v>
      </c>
    </row>
    <row r="101" spans="1:29">
      <c r="A101" s="5" t="str">
        <f t="shared" si="5"/>
        <v>UnitkWh2ndBaseline</v>
      </c>
      <c r="B101" t="s">
        <v>1719</v>
      </c>
      <c r="C101" t="s">
        <v>34</v>
      </c>
      <c r="Y101" t="b">
        <f t="shared" si="3"/>
        <v>1</v>
      </c>
      <c r="Z101" t="b">
        <f t="shared" si="4"/>
        <v>0</v>
      </c>
    </row>
    <row r="102" spans="1:29">
      <c r="A102" s="5" t="str">
        <f t="shared" si="5"/>
        <v>UnitTherm2ndBaseline</v>
      </c>
      <c r="B102" t="s">
        <v>1719</v>
      </c>
      <c r="C102" t="s">
        <v>35</v>
      </c>
      <c r="U102" s="3"/>
      <c r="Y102" t="b">
        <f t="shared" si="3"/>
        <v>1</v>
      </c>
      <c r="Z102" t="b">
        <f t="shared" si="4"/>
        <v>0</v>
      </c>
      <c r="AC102" s="3"/>
    </row>
    <row r="103" spans="1:29">
      <c r="A103" s="5" t="str">
        <f t="shared" si="5"/>
        <v>EUL_Yrs</v>
      </c>
      <c r="B103" t="s">
        <v>1719</v>
      </c>
      <c r="C103" t="s">
        <v>46</v>
      </c>
      <c r="U103" s="3"/>
      <c r="Y103" t="b">
        <f t="shared" si="3"/>
        <v>1</v>
      </c>
      <c r="Z103" t="b">
        <f t="shared" si="4"/>
        <v>0</v>
      </c>
      <c r="AC103" s="3"/>
    </row>
    <row r="104" spans="1:29">
      <c r="A104" s="5" t="str">
        <f t="shared" si="5"/>
        <v>RUL_Yrs</v>
      </c>
      <c r="B104" t="s">
        <v>1719</v>
      </c>
      <c r="C104" t="s">
        <v>47</v>
      </c>
      <c r="U104" s="3"/>
      <c r="Y104" t="b">
        <f t="shared" si="3"/>
        <v>1</v>
      </c>
      <c r="Z104" t="b">
        <f t="shared" si="4"/>
        <v>0</v>
      </c>
      <c r="AC104" s="3"/>
    </row>
    <row r="105" spans="1:29">
      <c r="A105" s="5" t="str">
        <f t="shared" si="5"/>
        <v>RealizationRatekW</v>
      </c>
      <c r="B105" t="s">
        <v>1719</v>
      </c>
      <c r="C105" t="s">
        <v>39</v>
      </c>
      <c r="Y105" t="b">
        <f t="shared" si="3"/>
        <v>1</v>
      </c>
      <c r="Z105" t="b">
        <f t="shared" si="4"/>
        <v>0</v>
      </c>
    </row>
    <row r="106" spans="1:29">
      <c r="A106" s="5" t="str">
        <f t="shared" si="5"/>
        <v>RealizationRatekWh</v>
      </c>
      <c r="B106" t="s">
        <v>1719</v>
      </c>
      <c r="C106" t="s">
        <v>40</v>
      </c>
      <c r="Y106" t="b">
        <f t="shared" si="3"/>
        <v>1</v>
      </c>
      <c r="Z106" t="b">
        <f t="shared" si="4"/>
        <v>0</v>
      </c>
    </row>
    <row r="107" spans="1:29">
      <c r="A107" s="5" t="str">
        <f t="shared" si="5"/>
        <v>RealizationRateTherm</v>
      </c>
      <c r="B107" t="s">
        <v>1719</v>
      </c>
      <c r="C107" t="s">
        <v>41</v>
      </c>
      <c r="Y107" t="b">
        <f t="shared" si="3"/>
        <v>1</v>
      </c>
      <c r="Z107" t="b">
        <f t="shared" si="4"/>
        <v>0</v>
      </c>
    </row>
    <row r="108" spans="1:29">
      <c r="A108" s="5" t="str">
        <f t="shared" si="5"/>
        <v>UseCategory</v>
      </c>
      <c r="B108" t="s">
        <v>1719</v>
      </c>
      <c r="C108" t="s">
        <v>158</v>
      </c>
      <c r="Y108" t="b">
        <f t="shared" si="3"/>
        <v>1</v>
      </c>
      <c r="Z108" t="b">
        <f t="shared" si="4"/>
        <v>0</v>
      </c>
    </row>
    <row r="109" spans="1:29">
      <c r="A109" s="5" t="str">
        <f t="shared" si="5"/>
        <v>TechGroup</v>
      </c>
      <c r="B109" t="s">
        <v>1719</v>
      </c>
      <c r="C109" t="s">
        <v>159</v>
      </c>
      <c r="Y109" t="b">
        <f t="shared" si="3"/>
        <v>1</v>
      </c>
      <c r="Z109" t="b">
        <f t="shared" si="4"/>
        <v>0</v>
      </c>
    </row>
    <row r="110" spans="1:29">
      <c r="A110" s="5" t="str">
        <f t="shared" si="5"/>
        <v>PreDesc</v>
      </c>
      <c r="B110" t="s">
        <v>1719</v>
      </c>
      <c r="C110" t="s">
        <v>160</v>
      </c>
      <c r="Y110" t="b">
        <f t="shared" si="3"/>
        <v>1</v>
      </c>
      <c r="Z110" t="b">
        <f t="shared" si="4"/>
        <v>0</v>
      </c>
    </row>
    <row r="111" spans="1:29">
      <c r="A111" s="5" t="str">
        <f t="shared" si="5"/>
        <v>TotalGrossMeasureCost</v>
      </c>
      <c r="B111" t="s">
        <v>1719</v>
      </c>
      <c r="C111" t="s">
        <v>121</v>
      </c>
      <c r="Y111" t="b">
        <f t="shared" si="3"/>
        <v>1</v>
      </c>
      <c r="Z111" t="b">
        <f t="shared" si="4"/>
        <v>0</v>
      </c>
      <c r="AC111" s="4"/>
    </row>
    <row r="112" spans="1:29">
      <c r="A112" s="5" t="str">
        <f t="shared" si="5"/>
        <v>TotalGrossMeasureCost_ER</v>
      </c>
      <c r="B112" t="s">
        <v>1719</v>
      </c>
      <c r="C112" t="s">
        <v>122</v>
      </c>
      <c r="Y112" t="b">
        <f t="shared" si="3"/>
        <v>1</v>
      </c>
      <c r="Z112" t="b">
        <f t="shared" si="4"/>
        <v>0</v>
      </c>
      <c r="AC112" s="4"/>
    </row>
    <row r="113" spans="1:27">
      <c r="A113" s="5" t="str">
        <f t="shared" si="5"/>
        <v>TotalGrossIncentive</v>
      </c>
      <c r="B113" t="s">
        <v>1719</v>
      </c>
      <c r="C113" t="s">
        <v>123</v>
      </c>
      <c r="Y113" t="b">
        <f t="shared" si="3"/>
        <v>1</v>
      </c>
      <c r="Z113" t="b">
        <f t="shared" si="4"/>
        <v>0</v>
      </c>
    </row>
    <row r="114" spans="1:27">
      <c r="A114" s="5" t="str">
        <f t="shared" si="5"/>
        <v>UnitIncentiveToOthers</v>
      </c>
      <c r="B114" t="s">
        <v>1719</v>
      </c>
      <c r="C114" t="s">
        <v>125</v>
      </c>
      <c r="Y114" t="b">
        <f t="shared" si="3"/>
        <v>1</v>
      </c>
      <c r="Z114" t="b">
        <f t="shared" si="4"/>
        <v>0</v>
      </c>
      <c r="AA114" s="3"/>
    </row>
    <row r="115" spans="1:27">
      <c r="A115" s="5" t="str">
        <f t="shared" si="5"/>
        <v>InstallationDate</v>
      </c>
      <c r="B115" t="s">
        <v>1719</v>
      </c>
      <c r="C115" t="s">
        <v>24</v>
      </c>
      <c r="Y115" t="b">
        <f t="shared" si="3"/>
        <v>1</v>
      </c>
      <c r="Z115" t="b">
        <f t="shared" si="4"/>
        <v>0</v>
      </c>
    </row>
    <row r="116" spans="1:27">
      <c r="A116" s="5" t="str">
        <f t="shared" si="5"/>
        <v>CustomerAgreementDate</v>
      </c>
      <c r="B116" t="s">
        <v>1719</v>
      </c>
      <c r="C116" t="s">
        <v>140</v>
      </c>
      <c r="Y116" t="b">
        <f t="shared" si="3"/>
        <v>1</v>
      </c>
      <c r="Z116" t="b">
        <f t="shared" si="4"/>
        <v>0</v>
      </c>
    </row>
    <row r="117" spans="1:27">
      <c r="A117" s="5" t="str">
        <f t="shared" si="5"/>
        <v>PA</v>
      </c>
      <c r="B117" t="s">
        <v>1719</v>
      </c>
      <c r="C117" t="s">
        <v>11</v>
      </c>
      <c r="Y117" t="b">
        <f t="shared" si="3"/>
        <v>1</v>
      </c>
      <c r="Z117" t="b">
        <f t="shared" si="4"/>
        <v>0</v>
      </c>
    </row>
    <row r="118" spans="1:27">
      <c r="A118" s="5" t="str">
        <f t="shared" si="5"/>
        <v>ProgramName</v>
      </c>
      <c r="B118" t="s">
        <v>1719</v>
      </c>
      <c r="C118" t="s">
        <v>13</v>
      </c>
      <c r="Y118" t="b">
        <f t="shared" si="3"/>
        <v>1</v>
      </c>
      <c r="Z118" t="b">
        <f t="shared" si="4"/>
        <v>0</v>
      </c>
    </row>
    <row r="119" spans="1:27">
      <c r="A119" s="5" t="str">
        <f t="shared" si="5"/>
        <v>PrimarySector</v>
      </c>
      <c r="B119" t="s">
        <v>1719</v>
      </c>
      <c r="C119" t="s">
        <v>197</v>
      </c>
      <c r="Y119" t="b">
        <f t="shared" si="3"/>
        <v>1</v>
      </c>
      <c r="Z119" t="b">
        <f t="shared" si="4"/>
        <v>0</v>
      </c>
    </row>
    <row r="120" spans="1:27">
      <c r="A120" s="5" t="str">
        <f t="shared" si="5"/>
        <v>Prg_Sector</v>
      </c>
      <c r="C120" t="s">
        <v>198</v>
      </c>
      <c r="Y120" t="b">
        <f t="shared" si="3"/>
        <v>1</v>
      </c>
      <c r="Z120" t="b">
        <f t="shared" si="4"/>
        <v>0</v>
      </c>
    </row>
    <row r="121" spans="1:27">
      <c r="A121" s="5" t="str">
        <f t="shared" si="5"/>
        <v>ProgramImplementer</v>
      </c>
      <c r="B121" t="s">
        <v>1719</v>
      </c>
      <c r="C121" t="s">
        <v>199</v>
      </c>
      <c r="Y121" t="b">
        <f t="shared" si="3"/>
        <v>1</v>
      </c>
      <c r="Z121" t="b">
        <f t="shared" si="4"/>
        <v>0</v>
      </c>
    </row>
    <row r="122" spans="1:27">
      <c r="A122" s="5" t="str">
        <f t="shared" si="5"/>
        <v>ProgramCategory</v>
      </c>
      <c r="B122" t="s">
        <v>1719</v>
      </c>
      <c r="C122" t="s">
        <v>200</v>
      </c>
      <c r="Y122" t="b">
        <f t="shared" si="3"/>
        <v>1</v>
      </c>
      <c r="Z122" t="b">
        <f t="shared" si="4"/>
        <v>0</v>
      </c>
    </row>
    <row r="123" spans="1:27">
      <c r="A123" s="5" t="str">
        <f t="shared" si="5"/>
        <v>StatewideProgram</v>
      </c>
      <c r="B123" t="s">
        <v>1719</v>
      </c>
      <c r="C123" t="s">
        <v>201</v>
      </c>
      <c r="Y123" t="b">
        <f t="shared" si="3"/>
        <v>1</v>
      </c>
      <c r="Z123" t="b">
        <f t="shared" si="4"/>
        <v>0</v>
      </c>
    </row>
    <row r="124" spans="1:27">
      <c r="A124" s="5" t="str">
        <f t="shared" si="5"/>
        <v>ImplementationContractor</v>
      </c>
      <c r="B124" t="s">
        <v>1719</v>
      </c>
      <c r="C124" t="s">
        <v>202</v>
      </c>
      <c r="Y124" t="b">
        <f t="shared" si="3"/>
        <v>1</v>
      </c>
      <c r="Z124" t="b">
        <f t="shared" si="4"/>
        <v>0</v>
      </c>
    </row>
    <row r="125" spans="1:27">
      <c r="A125" s="5" t="str">
        <f t="shared" si="5"/>
        <v>ProgramManager</v>
      </c>
      <c r="B125" t="s">
        <v>1719</v>
      </c>
      <c r="C125" t="s">
        <v>203</v>
      </c>
      <c r="Y125" t="b">
        <f t="shared" si="3"/>
        <v>1</v>
      </c>
      <c r="Z125" t="b">
        <f t="shared" si="4"/>
        <v>0</v>
      </c>
    </row>
    <row r="126" spans="1:27">
      <c r="A126" s="5" t="str">
        <f t="shared" si="5"/>
        <v>StartYear</v>
      </c>
      <c r="B126" t="s">
        <v>1719</v>
      </c>
      <c r="C126" t="s">
        <v>204</v>
      </c>
      <c r="Y126" t="b">
        <f t="shared" si="3"/>
        <v>1</v>
      </c>
      <c r="Z126" t="b">
        <f t="shared" si="4"/>
        <v>0</v>
      </c>
    </row>
    <row r="127" spans="1:27">
      <c r="A127" s="5" t="str">
        <f t="shared" si="5"/>
        <v>EndYear</v>
      </c>
      <c r="B127" t="s">
        <v>1719</v>
      </c>
      <c r="C127" t="s">
        <v>205</v>
      </c>
      <c r="Y127" t="b">
        <f t="shared" si="3"/>
        <v>1</v>
      </c>
      <c r="Z127" t="b">
        <f t="shared" si="4"/>
        <v>0</v>
      </c>
    </row>
    <row r="128" spans="1:27">
      <c r="A128" s="5" t="str">
        <f t="shared" si="5"/>
        <v>Resource_Flag</v>
      </c>
      <c r="B128" t="s">
        <v>1719</v>
      </c>
      <c r="C128" t="s">
        <v>206</v>
      </c>
      <c r="Y128" t="b">
        <f t="shared" si="3"/>
        <v>1</v>
      </c>
      <c r="Z128" t="b">
        <f t="shared" si="4"/>
        <v>0</v>
      </c>
    </row>
    <row r="129" spans="1:26">
      <c r="A129" s="5" t="str">
        <f t="shared" si="5"/>
        <v>NonResource_Flag</v>
      </c>
      <c r="B129" t="s">
        <v>1719</v>
      </c>
      <c r="C129" t="s">
        <v>207</v>
      </c>
      <c r="Y129" t="b">
        <f t="shared" si="3"/>
        <v>1</v>
      </c>
      <c r="Z129" t="b">
        <f t="shared" si="4"/>
        <v>0</v>
      </c>
    </row>
    <row r="130" spans="1:26">
      <c r="A130" s="5" t="str">
        <f t="shared" si="5"/>
        <v>Deemed_Flag</v>
      </c>
      <c r="B130" t="s">
        <v>1719</v>
      </c>
      <c r="C130" t="s">
        <v>208</v>
      </c>
      <c r="Y130" t="b">
        <f t="shared" si="3"/>
        <v>1</v>
      </c>
      <c r="Z130" t="b">
        <f t="shared" si="4"/>
        <v>0</v>
      </c>
    </row>
    <row r="131" spans="1:26">
      <c r="A131" s="5" t="str">
        <f t="shared" si="5"/>
        <v>Custom_Flag</v>
      </c>
      <c r="B131" t="s">
        <v>1719</v>
      </c>
      <c r="C131" t="s">
        <v>209</v>
      </c>
      <c r="Y131" t="b">
        <f t="shared" si="3"/>
        <v>1</v>
      </c>
      <c r="Z131" t="b">
        <f t="shared" si="4"/>
        <v>0</v>
      </c>
    </row>
    <row r="132" spans="1:26">
      <c r="A132" s="5" t="str">
        <f t="shared" si="5"/>
        <v>Prg_Upstream_Flag</v>
      </c>
      <c r="C132" t="s">
        <v>210</v>
      </c>
      <c r="Y132" t="b">
        <f t="shared" si="3"/>
        <v>1</v>
      </c>
      <c r="Z132" t="b">
        <f t="shared" si="4"/>
        <v>0</v>
      </c>
    </row>
    <row r="133" spans="1:26">
      <c r="A133" s="5" t="str">
        <f t="shared" si="5"/>
        <v>Midstream_Flag</v>
      </c>
      <c r="B133" t="s">
        <v>1719</v>
      </c>
      <c r="C133" t="s">
        <v>211</v>
      </c>
      <c r="Y133" t="b">
        <f t="shared" ref="Y133:Y204" si="8">IF(NOT(ISBLANK(A133)), LEN(_xlfn.CONCAT(C133:X133))&gt;0, "")</f>
        <v>1</v>
      </c>
      <c r="Z133" t="b">
        <f t="shared" ref="Z133:Z220" si="9">AND(ISNUMBER(SEARCH("kw",_xlfn.CONCAT(I133:X133))), ISNUMBER(SEARCH("thm",_xlfn.CONCAT(I133:X133))))</f>
        <v>0</v>
      </c>
    </row>
    <row r="134" spans="1:26">
      <c r="A134" s="5" t="str">
        <f t="shared" ref="A134:A205" si="10">IF(ISBLANK(C134), D134, C134)</f>
        <v>Downstream_Flag</v>
      </c>
      <c r="B134" t="s">
        <v>1719</v>
      </c>
      <c r="C134" t="s">
        <v>212</v>
      </c>
      <c r="Y134" t="b">
        <f t="shared" si="8"/>
        <v>1</v>
      </c>
      <c r="Z134" t="b">
        <f t="shared" si="9"/>
        <v>0</v>
      </c>
    </row>
    <row r="135" spans="1:26">
      <c r="A135" s="5" t="str">
        <f t="shared" si="10"/>
        <v>DirectInstall</v>
      </c>
      <c r="B135" t="s">
        <v>1719</v>
      </c>
      <c r="C135" t="s">
        <v>213</v>
      </c>
      <c r="Y135" t="b">
        <f t="shared" si="8"/>
        <v>1</v>
      </c>
      <c r="Z135" t="b">
        <f t="shared" si="9"/>
        <v>0</v>
      </c>
    </row>
    <row r="136" spans="1:26">
      <c r="A136" s="5" t="str">
        <f t="shared" si="10"/>
        <v>Audit_Flag</v>
      </c>
      <c r="B136" t="s">
        <v>1719</v>
      </c>
      <c r="C136" t="s">
        <v>214</v>
      </c>
      <c r="Y136" t="b">
        <f t="shared" si="8"/>
        <v>1</v>
      </c>
      <c r="Z136" t="b">
        <f t="shared" si="9"/>
        <v>0</v>
      </c>
    </row>
    <row r="137" spans="1:26">
      <c r="A137" s="5" t="str">
        <f t="shared" si="10"/>
        <v>Financing</v>
      </c>
      <c r="B137" t="s">
        <v>1719</v>
      </c>
      <c r="C137" t="s">
        <v>215</v>
      </c>
      <c r="Y137" t="b">
        <f t="shared" si="8"/>
        <v>1</v>
      </c>
      <c r="Z137" t="b">
        <f t="shared" si="9"/>
        <v>0</v>
      </c>
    </row>
    <row r="138" spans="1:26">
      <c r="A138" s="5" t="str">
        <f t="shared" si="10"/>
        <v>ParentProgram</v>
      </c>
      <c r="B138" t="s">
        <v>1719</v>
      </c>
      <c r="C138" t="s">
        <v>216</v>
      </c>
      <c r="Y138" t="b">
        <f t="shared" si="8"/>
        <v>1</v>
      </c>
      <c r="Z138" t="b">
        <f t="shared" si="9"/>
        <v>0</v>
      </c>
    </row>
    <row r="139" spans="1:26">
      <c r="A139" s="5" t="str">
        <f t="shared" si="10"/>
        <v>Exclude_From_Budget</v>
      </c>
      <c r="B139" t="s">
        <v>1719</v>
      </c>
      <c r="C139" t="s">
        <v>217</v>
      </c>
      <c r="Y139" t="b">
        <f t="shared" si="8"/>
        <v>1</v>
      </c>
      <c r="Z139" t="b">
        <f t="shared" si="9"/>
        <v>0</v>
      </c>
    </row>
    <row r="140" spans="1:26">
      <c r="A140" s="5" t="str">
        <f t="shared" si="10"/>
        <v>Exclude_From_CE</v>
      </c>
      <c r="B140" t="s">
        <v>1719</v>
      </c>
      <c r="C140" t="s">
        <v>218</v>
      </c>
      <c r="Y140" t="b">
        <f t="shared" si="8"/>
        <v>1</v>
      </c>
      <c r="Z140" t="b">
        <f t="shared" si="9"/>
        <v>0</v>
      </c>
    </row>
    <row r="141" spans="1:26">
      <c r="A141" s="5" t="str">
        <f t="shared" si="10"/>
        <v>SBW_Sector</v>
      </c>
      <c r="C141" t="s">
        <v>219</v>
      </c>
      <c r="Y141" t="b">
        <f t="shared" si="8"/>
        <v>1</v>
      </c>
      <c r="Z141" t="b">
        <f t="shared" si="9"/>
        <v>0</v>
      </c>
    </row>
    <row r="142" spans="1:26">
      <c r="A142" s="5" t="str">
        <f t="shared" si="10"/>
        <v>SBW_InstallYr</v>
      </c>
      <c r="C142" t="s">
        <v>220</v>
      </c>
      <c r="Y142" t="b">
        <f t="shared" si="8"/>
        <v>1</v>
      </c>
      <c r="Z142" t="b">
        <f t="shared" si="9"/>
        <v>0</v>
      </c>
    </row>
    <row r="143" spans="1:26">
      <c r="A143" s="5" t="str">
        <f t="shared" si="10"/>
        <v>SBW_InstallInClaimYr</v>
      </c>
      <c r="C143" t="s">
        <v>221</v>
      </c>
      <c r="Y143" t="b">
        <f t="shared" si="8"/>
        <v>1</v>
      </c>
      <c r="Z143" t="b">
        <f t="shared" si="9"/>
        <v>0</v>
      </c>
    </row>
    <row r="144" spans="1:26">
      <c r="A144" s="5" t="str">
        <f t="shared" si="10"/>
        <v>SBW_ImpactType</v>
      </c>
      <c r="C144" t="s">
        <v>222</v>
      </c>
      <c r="Y144" t="b">
        <f t="shared" si="8"/>
        <v>1</v>
      </c>
      <c r="Z144" t="b">
        <f t="shared" si="9"/>
        <v>0</v>
      </c>
    </row>
    <row r="145" spans="1:26">
      <c r="A145" s="5" t="str">
        <f t="shared" si="10"/>
        <v>Study</v>
      </c>
      <c r="C145" t="s">
        <v>223</v>
      </c>
      <c r="Y145" t="b">
        <f t="shared" si="8"/>
        <v>1</v>
      </c>
      <c r="Z145" t="b">
        <f t="shared" si="9"/>
        <v>0</v>
      </c>
    </row>
    <row r="146" spans="1:26">
      <c r="A146" s="5" t="str">
        <f t="shared" si="10"/>
        <v>Sampled</v>
      </c>
      <c r="C146" t="s">
        <v>224</v>
      </c>
      <c r="Y146" t="b">
        <f t="shared" si="8"/>
        <v>1</v>
      </c>
      <c r="Z146" t="b">
        <f t="shared" si="9"/>
        <v>0</v>
      </c>
    </row>
    <row r="147" spans="1:26">
      <c r="A147" s="5" t="str">
        <f t="shared" si="10"/>
        <v>SampleOrder</v>
      </c>
      <c r="C147" t="s">
        <v>225</v>
      </c>
      <c r="Y147" t="b">
        <f t="shared" si="8"/>
        <v>1</v>
      </c>
      <c r="Z147" t="b">
        <f t="shared" si="9"/>
        <v>0</v>
      </c>
    </row>
    <row r="148" spans="1:26">
      <c r="A148" s="5" t="str">
        <f t="shared" si="10"/>
        <v>Treatment</v>
      </c>
      <c r="C148" t="s">
        <v>226</v>
      </c>
      <c r="Y148" t="b">
        <f t="shared" si="8"/>
        <v>1</v>
      </c>
      <c r="Z148" t="b">
        <f t="shared" si="9"/>
        <v>0</v>
      </c>
    </row>
    <row r="149" spans="1:26">
      <c r="A149" s="5" t="str">
        <f t="shared" si="10"/>
        <v>Pretest</v>
      </c>
      <c r="C149" t="s">
        <v>227</v>
      </c>
      <c r="Y149" t="b">
        <f t="shared" si="8"/>
        <v>1</v>
      </c>
      <c r="Z149" t="b">
        <f t="shared" si="9"/>
        <v>0</v>
      </c>
    </row>
    <row r="150" spans="1:26">
      <c r="A150" s="5" t="str">
        <f t="shared" si="10"/>
        <v>ExAnteWaterGallons</v>
      </c>
      <c r="B150" t="s">
        <v>1719</v>
      </c>
      <c r="C150" t="s">
        <v>191</v>
      </c>
      <c r="Y150" t="b">
        <f t="shared" si="8"/>
        <v>1</v>
      </c>
      <c r="Z150" t="b">
        <f t="shared" si="9"/>
        <v>0</v>
      </c>
    </row>
    <row r="151" spans="1:26">
      <c r="A151" s="5" t="str">
        <f t="shared" si="10"/>
        <v>ExAnteWaterTherm</v>
      </c>
      <c r="B151" t="s">
        <v>1719</v>
      </c>
      <c r="C151" t="s">
        <v>192</v>
      </c>
      <c r="Y151" t="b">
        <f t="shared" si="8"/>
        <v>1</v>
      </c>
      <c r="Z151" t="b">
        <f t="shared" si="9"/>
        <v>0</v>
      </c>
    </row>
    <row r="152" spans="1:26">
      <c r="A152" s="5" t="str">
        <f t="shared" si="10"/>
        <v>ExAnteWaterIouKwh</v>
      </c>
      <c r="B152" t="s">
        <v>1719</v>
      </c>
      <c r="C152" t="s">
        <v>193</v>
      </c>
      <c r="Y152" t="b">
        <f t="shared" si="8"/>
        <v>1</v>
      </c>
      <c r="Z152" t="b">
        <f t="shared" si="9"/>
        <v>0</v>
      </c>
    </row>
    <row r="153" spans="1:26">
      <c r="A153" s="5" t="str">
        <f t="shared" si="10"/>
        <v>ExAnteWaterNonIouKwh</v>
      </c>
      <c r="B153" t="s">
        <v>1719</v>
      </c>
      <c r="C153" t="s">
        <v>194</v>
      </c>
      <c r="Y153" t="b">
        <f t="shared" si="8"/>
        <v>1</v>
      </c>
      <c r="Z153" t="b">
        <f t="shared" si="9"/>
        <v>0</v>
      </c>
    </row>
    <row r="154" spans="1:26">
      <c r="A154" s="5" t="str">
        <f t="shared" si="10"/>
        <v>SBW_ProjID</v>
      </c>
      <c r="C154" t="s">
        <v>180</v>
      </c>
      <c r="Y154" t="b">
        <f t="shared" si="8"/>
        <v>1</v>
      </c>
      <c r="Z154" t="b">
        <f t="shared" si="9"/>
        <v>0</v>
      </c>
    </row>
    <row r="155" spans="1:26">
      <c r="A155" s="5" t="str">
        <f t="shared" si="10"/>
        <v>domain</v>
      </c>
      <c r="C155" t="s">
        <v>181</v>
      </c>
      <c r="E155" t="s">
        <v>181</v>
      </c>
      <c r="Y155" t="b">
        <f t="shared" si="8"/>
        <v>1</v>
      </c>
      <c r="Z155" t="b">
        <f t="shared" si="9"/>
        <v>0</v>
      </c>
    </row>
    <row r="156" spans="1:26">
      <c r="A156" s="5" t="str">
        <f t="shared" si="10"/>
        <v>stratum_kWh</v>
      </c>
      <c r="C156" t="s">
        <v>182</v>
      </c>
      <c r="Y156" t="b">
        <f t="shared" si="8"/>
        <v>1</v>
      </c>
      <c r="Z156" t="b">
        <f t="shared" si="9"/>
        <v>0</v>
      </c>
    </row>
    <row r="157" spans="1:26">
      <c r="A157" s="5" t="str">
        <f t="shared" si="10"/>
        <v>stratum_thm</v>
      </c>
      <c r="C157" t="s">
        <v>183</v>
      </c>
      <c r="Y157" t="b">
        <f t="shared" si="8"/>
        <v>1</v>
      </c>
      <c r="Z157" t="b">
        <f t="shared" si="9"/>
        <v>0</v>
      </c>
    </row>
    <row r="158" spans="1:26">
      <c r="A158" s="5" t="str">
        <f t="shared" si="10"/>
        <v>sampled_kWh</v>
      </c>
      <c r="C158" t="s">
        <v>184</v>
      </c>
      <c r="Y158" t="b">
        <f t="shared" si="8"/>
        <v>1</v>
      </c>
      <c r="Z158" t="b">
        <f t="shared" si="9"/>
        <v>0</v>
      </c>
    </row>
    <row r="159" spans="1:26">
      <c r="A159" s="5" t="str">
        <f t="shared" si="10"/>
        <v>sampled_thm</v>
      </c>
      <c r="C159" t="s">
        <v>185</v>
      </c>
      <c r="Y159" t="b">
        <f t="shared" si="8"/>
        <v>1</v>
      </c>
      <c r="Z159" t="b">
        <f t="shared" si="9"/>
        <v>0</v>
      </c>
    </row>
    <row r="160" spans="1:26">
      <c r="A160" s="5" t="str">
        <f t="shared" si="10"/>
        <v>smpld_primary</v>
      </c>
      <c r="C160" t="s">
        <v>186</v>
      </c>
      <c r="Y160" t="b">
        <f t="shared" si="8"/>
        <v>1</v>
      </c>
      <c r="Z160" t="b">
        <f t="shared" si="9"/>
        <v>0</v>
      </c>
    </row>
    <row r="161" spans="1:26">
      <c r="A161" s="5" t="str">
        <f t="shared" si="10"/>
        <v>smpld_net_kWh</v>
      </c>
      <c r="C161" t="s">
        <v>187</v>
      </c>
      <c r="Y161" t="b">
        <f t="shared" si="8"/>
        <v>1</v>
      </c>
      <c r="Z161" t="b">
        <f t="shared" si="9"/>
        <v>0</v>
      </c>
    </row>
    <row r="162" spans="1:26">
      <c r="A162" s="5" t="str">
        <f t="shared" si="10"/>
        <v>smpld_net_thm</v>
      </c>
      <c r="C162" t="s">
        <v>188</v>
      </c>
      <c r="Y162" t="b">
        <f t="shared" si="8"/>
        <v>1</v>
      </c>
      <c r="Z162" t="b">
        <f t="shared" si="9"/>
        <v>0</v>
      </c>
    </row>
    <row r="163" spans="1:26">
      <c r="A163" s="5" t="str">
        <f t="shared" si="10"/>
        <v>smpld_net</v>
      </c>
      <c r="C163" t="s">
        <v>189</v>
      </c>
      <c r="Y163" t="b">
        <f t="shared" si="8"/>
        <v>1</v>
      </c>
      <c r="Z163" t="b">
        <f t="shared" si="9"/>
        <v>0</v>
      </c>
    </row>
    <row r="164" spans="1:26">
      <c r="A164" s="5" t="str">
        <f t="shared" si="10"/>
        <v>smpld_net_new</v>
      </c>
      <c r="C164" t="s">
        <v>1577</v>
      </c>
      <c r="Y164" t="b">
        <f t="shared" si="8"/>
        <v>1</v>
      </c>
      <c r="Z164" t="b">
        <f t="shared" si="9"/>
        <v>0</v>
      </c>
    </row>
    <row r="165" spans="1:26">
      <c r="A165" s="5" t="str">
        <f t="shared" si="10"/>
        <v>SampleID</v>
      </c>
      <c r="C165" t="s">
        <v>63</v>
      </c>
      <c r="Y165" t="b">
        <f t="shared" si="8"/>
        <v>1</v>
      </c>
      <c r="Z165" t="b">
        <f t="shared" si="9"/>
        <v>0</v>
      </c>
    </row>
    <row r="166" spans="1:26">
      <c r="A166" s="5" t="str">
        <f t="shared" si="10"/>
        <v>EvalMeasID</v>
      </c>
      <c r="C166" t="s">
        <v>229</v>
      </c>
      <c r="Y166" t="b">
        <f t="shared" si="8"/>
        <v>1</v>
      </c>
      <c r="Z166" t="b">
        <f t="shared" si="9"/>
        <v>0</v>
      </c>
    </row>
    <row r="167" spans="1:26">
      <c r="A167" s="5" t="str">
        <f t="shared" si="10"/>
        <v>SampledAny</v>
      </c>
      <c r="C167" t="s">
        <v>230</v>
      </c>
      <c r="Y167" t="b">
        <f t="shared" si="8"/>
        <v>1</v>
      </c>
      <c r="Z167" t="b">
        <f t="shared" si="9"/>
        <v>0</v>
      </c>
    </row>
    <row r="168" spans="1:26">
      <c r="A168" s="5" t="str">
        <f t="shared" si="10"/>
        <v>SavingsAnalysisComplQC</v>
      </c>
      <c r="C168" t="s">
        <v>541</v>
      </c>
      <c r="Y168" t="b">
        <f t="shared" si="8"/>
        <v>1</v>
      </c>
      <c r="Z168" t="b">
        <f t="shared" si="9"/>
        <v>0</v>
      </c>
    </row>
    <row r="169" spans="1:26">
      <c r="A169" s="5" t="str">
        <f t="shared" si="10"/>
        <v>NetSurveyComplDate</v>
      </c>
      <c r="C169" t="s">
        <v>552</v>
      </c>
      <c r="Y169" t="b">
        <f t="shared" si="8"/>
        <v>1</v>
      </c>
      <c r="Z169" t="b">
        <f t="shared" si="9"/>
        <v>0</v>
      </c>
    </row>
    <row r="170" spans="1:26">
      <c r="A170" s="5" t="str">
        <f t="shared" si="10"/>
        <v>NetSurveyComplete</v>
      </c>
      <c r="C170" t="s">
        <v>1533</v>
      </c>
      <c r="Y170" t="b">
        <f t="shared" si="8"/>
        <v>1</v>
      </c>
      <c r="Z170" t="b">
        <f t="shared" si="9"/>
        <v>0</v>
      </c>
    </row>
    <row r="171" spans="1:26">
      <c r="A171" s="5" t="str">
        <f t="shared" si="10"/>
        <v>NetDisposition</v>
      </c>
      <c r="C171" t="s">
        <v>1552</v>
      </c>
      <c r="Y171" t="b">
        <f t="shared" si="8"/>
        <v>1</v>
      </c>
      <c r="Z171" t="b">
        <f t="shared" si="9"/>
        <v>0</v>
      </c>
    </row>
    <row r="172" spans="1:26">
      <c r="A172" s="5" t="str">
        <f t="shared" si="10"/>
        <v>dispositioncategory</v>
      </c>
      <c r="C172" t="s">
        <v>1918</v>
      </c>
      <c r="Y172" t="b">
        <f t="shared" si="8"/>
        <v>1</v>
      </c>
      <c r="Z172" t="b">
        <f t="shared" si="9"/>
        <v>0</v>
      </c>
    </row>
    <row r="173" spans="1:26">
      <c r="A173" s="5" t="str">
        <f t="shared" si="10"/>
        <v>ProjectDropped</v>
      </c>
      <c r="C173" t="s">
        <v>753</v>
      </c>
      <c r="Y173" t="b">
        <f t="shared" si="8"/>
        <v>1</v>
      </c>
      <c r="Z173" t="b">
        <f t="shared" si="9"/>
        <v>0</v>
      </c>
    </row>
    <row r="174" spans="1:26">
      <c r="A174" s="5" t="str">
        <f t="shared" si="10"/>
        <v>CustomerAgreementDate_Eval</v>
      </c>
      <c r="C174" t="s">
        <v>231</v>
      </c>
      <c r="Y174" t="b">
        <f t="shared" si="8"/>
        <v>1</v>
      </c>
      <c r="Z174" t="b">
        <f t="shared" si="9"/>
        <v>0</v>
      </c>
    </row>
    <row r="175" spans="1:26">
      <c r="A175" s="5" t="str">
        <f t="shared" si="10"/>
        <v>InstallationDate_Eval</v>
      </c>
      <c r="C175" t="s">
        <v>232</v>
      </c>
      <c r="Y175" t="b">
        <f t="shared" si="8"/>
        <v>1</v>
      </c>
      <c r="Z175" t="b">
        <f t="shared" si="9"/>
        <v>0</v>
      </c>
    </row>
    <row r="176" spans="1:26">
      <c r="A176" s="5" t="str">
        <f t="shared" si="10"/>
        <v>BaselineDef_Eval</v>
      </c>
      <c r="C176" t="s">
        <v>298</v>
      </c>
      <c r="Y176" t="b">
        <f t="shared" si="8"/>
        <v>1</v>
      </c>
      <c r="Z176" t="b">
        <f t="shared" si="9"/>
        <v>0</v>
      </c>
    </row>
    <row r="177" spans="1:26">
      <c r="A177" s="5" t="str">
        <f t="shared" si="10"/>
        <v>Baseline2Def_Eval</v>
      </c>
      <c r="C177" t="s">
        <v>299</v>
      </c>
      <c r="Y177" t="b">
        <f t="shared" si="8"/>
        <v>1</v>
      </c>
      <c r="Z177" t="b">
        <f t="shared" si="9"/>
        <v>0</v>
      </c>
    </row>
    <row r="178" spans="1:26">
      <c r="A178" s="5" t="str">
        <f t="shared" si="10"/>
        <v>MeasDescription_Eval</v>
      </c>
      <c r="C178" t="s">
        <v>306</v>
      </c>
      <c r="Y178" t="b">
        <f t="shared" si="8"/>
        <v>1</v>
      </c>
      <c r="Z178" t="b">
        <f t="shared" si="9"/>
        <v>0</v>
      </c>
    </row>
    <row r="179" spans="1:26">
      <c r="A179" s="5" t="str">
        <f t="shared" si="10"/>
        <v>BldgLoc_Eval</v>
      </c>
      <c r="C179" t="s">
        <v>307</v>
      </c>
      <c r="Y179" t="b">
        <f t="shared" si="8"/>
        <v>1</v>
      </c>
      <c r="Z179" t="b">
        <f t="shared" si="9"/>
        <v>0</v>
      </c>
    </row>
    <row r="180" spans="1:26">
      <c r="A180" s="5" t="str">
        <f t="shared" si="10"/>
        <v>CM_MeasAppType_Eval</v>
      </c>
      <c r="C180" t="s">
        <v>309</v>
      </c>
      <c r="Y180" t="b">
        <f t="shared" si="8"/>
        <v>1</v>
      </c>
      <c r="Z180" t="b">
        <f t="shared" si="9"/>
        <v>0</v>
      </c>
    </row>
    <row r="181" spans="1:26">
      <c r="A181" s="5" t="str">
        <f t="shared" si="10"/>
        <v>TotalGrossIncentive_Eval</v>
      </c>
      <c r="C181" t="s">
        <v>320</v>
      </c>
      <c r="Y181" t="b">
        <f t="shared" si="8"/>
        <v>1</v>
      </c>
      <c r="Z181" t="b">
        <f t="shared" si="9"/>
        <v>0</v>
      </c>
    </row>
    <row r="182" spans="1:26">
      <c r="A182" s="5" t="str">
        <f t="shared" si="10"/>
        <v>IncentivesToOthers_Eval</v>
      </c>
      <c r="C182" t="s">
        <v>323</v>
      </c>
      <c r="Y182" t="b">
        <f t="shared" si="8"/>
        <v>1</v>
      </c>
      <c r="Z182" t="b">
        <f t="shared" si="9"/>
        <v>0</v>
      </c>
    </row>
    <row r="183" spans="1:26">
      <c r="A183" s="5" t="str">
        <f t="shared" si="10"/>
        <v>TotalGrossMeasureCost_Eval</v>
      </c>
      <c r="C183" t="s">
        <v>324</v>
      </c>
      <c r="Y183" t="b">
        <f t="shared" si="8"/>
        <v>1</v>
      </c>
      <c r="Z183" t="b">
        <f t="shared" si="9"/>
        <v>0</v>
      </c>
    </row>
    <row r="184" spans="1:26">
      <c r="A184" s="5" t="str">
        <f t="shared" si="10"/>
        <v>TotalGrossMeasureCost_ER_Eval</v>
      </c>
      <c r="C184" t="s">
        <v>325</v>
      </c>
      <c r="Y184" t="b">
        <f t="shared" si="8"/>
        <v>1</v>
      </c>
      <c r="Z184" t="b">
        <f t="shared" si="9"/>
        <v>0</v>
      </c>
    </row>
    <row r="185" spans="1:26">
      <c r="A185" s="5" t="str">
        <f t="shared" si="10"/>
        <v>WaterSvgs_Eval</v>
      </c>
      <c r="C185" t="s">
        <v>341</v>
      </c>
      <c r="Y185" t="b">
        <f t="shared" si="8"/>
        <v>1</v>
      </c>
      <c r="Z185" t="b">
        <f t="shared" si="9"/>
        <v>0</v>
      </c>
    </row>
    <row r="186" spans="1:26">
      <c r="A186" s="5" t="str">
        <f t="shared" si="10"/>
        <v>EvalBase1kWSvgs_orig</v>
      </c>
      <c r="C186" t="s">
        <v>2284</v>
      </c>
      <c r="Y186" t="b">
        <f t="shared" si="8"/>
        <v>1</v>
      </c>
      <c r="Z186" t="b">
        <f t="shared" si="9"/>
        <v>0</v>
      </c>
    </row>
    <row r="187" spans="1:26">
      <c r="A187" s="5" t="str">
        <f t="shared" si="10"/>
        <v>EvalBase1kWhSvgs_orig</v>
      </c>
      <c r="C187" t="s">
        <v>2285</v>
      </c>
      <c r="Y187" t="b">
        <f t="shared" si="8"/>
        <v>1</v>
      </c>
      <c r="Z187" t="b">
        <f t="shared" si="9"/>
        <v>0</v>
      </c>
    </row>
    <row r="188" spans="1:26">
      <c r="A188" s="5" t="str">
        <f t="shared" si="10"/>
        <v>EvalBase1ThermSvgs_orig</v>
      </c>
      <c r="C188" t="s">
        <v>2286</v>
      </c>
      <c r="Y188" t="b">
        <f t="shared" si="8"/>
        <v>1</v>
      </c>
      <c r="Z188" t="b">
        <f t="shared" si="9"/>
        <v>0</v>
      </c>
    </row>
    <row r="189" spans="1:26">
      <c r="A189" s="5" t="str">
        <f t="shared" si="10"/>
        <v>EvalBase2kWSvgs_orig</v>
      </c>
      <c r="C189" t="s">
        <v>2287</v>
      </c>
      <c r="Y189" t="b">
        <f t="shared" si="8"/>
        <v>1</v>
      </c>
      <c r="Z189" t="b">
        <f t="shared" si="9"/>
        <v>0</v>
      </c>
    </row>
    <row r="190" spans="1:26">
      <c r="A190" s="5" t="str">
        <f t="shared" si="10"/>
        <v>EvalBase2kWhSvgs_orig</v>
      </c>
      <c r="C190" t="s">
        <v>2288</v>
      </c>
      <c r="Y190" t="b">
        <f t="shared" si="8"/>
        <v>1</v>
      </c>
      <c r="Z190" t="b">
        <f t="shared" si="9"/>
        <v>0</v>
      </c>
    </row>
    <row r="191" spans="1:26">
      <c r="A191" s="5" t="str">
        <f t="shared" si="10"/>
        <v>EvalBase2ThermSvgs_orig</v>
      </c>
      <c r="C191" t="s">
        <v>2289</v>
      </c>
      <c r="Y191" t="b">
        <f t="shared" si="8"/>
        <v>1</v>
      </c>
      <c r="Z191" t="b">
        <f t="shared" si="9"/>
        <v>0</v>
      </c>
    </row>
    <row r="192" spans="1:26">
      <c r="A192" s="5" t="str">
        <f t="shared" si="10"/>
        <v>E3TargetSector_Eval_raw</v>
      </c>
      <c r="C192" t="str">
        <f>C196&amp; "_raw"</f>
        <v>E3TargetSector_Eval_raw</v>
      </c>
      <c r="Y192" t="b">
        <f t="shared" ref="Y192:Y200" si="11">IF(NOT(ISBLANK(A192)), LEN(_xlfn.CONCAT(C192:X192))&gt;0, "")</f>
        <v>1</v>
      </c>
      <c r="Z192" t="b">
        <f t="shared" ref="Z192:Z200" si="12">AND(ISNUMBER(SEARCH("kw",_xlfn.CONCAT(I192:X192))), ISNUMBER(SEARCH("thm",_xlfn.CONCAT(I192:X192))))</f>
        <v>0</v>
      </c>
    </row>
    <row r="193" spans="1:27">
      <c r="A193" s="5" t="str">
        <f t="shared" si="10"/>
        <v>E3MeaElecEndUseShape_Eval_raw</v>
      </c>
      <c r="C193" t="str">
        <f t="shared" ref="C193:C195" si="13">C197&amp; "_raw"</f>
        <v>E3MeaElecEndUseShape_Eval_raw</v>
      </c>
      <c r="Y193" t="b">
        <f t="shared" si="11"/>
        <v>1</v>
      </c>
      <c r="Z193" t="b">
        <f t="shared" si="12"/>
        <v>0</v>
      </c>
    </row>
    <row r="194" spans="1:27">
      <c r="A194" s="5" t="str">
        <f t="shared" si="10"/>
        <v>E3GasSector_Eval_raw</v>
      </c>
      <c r="C194" t="str">
        <f t="shared" si="13"/>
        <v>E3GasSector_Eval_raw</v>
      </c>
      <c r="Y194" t="b">
        <f t="shared" si="11"/>
        <v>1</v>
      </c>
      <c r="Z194" t="b">
        <f t="shared" si="12"/>
        <v>0</v>
      </c>
    </row>
    <row r="195" spans="1:27">
      <c r="A195" s="5" t="str">
        <f t="shared" si="10"/>
        <v>E3GasSavProfile_Eval_raw</v>
      </c>
      <c r="C195" t="str">
        <f t="shared" si="13"/>
        <v>E3GasSavProfile_Eval_raw</v>
      </c>
      <c r="Y195" t="b">
        <f t="shared" si="11"/>
        <v>1</v>
      </c>
      <c r="Z195" t="b">
        <f t="shared" si="12"/>
        <v>0</v>
      </c>
    </row>
    <row r="196" spans="1:27">
      <c r="A196" s="5" t="str">
        <f t="shared" si="10"/>
        <v>E3TargetSector_Eval</v>
      </c>
      <c r="C196" t="s">
        <v>571</v>
      </c>
      <c r="Y196" t="b">
        <f t="shared" si="11"/>
        <v>1</v>
      </c>
      <c r="Z196" t="b">
        <f t="shared" si="12"/>
        <v>0</v>
      </c>
    </row>
    <row r="197" spans="1:27">
      <c r="A197" s="5" t="str">
        <f t="shared" si="10"/>
        <v>E3MeaElecEndUseShape_Eval</v>
      </c>
      <c r="C197" t="s">
        <v>572</v>
      </c>
      <c r="Y197" t="b">
        <f t="shared" si="11"/>
        <v>1</v>
      </c>
      <c r="Z197" t="b">
        <f t="shared" si="12"/>
        <v>0</v>
      </c>
    </row>
    <row r="198" spans="1:27">
      <c r="A198" s="5" t="str">
        <f t="shared" si="10"/>
        <v>E3GasSector_Eval</v>
      </c>
      <c r="C198" t="s">
        <v>573</v>
      </c>
      <c r="Y198" t="b">
        <f t="shared" si="11"/>
        <v>1</v>
      </c>
      <c r="Z198" t="b">
        <f t="shared" si="12"/>
        <v>0</v>
      </c>
    </row>
    <row r="199" spans="1:27">
      <c r="A199" s="5" t="str">
        <f t="shared" si="10"/>
        <v>E3GasSavProfile_Eval</v>
      </c>
      <c r="C199" t="s">
        <v>574</v>
      </c>
      <c r="Y199" t="b">
        <f t="shared" si="11"/>
        <v>1</v>
      </c>
      <c r="Z199" t="b">
        <f t="shared" si="12"/>
        <v>0</v>
      </c>
    </row>
    <row r="200" spans="1:27">
      <c r="A200" s="5" t="str">
        <f t="shared" si="10"/>
        <v>EvalEUL</v>
      </c>
      <c r="C200" t="s">
        <v>581</v>
      </c>
      <c r="Y200" t="b">
        <f t="shared" si="11"/>
        <v>1</v>
      </c>
      <c r="Z200" t="b">
        <f t="shared" si="12"/>
        <v>0</v>
      </c>
    </row>
    <row r="201" spans="1:27">
      <c r="A201" s="5" t="str">
        <f t="shared" si="10"/>
        <v>EvalRUL</v>
      </c>
      <c r="C201" t="s">
        <v>582</v>
      </c>
      <c r="Y201" t="b">
        <f t="shared" si="8"/>
        <v>1</v>
      </c>
      <c r="Z201" t="b">
        <f t="shared" si="9"/>
        <v>0</v>
      </c>
    </row>
    <row r="202" spans="1:27">
      <c r="A202" s="5" t="str">
        <f t="shared" si="10"/>
        <v>RawEvalMeasAppType</v>
      </c>
      <c r="C202" t="s">
        <v>606</v>
      </c>
      <c r="Y202" t="b">
        <f t="shared" si="8"/>
        <v>1</v>
      </c>
      <c r="Z202" t="b">
        <f t="shared" si="9"/>
        <v>0</v>
      </c>
      <c r="AA202" t="s">
        <v>607</v>
      </c>
    </row>
    <row r="203" spans="1:27">
      <c r="A203" s="5" t="str">
        <f t="shared" si="10"/>
        <v>EvalMeasAppType</v>
      </c>
      <c r="C203" t="s">
        <v>605</v>
      </c>
      <c r="U203" s="8"/>
      <c r="Y203" t="b">
        <f t="shared" si="8"/>
        <v>1</v>
      </c>
      <c r="Z203" t="b">
        <f t="shared" si="9"/>
        <v>0</v>
      </c>
      <c r="AA203" t="s">
        <v>608</v>
      </c>
    </row>
    <row r="204" spans="1:27">
      <c r="A204" s="5" t="str">
        <f t="shared" si="10"/>
        <v>RigorkWh</v>
      </c>
      <c r="C204" t="s">
        <v>506</v>
      </c>
      <c r="Y204" t="b">
        <f t="shared" si="8"/>
        <v>1</v>
      </c>
      <c r="Z204" t="b">
        <f t="shared" si="9"/>
        <v>0</v>
      </c>
    </row>
    <row r="205" spans="1:27">
      <c r="A205" s="5" t="str">
        <f t="shared" si="10"/>
        <v>RigorTherm</v>
      </c>
      <c r="C205" t="s">
        <v>507</v>
      </c>
      <c r="Y205" t="b">
        <f t="shared" ref="Y205:Y239" si="14">IF(NOT(ISBLANK(A205)), LEN(_xlfn.CONCAT(C205:X205))&gt;0, "")</f>
        <v>1</v>
      </c>
      <c r="Z205" t="b">
        <f t="shared" si="9"/>
        <v>0</v>
      </c>
    </row>
    <row r="206" spans="1:27">
      <c r="A206" s="5" t="str">
        <f t="shared" ref="A206:A266" si="15">IF(ISBLANK(C206), D206, C206)</f>
        <v>NetTrack</v>
      </c>
      <c r="C206" t="s">
        <v>369</v>
      </c>
      <c r="Y206" t="b">
        <f t="shared" si="14"/>
        <v>1</v>
      </c>
      <c r="Z206" t="b">
        <f t="shared" si="9"/>
        <v>0</v>
      </c>
    </row>
    <row r="207" spans="1:27">
      <c r="A207" s="5" t="str">
        <f t="shared" si="15"/>
        <v>certaintykwh</v>
      </c>
      <c r="C207" t="s">
        <v>587</v>
      </c>
      <c r="Y207" t="b">
        <f t="shared" si="14"/>
        <v>1</v>
      </c>
      <c r="Z207" t="b">
        <f t="shared" si="9"/>
        <v>0</v>
      </c>
    </row>
    <row r="208" spans="1:27">
      <c r="A208" s="5" t="str">
        <f t="shared" si="15"/>
        <v>certaintythm</v>
      </c>
      <c r="C208" t="s">
        <v>591</v>
      </c>
      <c r="Y208" t="b">
        <f t="shared" si="14"/>
        <v>1</v>
      </c>
      <c r="Z208" t="b">
        <f t="shared" si="9"/>
        <v>0</v>
      </c>
    </row>
    <row r="209" spans="1:26">
      <c r="A209" s="5" t="str">
        <f t="shared" si="15"/>
        <v>ss_sampled_kwh</v>
      </c>
      <c r="C209" t="s">
        <v>2419</v>
      </c>
      <c r="Y209" t="b">
        <f t="shared" si="14"/>
        <v>1</v>
      </c>
      <c r="Z209" t="b">
        <f t="shared" si="9"/>
        <v>0</v>
      </c>
    </row>
    <row r="210" spans="1:26">
      <c r="A210" s="5" t="str">
        <f t="shared" si="15"/>
        <v>ss_sampled_thm</v>
      </c>
      <c r="C210" t="s">
        <v>2420</v>
      </c>
      <c r="Y210" t="b">
        <f t="shared" si="14"/>
        <v>1</v>
      </c>
      <c r="Z210" t="b">
        <f t="shared" si="9"/>
        <v>0</v>
      </c>
    </row>
    <row r="211" spans="1:26">
      <c r="A211" s="5" t="str">
        <f t="shared" si="15"/>
        <v>poolkwh</v>
      </c>
      <c r="C211" t="s">
        <v>588</v>
      </c>
      <c r="Y211" t="b">
        <f t="shared" si="14"/>
        <v>1</v>
      </c>
      <c r="Z211" t="b">
        <f t="shared" si="9"/>
        <v>0</v>
      </c>
    </row>
    <row r="212" spans="1:26">
      <c r="A212" s="5" t="str">
        <f t="shared" si="15"/>
        <v>poolthm</v>
      </c>
      <c r="C212" t="s">
        <v>592</v>
      </c>
      <c r="Y212" t="b">
        <f t="shared" si="14"/>
        <v>1</v>
      </c>
      <c r="Z212" t="b">
        <f t="shared" si="9"/>
        <v>0</v>
      </c>
    </row>
    <row r="213" spans="1:26">
      <c r="A213" s="5" t="str">
        <f t="shared" si="15"/>
        <v>Frame_Electric</v>
      </c>
      <c r="C213" t="s">
        <v>1771</v>
      </c>
      <c r="Y213" t="b">
        <f t="shared" si="14"/>
        <v>1</v>
      </c>
      <c r="Z213" t="b">
        <f t="shared" si="9"/>
        <v>0</v>
      </c>
    </row>
    <row r="214" spans="1:26">
      <c r="A214" s="5" t="str">
        <f t="shared" si="15"/>
        <v>Frame_Gas</v>
      </c>
      <c r="C214" t="s">
        <v>1772</v>
      </c>
      <c r="Y214" t="b">
        <f t="shared" si="14"/>
        <v>1</v>
      </c>
      <c r="Z214" t="b">
        <f t="shared" si="9"/>
        <v>0</v>
      </c>
    </row>
    <row r="215" spans="1:26">
      <c r="A215" s="5" t="str">
        <f t="shared" si="15"/>
        <v>ss_stratum_kwh</v>
      </c>
      <c r="C215" t="s">
        <v>618</v>
      </c>
      <c r="Y215" t="b">
        <f t="shared" si="14"/>
        <v>1</v>
      </c>
      <c r="Z215" t="b">
        <f t="shared" si="9"/>
        <v>0</v>
      </c>
    </row>
    <row r="216" spans="1:26">
      <c r="A216" s="5" t="str">
        <f t="shared" si="15"/>
        <v>ss_stratum_thm</v>
      </c>
      <c r="C216" t="s">
        <v>619</v>
      </c>
      <c r="Y216" t="b">
        <f t="shared" si="14"/>
        <v>1</v>
      </c>
      <c r="Z216" t="b">
        <f t="shared" si="9"/>
        <v>0</v>
      </c>
    </row>
    <row r="217" spans="1:26">
      <c r="A217" s="5" t="str">
        <f t="shared" si="15"/>
        <v>domain_stratum_pop_kw</v>
      </c>
      <c r="C217" t="s">
        <v>1643</v>
      </c>
      <c r="Y217" t="b">
        <f t="shared" si="14"/>
        <v>1</v>
      </c>
      <c r="Z217" t="b">
        <f t="shared" si="9"/>
        <v>0</v>
      </c>
    </row>
    <row r="218" spans="1:26">
      <c r="A218" s="5" t="str">
        <f t="shared" si="15"/>
        <v>domain_stratum_pop_kwh</v>
      </c>
      <c r="C218" t="s">
        <v>1641</v>
      </c>
      <c r="Y218" t="b">
        <f t="shared" si="14"/>
        <v>1</v>
      </c>
      <c r="Z218" t="b">
        <f t="shared" si="9"/>
        <v>0</v>
      </c>
    </row>
    <row r="219" spans="1:26">
      <c r="A219" s="5" t="str">
        <f t="shared" si="15"/>
        <v>domain_stratum_pop_thm</v>
      </c>
      <c r="C219" t="s">
        <v>1642</v>
      </c>
      <c r="Y219" t="b">
        <f t="shared" si="14"/>
        <v>1</v>
      </c>
      <c r="Z219" t="b">
        <f t="shared" si="9"/>
        <v>0</v>
      </c>
    </row>
    <row r="220" spans="1:26">
      <c r="A220" s="5" t="str">
        <f t="shared" si="15"/>
        <v>domain_stratum_smp_kw_prelim</v>
      </c>
      <c r="C220" t="s">
        <v>1645</v>
      </c>
      <c r="Y220" t="b">
        <f t="shared" si="14"/>
        <v>1</v>
      </c>
      <c r="Z220" t="b">
        <f t="shared" si="9"/>
        <v>0</v>
      </c>
    </row>
    <row r="221" spans="1:26">
      <c r="A221" s="5" t="str">
        <f t="shared" si="15"/>
        <v>domain_stratum_smp_kw</v>
      </c>
      <c r="C221" t="s">
        <v>1644</v>
      </c>
      <c r="Y221" t="b">
        <f t="shared" si="14"/>
        <v>1</v>
      </c>
      <c r="Z221" t="b">
        <f t="shared" ref="Z221:Z270" si="16">AND(ISNUMBER(SEARCH("kw",_xlfn.CONCAT(I221:X221))), ISNUMBER(SEARCH("thm",_xlfn.CONCAT(I221:X221))))</f>
        <v>0</v>
      </c>
    </row>
    <row r="222" spans="1:26">
      <c r="A222" s="5" t="str">
        <f t="shared" si="15"/>
        <v>domain_stratum_smp_kwh_prelim</v>
      </c>
      <c r="C222" t="s">
        <v>1647</v>
      </c>
      <c r="Y222" t="b">
        <f t="shared" si="14"/>
        <v>1</v>
      </c>
      <c r="Z222" t="b">
        <f t="shared" si="16"/>
        <v>0</v>
      </c>
    </row>
    <row r="223" spans="1:26">
      <c r="A223" s="5" t="str">
        <f t="shared" si="15"/>
        <v>domain_stratum_smp_kwh</v>
      </c>
      <c r="C223" t="s">
        <v>1646</v>
      </c>
      <c r="Y223" t="b">
        <f t="shared" si="14"/>
        <v>1</v>
      </c>
      <c r="Z223" t="b">
        <f t="shared" si="16"/>
        <v>0</v>
      </c>
    </row>
    <row r="224" spans="1:26">
      <c r="A224" s="5" t="str">
        <f t="shared" si="15"/>
        <v>domain_stratum_smp_thm_prelim</v>
      </c>
      <c r="C224" t="s">
        <v>1648</v>
      </c>
      <c r="Y224" t="b">
        <f t="shared" si="14"/>
        <v>1</v>
      </c>
      <c r="Z224" t="b">
        <f t="shared" si="16"/>
        <v>0</v>
      </c>
    </row>
    <row r="225" spans="1:26">
      <c r="A225" s="5" t="str">
        <f t="shared" si="15"/>
        <v>domain_stratum_smp_thm</v>
      </c>
      <c r="C225" t="s">
        <v>1649</v>
      </c>
      <c r="Y225" t="b">
        <f t="shared" si="14"/>
        <v>1</v>
      </c>
      <c r="Z225" t="b">
        <f t="shared" si="16"/>
        <v>0</v>
      </c>
    </row>
    <row r="226" spans="1:26">
      <c r="A226" s="5" t="str">
        <f t="shared" si="15"/>
        <v>domain_weight_kw</v>
      </c>
      <c r="C226" t="s">
        <v>1650</v>
      </c>
      <c r="Y226" t="b">
        <f t="shared" si="14"/>
        <v>1</v>
      </c>
      <c r="Z226" t="b">
        <f t="shared" si="16"/>
        <v>0</v>
      </c>
    </row>
    <row r="227" spans="1:26">
      <c r="A227" s="5" t="str">
        <f t="shared" si="15"/>
        <v>domain_weight_kwh</v>
      </c>
      <c r="C227" t="s">
        <v>1651</v>
      </c>
      <c r="Y227" t="b">
        <f t="shared" si="14"/>
        <v>1</v>
      </c>
      <c r="Z227" t="b">
        <f t="shared" si="16"/>
        <v>0</v>
      </c>
    </row>
    <row r="228" spans="1:26">
      <c r="A228" s="5" t="str">
        <f t="shared" si="15"/>
        <v>domain_weight_thm</v>
      </c>
      <c r="C228" t="s">
        <v>1652</v>
      </c>
      <c r="Y228" t="b">
        <f t="shared" si="14"/>
        <v>1</v>
      </c>
      <c r="Z228" t="b">
        <f t="shared" si="16"/>
        <v>0</v>
      </c>
    </row>
    <row r="229" spans="1:26">
      <c r="A229" s="5" t="str">
        <f t="shared" si="15"/>
        <v>domain_prob_sel_kw</v>
      </c>
      <c r="C229" t="s">
        <v>1731</v>
      </c>
      <c r="Y229" t="b">
        <f t="shared" si="14"/>
        <v>1</v>
      </c>
      <c r="Z229" t="b">
        <f t="shared" si="16"/>
        <v>0</v>
      </c>
    </row>
    <row r="230" spans="1:26">
      <c r="A230" s="5" t="str">
        <f t="shared" si="15"/>
        <v>domain_prob_sel_kwh</v>
      </c>
      <c r="C230" t="s">
        <v>1732</v>
      </c>
      <c r="Y230" t="b">
        <f t="shared" si="14"/>
        <v>1</v>
      </c>
      <c r="Z230" t="b">
        <f t="shared" si="16"/>
        <v>0</v>
      </c>
    </row>
    <row r="231" spans="1:26">
      <c r="A231" s="5" t="str">
        <f t="shared" si="15"/>
        <v>domain_prob_sel_thm</v>
      </c>
      <c r="C231" t="s">
        <v>1733</v>
      </c>
      <c r="Y231" t="b">
        <f t="shared" si="14"/>
        <v>1</v>
      </c>
      <c r="Z231" t="b">
        <f t="shared" si="16"/>
        <v>0</v>
      </c>
    </row>
    <row r="232" spans="1:26">
      <c r="A232" s="5" t="str">
        <f t="shared" si="15"/>
        <v>strkwh_pop_count</v>
      </c>
      <c r="B232" t="s">
        <v>1764</v>
      </c>
      <c r="C232" t="s">
        <v>620</v>
      </c>
      <c r="Y232" t="b">
        <f t="shared" si="14"/>
        <v>1</v>
      </c>
      <c r="Z232" t="b">
        <f t="shared" si="16"/>
        <v>0</v>
      </c>
    </row>
    <row r="233" spans="1:26">
      <c r="A233" s="5" t="str">
        <f t="shared" si="15"/>
        <v>strkwh_smp_count_prelim</v>
      </c>
      <c r="C233" t="s">
        <v>674</v>
      </c>
      <c r="Y233" t="b">
        <f t="shared" si="14"/>
        <v>1</v>
      </c>
      <c r="Z233" t="b">
        <f t="shared" si="16"/>
        <v>0</v>
      </c>
    </row>
    <row r="234" spans="1:26">
      <c r="A234" s="5" t="str">
        <f t="shared" si="15"/>
        <v>strkwh_smp_count</v>
      </c>
      <c r="C234" t="s">
        <v>622</v>
      </c>
      <c r="Y234" t="b">
        <f t="shared" si="14"/>
        <v>1</v>
      </c>
      <c r="Z234" t="b">
        <f t="shared" si="16"/>
        <v>0</v>
      </c>
    </row>
    <row r="235" spans="1:26">
      <c r="A235" s="5" t="str">
        <f t="shared" si="15"/>
        <v>strthm_pop_count</v>
      </c>
      <c r="C235" t="s">
        <v>623</v>
      </c>
      <c r="Y235" t="b">
        <f t="shared" si="14"/>
        <v>1</v>
      </c>
      <c r="Z235" t="b">
        <f t="shared" si="16"/>
        <v>0</v>
      </c>
    </row>
    <row r="236" spans="1:26">
      <c r="A236" s="5" t="str">
        <f t="shared" si="15"/>
        <v>strthm_smp_count_prelim</v>
      </c>
      <c r="C236" t="s">
        <v>675</v>
      </c>
      <c r="Y236" t="b">
        <f t="shared" si="14"/>
        <v>1</v>
      </c>
      <c r="Z236" t="b">
        <f t="shared" si="16"/>
        <v>0</v>
      </c>
    </row>
    <row r="237" spans="1:26">
      <c r="A237" s="5" t="str">
        <f t="shared" si="15"/>
        <v>strthm_smp_count</v>
      </c>
      <c r="C237" t="s">
        <v>621</v>
      </c>
      <c r="Y237" t="b">
        <f t="shared" si="14"/>
        <v>1</v>
      </c>
      <c r="Z237" t="b">
        <f t="shared" si="16"/>
        <v>0</v>
      </c>
    </row>
    <row r="238" spans="1:26">
      <c r="A238" s="5" t="str">
        <f t="shared" si="15"/>
        <v>subsample_weight_kwh</v>
      </c>
      <c r="C238" t="s">
        <v>614</v>
      </c>
      <c r="Y238" t="b">
        <f t="shared" si="14"/>
        <v>1</v>
      </c>
      <c r="Z238" t="b">
        <f t="shared" si="16"/>
        <v>0</v>
      </c>
    </row>
    <row r="239" spans="1:26">
      <c r="A239" s="5" t="str">
        <f t="shared" si="15"/>
        <v>subsample_weight_thm</v>
      </c>
      <c r="C239" t="s">
        <v>615</v>
      </c>
      <c r="Y239" t="b">
        <f t="shared" si="14"/>
        <v>1</v>
      </c>
      <c r="Z239" t="b">
        <f t="shared" si="16"/>
        <v>0</v>
      </c>
    </row>
    <row r="240" spans="1:26">
      <c r="A240" s="5" t="str">
        <f t="shared" si="15"/>
        <v>ss_prob_sel_kwh</v>
      </c>
      <c r="C240" t="s">
        <v>1736</v>
      </c>
      <c r="Y240" t="b">
        <f t="shared" ref="Y240:Y242" si="17">IF(NOT(ISBLANK(A240)), LEN(_xlfn.CONCAT(C240:X240))&gt;0, "")</f>
        <v>1</v>
      </c>
      <c r="Z240" t="b">
        <f t="shared" ref="Z240:Z242" si="18">AND(ISNUMBER(SEARCH("kw",_xlfn.CONCAT(I240:X240))), ISNUMBER(SEARCH("thm",_xlfn.CONCAT(I240:X240))))</f>
        <v>0</v>
      </c>
    </row>
    <row r="241" spans="1:31">
      <c r="A241" s="5" t="str">
        <f t="shared" si="15"/>
        <v>ss_prob_sel_thm</v>
      </c>
      <c r="C241" t="s">
        <v>1735</v>
      </c>
      <c r="Y241" t="b">
        <f t="shared" si="17"/>
        <v>1</v>
      </c>
      <c r="Z241" t="b">
        <f t="shared" si="18"/>
        <v>0</v>
      </c>
    </row>
    <row r="242" spans="1:31">
      <c r="A242" s="5" t="str">
        <f t="shared" si="15"/>
        <v>EvalEUL_Yrs</v>
      </c>
      <c r="C242" t="s">
        <v>603</v>
      </c>
      <c r="D242" s="3"/>
      <c r="E242" s="3"/>
      <c r="Y242" t="b">
        <f t="shared" si="17"/>
        <v>1</v>
      </c>
      <c r="Z242" t="b">
        <f t="shared" si="18"/>
        <v>0</v>
      </c>
      <c r="AE242" t="str">
        <f>A200 &amp; " .notna(), ( " &amp; A200 &amp; " ) , ( " &amp; A103 &amp; " )"</f>
        <v>EvalEUL .notna(), ( EvalEUL ) , ( EUL_Yrs )</v>
      </c>
    </row>
    <row r="243" spans="1:31">
      <c r="A243" s="5" t="str">
        <f t="shared" si="15"/>
        <v>EvalRUL_Yrs</v>
      </c>
      <c r="C243" t="s">
        <v>604</v>
      </c>
      <c r="D243" s="3"/>
      <c r="E243" s="3"/>
      <c r="Y243" t="b">
        <f t="shared" ref="Y243:Y274" si="19">IF(NOT(ISBLANK(A243)), LEN(_xlfn.CONCAT(C243:X243))&gt;0, "")</f>
        <v>1</v>
      </c>
      <c r="Z243" t="b">
        <f t="shared" si="16"/>
        <v>0</v>
      </c>
    </row>
    <row r="244" spans="1:31">
      <c r="A244" s="5" t="str">
        <f t="shared" si="15"/>
        <v>ss_wtd_Claim_EUL_kwh</v>
      </c>
      <c r="C244" t="s">
        <v>682</v>
      </c>
      <c r="Y244" t="b">
        <f t="shared" si="19"/>
        <v>1</v>
      </c>
      <c r="Z244" t="b">
        <f t="shared" si="16"/>
        <v>0</v>
      </c>
    </row>
    <row r="245" spans="1:31">
      <c r="A245" s="5" t="str">
        <f t="shared" si="15"/>
        <v>ss_wtd_Claim_EUL_thm</v>
      </c>
      <c r="C245" t="s">
        <v>683</v>
      </c>
      <c r="Y245" t="b">
        <f t="shared" si="19"/>
        <v>1</v>
      </c>
      <c r="Z245" t="b">
        <f t="shared" si="16"/>
        <v>0</v>
      </c>
    </row>
    <row r="246" spans="1:31">
      <c r="A246" s="5" t="str">
        <f t="shared" si="15"/>
        <v>ss_wtd_Eval_EUL_kwh</v>
      </c>
      <c r="C246" t="s">
        <v>684</v>
      </c>
      <c r="Y246" t="b">
        <f t="shared" si="19"/>
        <v>1</v>
      </c>
      <c r="Z246" t="b">
        <f t="shared" si="16"/>
        <v>0</v>
      </c>
    </row>
    <row r="247" spans="1:31">
      <c r="A247" s="5" t="str">
        <f t="shared" si="15"/>
        <v>ss_wtd_Eval_EUL_thm</v>
      </c>
      <c r="C247" t="s">
        <v>685</v>
      </c>
      <c r="Y247" t="b">
        <f t="shared" si="19"/>
        <v>1</v>
      </c>
      <c r="Z247" t="b">
        <f t="shared" si="16"/>
        <v>0</v>
      </c>
    </row>
    <row r="248" spans="1:31">
      <c r="A248" s="5" t="str">
        <f t="shared" si="15"/>
        <v>ss_EUL_kwh_rr</v>
      </c>
      <c r="C248" t="s">
        <v>686</v>
      </c>
      <c r="Y248" t="b">
        <f t="shared" si="19"/>
        <v>1</v>
      </c>
      <c r="Z248" t="b">
        <f t="shared" si="16"/>
        <v>0</v>
      </c>
    </row>
    <row r="249" spans="1:31">
      <c r="A249" s="5" t="str">
        <f t="shared" si="15"/>
        <v>ss_EUL_thm_rr</v>
      </c>
      <c r="C249" t="s">
        <v>687</v>
      </c>
      <c r="Y249" t="b">
        <f t="shared" si="19"/>
        <v>1</v>
      </c>
      <c r="Z249" t="b">
        <f t="shared" si="16"/>
        <v>0</v>
      </c>
    </row>
    <row r="250" spans="1:31">
      <c r="A250" s="5" t="str">
        <f t="shared" si="15"/>
        <v>adj_EvalEUL_Yrs_kwh</v>
      </c>
      <c r="C250" t="s">
        <v>2206</v>
      </c>
      <c r="Y250" t="b">
        <f t="shared" si="19"/>
        <v>1</v>
      </c>
      <c r="Z250" t="b">
        <f t="shared" si="16"/>
        <v>0</v>
      </c>
    </row>
    <row r="251" spans="1:31">
      <c r="A251" s="5" t="str">
        <f t="shared" si="15"/>
        <v>adj_EvalEUL_Yrs_thm</v>
      </c>
      <c r="C251" t="s">
        <v>2207</v>
      </c>
      <c r="Y251" t="b">
        <f t="shared" si="19"/>
        <v>1</v>
      </c>
      <c r="Z251" t="b">
        <f t="shared" si="16"/>
        <v>0</v>
      </c>
    </row>
    <row r="252" spans="1:31">
      <c r="A252" s="5" t="str">
        <f t="shared" si="15"/>
        <v>svg_wtd_adj_Eval_EUL_kwh</v>
      </c>
      <c r="C252" t="s">
        <v>2208</v>
      </c>
      <c r="Y252" t="b">
        <f t="shared" si="19"/>
        <v>1</v>
      </c>
      <c r="Z252" t="b">
        <f t="shared" si="16"/>
        <v>0</v>
      </c>
    </row>
    <row r="253" spans="1:31">
      <c r="A253" s="5" t="str">
        <f t="shared" si="15"/>
        <v>svg_wtd_adj_Eval_EUL_thm</v>
      </c>
      <c r="C253" t="s">
        <v>2209</v>
      </c>
      <c r="Y253" t="b">
        <f t="shared" si="19"/>
        <v>1</v>
      </c>
      <c r="Z253" t="b">
        <f t="shared" si="16"/>
        <v>0</v>
      </c>
    </row>
    <row r="254" spans="1:31">
      <c r="A254" s="5" t="str">
        <f t="shared" si="15"/>
        <v>prj_EvalEUL_Yrs_kwh</v>
      </c>
      <c r="C254" t="s">
        <v>688</v>
      </c>
      <c r="Y254" t="b">
        <f t="shared" si="19"/>
        <v>1</v>
      </c>
      <c r="Z254" t="b">
        <f t="shared" si="16"/>
        <v>0</v>
      </c>
    </row>
    <row r="255" spans="1:31">
      <c r="A255" s="5" t="str">
        <f t="shared" si="15"/>
        <v>prj_EvalEUL_Yrs_thm</v>
      </c>
      <c r="C255" t="s">
        <v>689</v>
      </c>
      <c r="Y255" t="b">
        <f t="shared" si="19"/>
        <v>1</v>
      </c>
      <c r="Z255" t="b">
        <f t="shared" si="16"/>
        <v>0</v>
      </c>
    </row>
    <row r="256" spans="1:31">
      <c r="A256" s="5" t="str">
        <f t="shared" si="15"/>
        <v>svg_wtd_adj_ExAnte_EUL_kwh</v>
      </c>
      <c r="C256" t="s">
        <v>2210</v>
      </c>
      <c r="Y256" t="b">
        <f t="shared" si="19"/>
        <v>1</v>
      </c>
      <c r="Z256" t="b">
        <f t="shared" si="16"/>
        <v>0</v>
      </c>
    </row>
    <row r="257" spans="1:26">
      <c r="A257" s="5" t="str">
        <f t="shared" si="15"/>
        <v>svg_wtd_adj_ExAnte_EUL_thm</v>
      </c>
      <c r="C257" t="s">
        <v>2211</v>
      </c>
      <c r="Y257" t="b">
        <f t="shared" si="19"/>
        <v>1</v>
      </c>
      <c r="Z257" t="b">
        <f t="shared" si="16"/>
        <v>0</v>
      </c>
    </row>
    <row r="258" spans="1:26">
      <c r="A258" s="5" t="str">
        <f t="shared" si="15"/>
        <v>prj_ExAnte_EUL_kwh</v>
      </c>
      <c r="C258" t="s">
        <v>2212</v>
      </c>
      <c r="Y258" t="b">
        <f t="shared" si="19"/>
        <v>1</v>
      </c>
      <c r="Z258" t="b">
        <f t="shared" si="16"/>
        <v>0</v>
      </c>
    </row>
    <row r="259" spans="1:26">
      <c r="A259" s="5" t="str">
        <f t="shared" si="15"/>
        <v>prj_ExAnte_EUL_thm</v>
      </c>
      <c r="C259" t="s">
        <v>2213</v>
      </c>
      <c r="Y259" t="b">
        <f t="shared" si="19"/>
        <v>1</v>
      </c>
      <c r="Z259" t="b">
        <f t="shared" si="16"/>
        <v>0</v>
      </c>
    </row>
    <row r="260" spans="1:26">
      <c r="A260" s="5" t="str">
        <f t="shared" si="15"/>
        <v>ss_ExPostLifecycleGrosskW_raw</v>
      </c>
      <c r="C260" t="s">
        <v>2290</v>
      </c>
      <c r="V260" s="3"/>
      <c r="Y260" t="b">
        <f t="shared" si="19"/>
        <v>1</v>
      </c>
      <c r="Z260" t="b">
        <f t="shared" si="16"/>
        <v>0</v>
      </c>
    </row>
    <row r="261" spans="1:26">
      <c r="A261" s="5" t="str">
        <f t="shared" si="15"/>
        <v>ss_ExPostLifecycleGrosskWh_raw</v>
      </c>
      <c r="C261" t="s">
        <v>2291</v>
      </c>
      <c r="V261" s="3"/>
      <c r="Y261" t="b">
        <f t="shared" si="19"/>
        <v>1</v>
      </c>
      <c r="Z261" t="b">
        <f t="shared" si="16"/>
        <v>0</v>
      </c>
    </row>
    <row r="262" spans="1:26">
      <c r="A262" s="5" t="str">
        <f t="shared" si="15"/>
        <v>ss_ExPostLifecycleGrossthm_raw</v>
      </c>
      <c r="C262" t="s">
        <v>2292</v>
      </c>
      <c r="V262" s="3"/>
      <c r="Y262" t="b">
        <f t="shared" si="19"/>
        <v>1</v>
      </c>
      <c r="Z262" t="b">
        <f t="shared" si="16"/>
        <v>0</v>
      </c>
    </row>
    <row r="263" spans="1:26">
      <c r="A263" s="5" t="str">
        <f t="shared" si="15"/>
        <v>ss_ExPostLifecycleGrosskW</v>
      </c>
      <c r="C263" t="s">
        <v>635</v>
      </c>
      <c r="V263" s="3"/>
      <c r="Y263" t="b">
        <f t="shared" si="19"/>
        <v>1</v>
      </c>
      <c r="Z263" t="b">
        <f t="shared" si="16"/>
        <v>0</v>
      </c>
    </row>
    <row r="264" spans="1:26">
      <c r="A264" s="5" t="str">
        <f t="shared" si="15"/>
        <v>ss_ExPostLifecycleGrosskWh</v>
      </c>
      <c r="C264" t="s">
        <v>636</v>
      </c>
      <c r="V264" s="3"/>
      <c r="Y264" t="b">
        <f t="shared" si="19"/>
        <v>1</v>
      </c>
      <c r="Z264" t="b">
        <f t="shared" si="16"/>
        <v>0</v>
      </c>
    </row>
    <row r="265" spans="1:26">
      <c r="A265" s="5" t="str">
        <f t="shared" si="15"/>
        <v>ss_ExPostLifecycleGrossthm</v>
      </c>
      <c r="C265" t="s">
        <v>637</v>
      </c>
      <c r="V265" s="3"/>
      <c r="Y265" t="b">
        <f t="shared" si="19"/>
        <v>1</v>
      </c>
      <c r="Z265" t="b">
        <f t="shared" si="16"/>
        <v>0</v>
      </c>
    </row>
    <row r="266" spans="1:26">
      <c r="A266" s="5" t="str">
        <f t="shared" si="15"/>
        <v>pai_2</v>
      </c>
      <c r="C266" t="s">
        <v>2086</v>
      </c>
      <c r="V266" s="3"/>
      <c r="Y266" t="b">
        <f t="shared" si="19"/>
        <v>1</v>
      </c>
      <c r="Z266" t="b">
        <f t="shared" si="16"/>
        <v>0</v>
      </c>
    </row>
    <row r="267" spans="1:26">
      <c r="A267" s="5" t="str">
        <f t="shared" ref="A267:A358" si="20">IF(ISBLANK(C267), D267, C267)</f>
        <v>pai_3</v>
      </c>
      <c r="C267" t="s">
        <v>2087</v>
      </c>
      <c r="V267" s="3"/>
      <c r="Y267" t="b">
        <f t="shared" si="19"/>
        <v>1</v>
      </c>
      <c r="Z267" t="b">
        <f t="shared" si="16"/>
        <v>0</v>
      </c>
    </row>
    <row r="268" spans="1:26">
      <c r="A268" s="5" t="str">
        <f t="shared" si="20"/>
        <v>pai_1</v>
      </c>
      <c r="C268" t="s">
        <v>2088</v>
      </c>
      <c r="V268" s="3"/>
      <c r="Y268" t="b">
        <f t="shared" si="19"/>
        <v>1</v>
      </c>
      <c r="Z268" t="b">
        <f t="shared" si="16"/>
        <v>0</v>
      </c>
    </row>
    <row r="269" spans="1:26">
      <c r="A269" s="5" t="str">
        <f t="shared" si="20"/>
        <v>pai_5</v>
      </c>
      <c r="C269" t="s">
        <v>2089</v>
      </c>
      <c r="V269" s="3"/>
      <c r="Y269" t="b">
        <f t="shared" si="19"/>
        <v>1</v>
      </c>
      <c r="Z269" t="b">
        <f t="shared" si="16"/>
        <v>0</v>
      </c>
    </row>
    <row r="270" spans="1:26">
      <c r="A270" s="5" t="str">
        <f t="shared" si="20"/>
        <v>pai_4</v>
      </c>
      <c r="C270" t="s">
        <v>2090</v>
      </c>
      <c r="V270" s="3"/>
      <c r="Y270" t="b">
        <f t="shared" si="19"/>
        <v>1</v>
      </c>
      <c r="Z270" t="b">
        <f t="shared" si="16"/>
        <v>0</v>
      </c>
    </row>
    <row r="271" spans="1:26">
      <c r="A271" s="5" t="str">
        <f t="shared" si="20"/>
        <v>ss_annual_gross_kw</v>
      </c>
      <c r="C271" t="s">
        <v>638</v>
      </c>
      <c r="T271" s="9"/>
      <c r="U271" s="9"/>
      <c r="V271" s="3"/>
      <c r="Y271" t="b">
        <f t="shared" si="19"/>
        <v>1</v>
      </c>
      <c r="Z271" t="b">
        <f t="shared" ref="Z271:Z324" si="21">AND(ISNUMBER(SEARCH("kw",_xlfn.CONCAT(I271:X271))), ISNUMBER(SEARCH("thm",_xlfn.CONCAT(I271:X271))))</f>
        <v>0</v>
      </c>
    </row>
    <row r="272" spans="1:26">
      <c r="A272" s="5" t="str">
        <f t="shared" si="20"/>
        <v>ss_annual_gross_kwh</v>
      </c>
      <c r="C272" t="s">
        <v>639</v>
      </c>
      <c r="T272" s="9"/>
      <c r="U272" s="9"/>
      <c r="V272" s="3"/>
      <c r="Y272" t="b">
        <f t="shared" si="19"/>
        <v>1</v>
      </c>
      <c r="Z272" t="b">
        <f t="shared" si="21"/>
        <v>0</v>
      </c>
    </row>
    <row r="273" spans="1:30">
      <c r="A273" s="5" t="str">
        <f t="shared" si="20"/>
        <v>ss_annual_gross_thm</v>
      </c>
      <c r="C273" t="s">
        <v>640</v>
      </c>
      <c r="T273" s="9"/>
      <c r="U273" s="9"/>
      <c r="V273" s="3"/>
      <c r="Y273" t="b">
        <f t="shared" si="19"/>
        <v>1</v>
      </c>
      <c r="Z273" t="b">
        <f t="shared" si="21"/>
        <v>0</v>
      </c>
    </row>
    <row r="274" spans="1:30">
      <c r="A274" s="5" t="str">
        <f t="shared" si="20"/>
        <v>str_wt_ExPost_annualized_gross_kw</v>
      </c>
      <c r="C274" t="s">
        <v>659</v>
      </c>
      <c r="Y274" t="b">
        <f t="shared" si="19"/>
        <v>1</v>
      </c>
      <c r="Z274" t="b">
        <f t="shared" si="21"/>
        <v>0</v>
      </c>
    </row>
    <row r="275" spans="1:30">
      <c r="A275" s="5" t="str">
        <f t="shared" si="20"/>
        <v>str_wt_ExPost_annualized_gross_kwh</v>
      </c>
      <c r="C275" t="s">
        <v>660</v>
      </c>
      <c r="Y275" t="b">
        <f t="shared" ref="Y275:Y334" si="22">IF(NOT(ISBLANK(A275)), LEN(_xlfn.CONCAT(C275:X275))&gt;0, "")</f>
        <v>1</v>
      </c>
      <c r="Z275" t="b">
        <f t="shared" si="21"/>
        <v>0</v>
      </c>
    </row>
    <row r="276" spans="1:30">
      <c r="A276" s="5" t="str">
        <f t="shared" si="20"/>
        <v>str_wt_ExPost_annualized_gross_thm</v>
      </c>
      <c r="C276" t="s">
        <v>661</v>
      </c>
      <c r="Y276" t="b">
        <f t="shared" si="22"/>
        <v>1</v>
      </c>
      <c r="Z276" t="b">
        <f t="shared" si="21"/>
        <v>0</v>
      </c>
    </row>
    <row r="277" spans="1:30">
      <c r="A277" s="5" t="str">
        <f t="shared" si="20"/>
        <v>str_wt_ExAnte_annualized_gross_kw</v>
      </c>
      <c r="C277" t="s">
        <v>665</v>
      </c>
      <c r="Y277" t="b">
        <f t="shared" si="22"/>
        <v>1</v>
      </c>
      <c r="Z277" t="b">
        <f t="shared" si="21"/>
        <v>0</v>
      </c>
    </row>
    <row r="278" spans="1:30">
      <c r="A278" s="5" t="str">
        <f t="shared" si="20"/>
        <v>str_wt_ExAnte_annualized_gross_kwh</v>
      </c>
      <c r="C278" t="s">
        <v>667</v>
      </c>
      <c r="Y278" t="b">
        <f t="shared" si="22"/>
        <v>1</v>
      </c>
      <c r="Z278" t="b">
        <f t="shared" si="21"/>
        <v>0</v>
      </c>
    </row>
    <row r="279" spans="1:30">
      <c r="A279" s="5" t="str">
        <f t="shared" si="20"/>
        <v>str_wt_ExAnte_annualized_gross_thm</v>
      </c>
      <c r="C279" t="s">
        <v>666</v>
      </c>
      <c r="Y279" t="b">
        <f t="shared" si="22"/>
        <v>1</v>
      </c>
      <c r="Z279" t="b">
        <f t="shared" si="21"/>
        <v>0</v>
      </c>
    </row>
    <row r="280" spans="1:30">
      <c r="A280" s="5" t="str">
        <f t="shared" si="20"/>
        <v>prj_annualized_rr_kw</v>
      </c>
      <c r="C280" t="s">
        <v>1879</v>
      </c>
      <c r="N280" s="3"/>
      <c r="O280" s="3"/>
      <c r="Y280" t="b">
        <f t="shared" si="22"/>
        <v>1</v>
      </c>
      <c r="Z280" t="b">
        <f t="shared" si="21"/>
        <v>0</v>
      </c>
    </row>
    <row r="281" spans="1:30">
      <c r="A281" s="5" t="str">
        <f t="shared" si="20"/>
        <v>prj_annualized_rr_kwh</v>
      </c>
      <c r="C281" t="s">
        <v>1881</v>
      </c>
      <c r="N281" s="3"/>
      <c r="O281" s="3"/>
      <c r="Y281" t="b">
        <f t="shared" si="22"/>
        <v>1</v>
      </c>
      <c r="Z281" t="b">
        <f t="shared" si="21"/>
        <v>0</v>
      </c>
    </row>
    <row r="282" spans="1:30">
      <c r="A282" s="5" t="str">
        <f t="shared" si="20"/>
        <v>prj_annualized_rr_thm</v>
      </c>
      <c r="C282" t="s">
        <v>1880</v>
      </c>
      <c r="N282" s="3"/>
      <c r="O282" s="3"/>
      <c r="Y282" t="b">
        <f t="shared" si="22"/>
        <v>1</v>
      </c>
      <c r="Z282" t="b">
        <f t="shared" si="21"/>
        <v>0</v>
      </c>
    </row>
    <row r="283" spans="1:30">
      <c r="A283" s="5" t="str">
        <f t="shared" si="20"/>
        <v>EvalExPostAnnualizedGrosskW</v>
      </c>
      <c r="C283" t="s">
        <v>670</v>
      </c>
      <c r="Y283" t="b">
        <f t="shared" si="22"/>
        <v>1</v>
      </c>
      <c r="Z283" t="b">
        <f t="shared" si="21"/>
        <v>0</v>
      </c>
      <c r="AD283" t="e">
        <f>#REF!</f>
        <v>#REF!</v>
      </c>
    </row>
    <row r="284" spans="1:30">
      <c r="A284" s="5" t="str">
        <f t="shared" si="20"/>
        <v>EvalExPostAnnualizedGrosskWh</v>
      </c>
      <c r="C284" t="s">
        <v>671</v>
      </c>
      <c r="Y284" t="b">
        <f t="shared" si="22"/>
        <v>1</v>
      </c>
      <c r="Z284" t="b">
        <f t="shared" si="21"/>
        <v>0</v>
      </c>
      <c r="AD284" t="e">
        <f>#REF!</f>
        <v>#REF!</v>
      </c>
    </row>
    <row r="285" spans="1:30">
      <c r="A285" s="5" t="str">
        <f t="shared" si="20"/>
        <v>EvalExPostAnnualizedGrossTherm</v>
      </c>
      <c r="C285" t="s">
        <v>672</v>
      </c>
      <c r="Y285" t="b">
        <f t="shared" si="22"/>
        <v>1</v>
      </c>
      <c r="Z285" t="b">
        <f t="shared" si="21"/>
        <v>0</v>
      </c>
      <c r="AD285" t="e">
        <f>#REF!</f>
        <v>#REF!</v>
      </c>
    </row>
    <row r="286" spans="1:30">
      <c r="A286" s="5" t="str">
        <f t="shared" si="20"/>
        <v>EvalExPostLifeCycleGrosskW</v>
      </c>
      <c r="C286" t="s">
        <v>724</v>
      </c>
      <c r="Y286" t="b">
        <f t="shared" si="22"/>
        <v>1</v>
      </c>
      <c r="Z286" t="b">
        <f t="shared" si="21"/>
        <v>0</v>
      </c>
    </row>
    <row r="287" spans="1:30">
      <c r="A287" s="5" t="str">
        <f t="shared" si="20"/>
        <v>EvalExPostLifeCycleGrosskWh</v>
      </c>
      <c r="C287" t="s">
        <v>726</v>
      </c>
      <c r="Y287" t="b">
        <f t="shared" si="22"/>
        <v>1</v>
      </c>
      <c r="Z287" t="b">
        <f t="shared" si="21"/>
        <v>0</v>
      </c>
    </row>
    <row r="288" spans="1:30">
      <c r="A288" s="5" t="str">
        <f t="shared" si="20"/>
        <v>EvalExPostLifeCycleGrossTherm</v>
      </c>
      <c r="C288" t="s">
        <v>725</v>
      </c>
      <c r="Y288" t="b">
        <f t="shared" si="22"/>
        <v>1</v>
      </c>
      <c r="Z288" t="b">
        <f t="shared" si="21"/>
        <v>0</v>
      </c>
    </row>
    <row r="289" spans="1:26">
      <c r="A289" s="5" t="str">
        <f t="shared" si="20"/>
        <v>prj_lifecyclegross_rr_kw</v>
      </c>
      <c r="C289" t="s">
        <v>1882</v>
      </c>
      <c r="N289" s="3"/>
      <c r="O289" s="3"/>
      <c r="Y289" t="b">
        <f t="shared" si="22"/>
        <v>1</v>
      </c>
      <c r="Z289" t="b">
        <f t="shared" si="21"/>
        <v>0</v>
      </c>
    </row>
    <row r="290" spans="1:26">
      <c r="A290" s="5" t="str">
        <f t="shared" si="20"/>
        <v>prj_lifecyclegross_rr_kwh</v>
      </c>
      <c r="C290" t="s">
        <v>1883</v>
      </c>
      <c r="N290" s="3"/>
      <c r="O290" s="3"/>
      <c r="Y290" t="b">
        <f t="shared" si="22"/>
        <v>1</v>
      </c>
      <c r="Z290" t="b">
        <f t="shared" si="21"/>
        <v>0</v>
      </c>
    </row>
    <row r="291" spans="1:26">
      <c r="A291" s="5" t="str">
        <f t="shared" si="20"/>
        <v>prj_lifecyclegross_rr_thm</v>
      </c>
      <c r="C291" t="s">
        <v>1884</v>
      </c>
      <c r="N291" s="3"/>
      <c r="O291" s="3"/>
      <c r="Y291" t="b">
        <f t="shared" si="22"/>
        <v>1</v>
      </c>
      <c r="Z291" t="b">
        <f t="shared" si="21"/>
        <v>0</v>
      </c>
    </row>
    <row r="292" spans="1:26">
      <c r="A292" s="5" t="str">
        <f t="shared" si="20"/>
        <v>prj_firstyeargross_rr_kw</v>
      </c>
      <c r="C292" t="s">
        <v>2731</v>
      </c>
      <c r="N292" s="3"/>
      <c r="O292" s="3"/>
      <c r="Y292" t="b">
        <f t="shared" ref="Y292:Y297" si="23">IF(NOT(ISBLANK(A292)), LEN(_xlfn.CONCAT(C292:X292))&gt;0, "")</f>
        <v>1</v>
      </c>
      <c r="Z292" t="b">
        <f t="shared" ref="Z292:Z297" si="24">AND(ISNUMBER(SEARCH("kw",_xlfn.CONCAT(I292:X292))), ISNUMBER(SEARCH("thm",_xlfn.CONCAT(I292:X292))))</f>
        <v>0</v>
      </c>
    </row>
    <row r="293" spans="1:26">
      <c r="A293" s="5" t="str">
        <f t="shared" si="20"/>
        <v>prj_firstyeargross_rr_kwh</v>
      </c>
      <c r="C293" t="s">
        <v>2732</v>
      </c>
      <c r="N293" s="3"/>
      <c r="O293" s="3"/>
      <c r="Y293" t="b">
        <f t="shared" si="23"/>
        <v>1</v>
      </c>
      <c r="Z293" t="b">
        <f t="shared" si="24"/>
        <v>0</v>
      </c>
    </row>
    <row r="294" spans="1:26">
      <c r="A294" s="5" t="str">
        <f t="shared" si="20"/>
        <v>prj_firstyeargross_rr_thm</v>
      </c>
      <c r="C294" t="s">
        <v>2733</v>
      </c>
      <c r="N294" s="3"/>
      <c r="O294" s="3"/>
      <c r="Y294" t="b">
        <f t="shared" si="23"/>
        <v>1</v>
      </c>
      <c r="Z294" t="b">
        <f t="shared" si="24"/>
        <v>0</v>
      </c>
    </row>
    <row r="295" spans="1:26">
      <c r="A295" s="5" t="str">
        <f t="shared" si="20"/>
        <v>EvalExPostFirstYearGrosskW</v>
      </c>
      <c r="C295" t="s">
        <v>2518</v>
      </c>
      <c r="N295" s="3"/>
      <c r="O295" s="3"/>
      <c r="Y295" t="b">
        <f t="shared" si="23"/>
        <v>1</v>
      </c>
      <c r="Z295" t="b">
        <f t="shared" si="24"/>
        <v>0</v>
      </c>
    </row>
    <row r="296" spans="1:26">
      <c r="A296" s="5" t="str">
        <f t="shared" si="20"/>
        <v>EvalExPostFirstYearGrosskWh</v>
      </c>
      <c r="C296" t="s">
        <v>2519</v>
      </c>
      <c r="N296" s="3"/>
      <c r="O296" s="3"/>
      <c r="Y296" t="b">
        <f t="shared" si="23"/>
        <v>1</v>
      </c>
      <c r="Z296" t="b">
        <f t="shared" si="24"/>
        <v>0</v>
      </c>
    </row>
    <row r="297" spans="1:26">
      <c r="A297" s="5" t="str">
        <f t="shared" si="20"/>
        <v>EvalExPostFirstYearGrossTherm</v>
      </c>
      <c r="C297" t="s">
        <v>2520</v>
      </c>
      <c r="N297" s="3"/>
      <c r="O297" s="3"/>
      <c r="Y297" t="b">
        <f t="shared" si="23"/>
        <v>1</v>
      </c>
      <c r="Z297" t="b">
        <f t="shared" si="24"/>
        <v>0</v>
      </c>
    </row>
    <row r="298" spans="1:26">
      <c r="A298" s="5" t="s">
        <v>2578</v>
      </c>
      <c r="E298" t="s">
        <v>1818</v>
      </c>
      <c r="N298" s="3"/>
      <c r="O298" s="3"/>
      <c r="Y298" t="b">
        <f t="shared" ref="Y298:Y303" si="25">IF(NOT(ISBLANK(A298)), LEN(_xlfn.CONCAT(C298:X298))&gt;0, "")</f>
        <v>1</v>
      </c>
      <c r="Z298" t="b">
        <f t="shared" ref="Z298:Z303" si="26">AND(ISNUMBER(SEARCH("kw",_xlfn.CONCAT(I298:X298))), ISNUMBER(SEARCH("thm",_xlfn.CONCAT(I298:X298))))</f>
        <v>0</v>
      </c>
    </row>
    <row r="299" spans="1:26">
      <c r="A299" s="5" t="s">
        <v>2579</v>
      </c>
      <c r="E299" t="s">
        <v>1817</v>
      </c>
      <c r="N299" s="3"/>
      <c r="O299" s="3"/>
      <c r="Y299" t="b">
        <f t="shared" si="25"/>
        <v>1</v>
      </c>
      <c r="Z299" t="b">
        <f t="shared" si="26"/>
        <v>0</v>
      </c>
    </row>
    <row r="300" spans="1:26">
      <c r="A300" s="5" t="s">
        <v>2580</v>
      </c>
      <c r="E300" t="s">
        <v>1827</v>
      </c>
      <c r="N300" s="3"/>
      <c r="O300" s="3"/>
      <c r="Y300" t="b">
        <f t="shared" si="25"/>
        <v>1</v>
      </c>
      <c r="Z300" t="b">
        <f t="shared" si="26"/>
        <v>0</v>
      </c>
    </row>
    <row r="301" spans="1:26">
      <c r="A301" s="5" t="s">
        <v>2581</v>
      </c>
      <c r="E301" t="s">
        <v>1833</v>
      </c>
      <c r="N301" s="3"/>
      <c r="O301" s="3"/>
      <c r="Y301" t="b">
        <f t="shared" si="25"/>
        <v>1</v>
      </c>
      <c r="Z301" t="b">
        <f t="shared" si="26"/>
        <v>0</v>
      </c>
    </row>
    <row r="302" spans="1:26">
      <c r="A302" s="5" t="s">
        <v>2582</v>
      </c>
      <c r="E302" t="s">
        <v>1832</v>
      </c>
      <c r="N302" s="3"/>
      <c r="O302" s="3"/>
      <c r="Y302" t="b">
        <f t="shared" si="25"/>
        <v>1</v>
      </c>
      <c r="Z302" t="b">
        <f t="shared" si="26"/>
        <v>0</v>
      </c>
    </row>
    <row r="303" spans="1:26">
      <c r="A303" s="5" t="s">
        <v>2583</v>
      </c>
      <c r="E303" t="s">
        <v>1842</v>
      </c>
      <c r="N303" s="3"/>
      <c r="O303" s="3"/>
      <c r="Y303" t="b">
        <f t="shared" si="25"/>
        <v>1</v>
      </c>
      <c r="Z303" t="b">
        <f t="shared" si="26"/>
        <v>0</v>
      </c>
    </row>
    <row r="304" spans="1:26">
      <c r="A304" s="5" t="s">
        <v>2587</v>
      </c>
      <c r="E304" t="s">
        <v>2573</v>
      </c>
      <c r="N304" s="3"/>
      <c r="O304" s="3"/>
      <c r="Y304" t="b">
        <f t="shared" ref="Y304:Y320" si="27">IF(NOT(ISBLANK(A304)), LEN(_xlfn.CONCAT(C304:X304))&gt;0, "")</f>
        <v>1</v>
      </c>
      <c r="Z304" t="b">
        <f t="shared" ref="Z304:Z320" si="28">AND(ISNUMBER(SEARCH("kw",_xlfn.CONCAT(I304:X304))), ISNUMBER(SEARCH("thm",_xlfn.CONCAT(I304:X304))))</f>
        <v>0</v>
      </c>
    </row>
    <row r="305" spans="1:26">
      <c r="A305" s="5" t="s">
        <v>2588</v>
      </c>
      <c r="E305" t="s">
        <v>2572</v>
      </c>
      <c r="N305" s="3"/>
      <c r="O305" s="3"/>
      <c r="Y305" t="b">
        <f t="shared" si="27"/>
        <v>1</v>
      </c>
      <c r="Z305" t="b">
        <f t="shared" si="28"/>
        <v>0</v>
      </c>
    </row>
    <row r="306" spans="1:26">
      <c r="A306" s="5" t="s">
        <v>2589</v>
      </c>
      <c r="E306" t="s">
        <v>2574</v>
      </c>
      <c r="N306" s="3"/>
      <c r="O306" s="3"/>
      <c r="Y306" t="b">
        <f t="shared" si="27"/>
        <v>1</v>
      </c>
      <c r="Z306" t="b">
        <f t="shared" si="28"/>
        <v>0</v>
      </c>
    </row>
    <row r="307" spans="1:26">
      <c r="A307" s="5" t="s">
        <v>2590</v>
      </c>
      <c r="E307" t="s">
        <v>2576</v>
      </c>
      <c r="N307" s="3"/>
      <c r="O307" s="3"/>
      <c r="Y307" t="b">
        <f t="shared" si="27"/>
        <v>1</v>
      </c>
      <c r="Z307" t="b">
        <f t="shared" si="28"/>
        <v>0</v>
      </c>
    </row>
    <row r="308" spans="1:26">
      <c r="A308" s="5" t="s">
        <v>2591</v>
      </c>
      <c r="E308" t="s">
        <v>2575</v>
      </c>
      <c r="N308" s="3"/>
      <c r="O308" s="3"/>
      <c r="Y308" t="b">
        <f t="shared" si="27"/>
        <v>1</v>
      </c>
      <c r="Z308" t="b">
        <f t="shared" si="28"/>
        <v>0</v>
      </c>
    </row>
    <row r="309" spans="1:26">
      <c r="A309" s="5" t="s">
        <v>2592</v>
      </c>
      <c r="E309" t="s">
        <v>2577</v>
      </c>
      <c r="N309" s="3"/>
      <c r="O309" s="3"/>
      <c r="Y309" t="b">
        <f t="shared" si="27"/>
        <v>1</v>
      </c>
      <c r="Z309" t="b">
        <f t="shared" si="28"/>
        <v>0</v>
      </c>
    </row>
    <row r="310" spans="1:26">
      <c r="A310" t="s">
        <v>2746</v>
      </c>
      <c r="E310" t="s">
        <v>2746</v>
      </c>
      <c r="N310" s="3"/>
      <c r="O310" s="3"/>
      <c r="Y310" t="b">
        <f t="shared" ref="Y310:Y312" si="29">IF(NOT(ISBLANK(A310)), LEN(_xlfn.CONCAT(C310:X310))&gt;0, "")</f>
        <v>1</v>
      </c>
      <c r="Z310" t="b">
        <f t="shared" ref="Z310:Z312" si="30">AND(ISNUMBER(SEARCH("kw",_xlfn.CONCAT(I310:X310))), ISNUMBER(SEARCH("thm",_xlfn.CONCAT(I310:X310))))</f>
        <v>0</v>
      </c>
    </row>
    <row r="311" spans="1:26">
      <c r="A311" t="s">
        <v>2747</v>
      </c>
      <c r="E311" t="s">
        <v>2747</v>
      </c>
      <c r="N311" s="3"/>
      <c r="O311" s="3"/>
      <c r="Y311" t="b">
        <f t="shared" si="29"/>
        <v>1</v>
      </c>
      <c r="Z311" t="b">
        <f t="shared" si="30"/>
        <v>0</v>
      </c>
    </row>
    <row r="312" spans="1:26">
      <c r="A312" t="s">
        <v>2748</v>
      </c>
      <c r="E312" t="s">
        <v>2748</v>
      </c>
      <c r="N312" s="3"/>
      <c r="O312" s="3"/>
      <c r="Y312" t="b">
        <f t="shared" si="29"/>
        <v>1</v>
      </c>
      <c r="Z312" t="b">
        <f t="shared" si="30"/>
        <v>0</v>
      </c>
    </row>
    <row r="313" spans="1:26">
      <c r="A313" t="s">
        <v>2746</v>
      </c>
      <c r="E313" t="s">
        <v>2746</v>
      </c>
      <c r="G313" t="s">
        <v>658</v>
      </c>
      <c r="N313" s="3"/>
      <c r="O313" s="3"/>
    </row>
    <row r="314" spans="1:26">
      <c r="A314" t="s">
        <v>2747</v>
      </c>
      <c r="E314" t="s">
        <v>2747</v>
      </c>
      <c r="G314" t="s">
        <v>658</v>
      </c>
      <c r="N314" s="3"/>
      <c r="O314" s="3"/>
    </row>
    <row r="315" spans="1:26">
      <c r="A315" t="s">
        <v>2752</v>
      </c>
      <c r="E315" t="s">
        <v>2752</v>
      </c>
      <c r="G315" t="s">
        <v>658</v>
      </c>
      <c r="N315" s="3"/>
      <c r="O315" s="3"/>
    </row>
    <row r="316" spans="1:26">
      <c r="A316" t="s">
        <v>2753</v>
      </c>
      <c r="E316" t="s">
        <v>2753</v>
      </c>
      <c r="G316" t="s">
        <v>658</v>
      </c>
      <c r="N316" s="3"/>
      <c r="O316" s="3"/>
    </row>
    <row r="317" spans="1:26">
      <c r="A317" t="s">
        <v>2748</v>
      </c>
      <c r="E317" t="s">
        <v>2748</v>
      </c>
      <c r="G317" t="s">
        <v>658</v>
      </c>
      <c r="N317" s="3"/>
      <c r="O317" s="3"/>
    </row>
    <row r="318" spans="1:26">
      <c r="A318" t="s">
        <v>2754</v>
      </c>
      <c r="E318" t="s">
        <v>2754</v>
      </c>
      <c r="G318" t="s">
        <v>658</v>
      </c>
      <c r="N318" s="3"/>
      <c r="O318" s="3"/>
    </row>
    <row r="319" spans="1:26">
      <c r="A319" s="5" t="str">
        <f t="shared" si="20"/>
        <v>project_pop_kwh</v>
      </c>
      <c r="D319" t="s">
        <v>2360</v>
      </c>
      <c r="O319" s="3"/>
      <c r="Y319" t="b">
        <f t="shared" si="27"/>
        <v>1</v>
      </c>
      <c r="Z319" t="b">
        <f t="shared" si="28"/>
        <v>0</v>
      </c>
    </row>
    <row r="320" spans="1:26">
      <c r="A320" s="5" t="str">
        <f t="shared" si="20"/>
        <v>project_pop_thm</v>
      </c>
      <c r="D320" t="s">
        <v>2363</v>
      </c>
      <c r="O320" s="3"/>
      <c r="Y320" t="b">
        <f t="shared" si="27"/>
        <v>1</v>
      </c>
      <c r="Z320" t="b">
        <f t="shared" si="28"/>
        <v>0</v>
      </c>
    </row>
    <row r="321" spans="1:26">
      <c r="A321" s="5" t="str">
        <f>IF(ISBLANK(D321),#REF!, D321)</f>
        <v>ss_pop_kwh</v>
      </c>
      <c r="D321" t="s">
        <v>1723</v>
      </c>
      <c r="O321" s="3"/>
      <c r="Y321" t="b">
        <f t="shared" ref="Y321:Y324" si="31">IF(NOT(ISBLANK(A321)), LEN(_xlfn.CONCAT(D321:X321))&gt;0, "")</f>
        <v>1</v>
      </c>
      <c r="Z321" t="b">
        <f t="shared" si="21"/>
        <v>0</v>
      </c>
    </row>
    <row r="322" spans="1:26">
      <c r="A322" s="5" t="str">
        <f>IF(ISBLANK(D322),#REF!, D322)</f>
        <v>ss_pop_thm</v>
      </c>
      <c r="D322" t="s">
        <v>1724</v>
      </c>
      <c r="O322" s="3"/>
      <c r="Y322" t="b">
        <f t="shared" si="31"/>
        <v>1</v>
      </c>
      <c r="Z322" t="b">
        <f t="shared" si="21"/>
        <v>0</v>
      </c>
    </row>
    <row r="323" spans="1:26">
      <c r="A323" s="5" t="str">
        <f>IF(ISBLANK(D323),#REF!, D323)</f>
        <v>ss_weight_kwh</v>
      </c>
      <c r="D323" t="s">
        <v>1725</v>
      </c>
      <c r="N323" s="3"/>
      <c r="O323" s="3"/>
      <c r="Y323" t="b">
        <f t="shared" si="31"/>
        <v>1</v>
      </c>
      <c r="Z323" t="b">
        <f t="shared" si="21"/>
        <v>0</v>
      </c>
    </row>
    <row r="324" spans="1:26">
      <c r="A324" s="5" t="str">
        <f>IF(ISBLANK(D324),#REF!, D324)</f>
        <v>ss_weight_thm</v>
      </c>
      <c r="D324" t="s">
        <v>1726</v>
      </c>
      <c r="N324" s="3"/>
      <c r="O324" s="3"/>
      <c r="Y324" t="b">
        <f t="shared" si="31"/>
        <v>1</v>
      </c>
      <c r="Z324" t="b">
        <f t="shared" si="21"/>
        <v>0</v>
      </c>
    </row>
    <row r="325" spans="1:26">
      <c r="A325" s="5" t="str">
        <f t="shared" si="20"/>
        <v>SBD_OwnerIncentive</v>
      </c>
      <c r="C325" t="s">
        <v>321</v>
      </c>
      <c r="Y325" t="b">
        <f t="shared" si="22"/>
        <v>1</v>
      </c>
      <c r="Z325" t="b">
        <f t="shared" ref="Z325:Z375" si="32">AND(ISNUMBER(SEARCH("kw",_xlfn.CONCAT(I325:X325))), ISNUMBER(SEARCH("thm",_xlfn.CONCAT(I325:X325))))</f>
        <v>0</v>
      </c>
    </row>
    <row r="326" spans="1:26">
      <c r="A326" s="5" t="str">
        <f t="shared" si="20"/>
        <v>SBD_DesignTeamIncentive</v>
      </c>
      <c r="C326" t="s">
        <v>322</v>
      </c>
      <c r="Y326" t="b">
        <f t="shared" si="22"/>
        <v>1</v>
      </c>
      <c r="Z326" t="b">
        <f t="shared" si="32"/>
        <v>0</v>
      </c>
    </row>
    <row r="327" spans="1:26">
      <c r="A327" s="5" t="str">
        <f t="shared" si="20"/>
        <v>SBDclaim</v>
      </c>
      <c r="C327" t="s">
        <v>245</v>
      </c>
      <c r="Y327" t="b">
        <f t="shared" si="22"/>
        <v>1</v>
      </c>
      <c r="Z327" t="b">
        <f t="shared" si="32"/>
        <v>0</v>
      </c>
    </row>
    <row r="328" spans="1:26">
      <c r="A328" s="5" t="str">
        <f t="shared" si="20"/>
        <v>ss_Incentive</v>
      </c>
      <c r="C328" t="s">
        <v>676</v>
      </c>
      <c r="Y328" t="b">
        <f t="shared" si="22"/>
        <v>1</v>
      </c>
      <c r="Z328" t="b">
        <f t="shared" si="32"/>
        <v>0</v>
      </c>
    </row>
    <row r="329" spans="1:26">
      <c r="A329" s="5" t="str">
        <f t="shared" si="20"/>
        <v>ss_wtd_Claim_Incentive_kwh</v>
      </c>
      <c r="C329" t="s">
        <v>690</v>
      </c>
      <c r="Y329" t="b">
        <f t="shared" si="22"/>
        <v>1</v>
      </c>
      <c r="Z329" t="b">
        <f t="shared" si="32"/>
        <v>0</v>
      </c>
    </row>
    <row r="330" spans="1:26">
      <c r="A330" s="5" t="str">
        <f t="shared" si="20"/>
        <v>ss_wtd_Claim_Incentive_thm</v>
      </c>
      <c r="C330" t="s">
        <v>691</v>
      </c>
      <c r="Y330" t="b">
        <f t="shared" si="22"/>
        <v>1</v>
      </c>
      <c r="Z330" t="b">
        <f t="shared" si="32"/>
        <v>0</v>
      </c>
    </row>
    <row r="331" spans="1:26">
      <c r="A331" s="5" t="str">
        <f t="shared" si="20"/>
        <v>ss_wtd_Eval_Incentive_kwh</v>
      </c>
      <c r="C331" t="s">
        <v>692</v>
      </c>
      <c r="Y331" t="b">
        <f t="shared" si="22"/>
        <v>1</v>
      </c>
      <c r="Z331" t="b">
        <f t="shared" si="32"/>
        <v>0</v>
      </c>
    </row>
    <row r="332" spans="1:26">
      <c r="A332" s="5" t="str">
        <f t="shared" si="20"/>
        <v>ss_wtd_Eval_Incentive_thm</v>
      </c>
      <c r="C332" t="s">
        <v>693</v>
      </c>
      <c r="Y332" t="b">
        <f t="shared" si="22"/>
        <v>1</v>
      </c>
      <c r="Z332" t="b">
        <f t="shared" si="32"/>
        <v>0</v>
      </c>
    </row>
    <row r="333" spans="1:26">
      <c r="A333" s="5" t="str">
        <f t="shared" si="20"/>
        <v>ss_Incentive_kwh_rr</v>
      </c>
      <c r="C333" t="s">
        <v>694</v>
      </c>
      <c r="Y333" t="b">
        <f t="shared" si="22"/>
        <v>1</v>
      </c>
      <c r="Z333" t="b">
        <f t="shared" si="32"/>
        <v>0</v>
      </c>
    </row>
    <row r="334" spans="1:26">
      <c r="A334" s="5" t="str">
        <f t="shared" si="20"/>
        <v>ss_Incentive_thm_rr</v>
      </c>
      <c r="C334" t="s">
        <v>695</v>
      </c>
      <c r="Y334" t="b">
        <f t="shared" si="22"/>
        <v>1</v>
      </c>
      <c r="Z334" t="b">
        <f t="shared" si="32"/>
        <v>0</v>
      </c>
    </row>
    <row r="335" spans="1:26">
      <c r="A335" s="5" t="str">
        <f t="shared" si="20"/>
        <v>prj_EvalIncentive_kwh</v>
      </c>
      <c r="C335" t="s">
        <v>696</v>
      </c>
      <c r="Y335" t="b">
        <f t="shared" ref="Y335:Y366" si="33">IF(NOT(ISBLANK(A335)), LEN(_xlfn.CONCAT(C335:X335))&gt;0, "")</f>
        <v>1</v>
      </c>
      <c r="Z335" t="b">
        <f t="shared" si="32"/>
        <v>0</v>
      </c>
    </row>
    <row r="336" spans="1:26">
      <c r="A336" s="5" t="str">
        <f t="shared" si="20"/>
        <v>prj_EvalIncentive_thm</v>
      </c>
      <c r="C336" t="s">
        <v>697</v>
      </c>
      <c r="Y336" t="b">
        <f t="shared" si="33"/>
        <v>1</v>
      </c>
      <c r="Z336" t="b">
        <f t="shared" si="32"/>
        <v>0</v>
      </c>
    </row>
    <row r="337" spans="1:26">
      <c r="A337" s="5" t="str">
        <f t="shared" si="20"/>
        <v>EvalIncentive_kWh</v>
      </c>
      <c r="C337" t="s">
        <v>733</v>
      </c>
      <c r="Y337" t="b">
        <f t="shared" si="33"/>
        <v>1</v>
      </c>
      <c r="Z337" t="b">
        <f t="shared" si="32"/>
        <v>0</v>
      </c>
    </row>
    <row r="338" spans="1:26">
      <c r="A338" s="5" t="str">
        <f t="shared" si="20"/>
        <v>EvalIncentive_Therm</v>
      </c>
      <c r="C338" t="s">
        <v>734</v>
      </c>
      <c r="Y338" t="b">
        <f t="shared" si="33"/>
        <v>1</v>
      </c>
      <c r="Z338" t="b">
        <f t="shared" si="32"/>
        <v>0</v>
      </c>
    </row>
    <row r="339" spans="1:26">
      <c r="A339" s="5" t="str">
        <f t="shared" si="20"/>
        <v>ss_wtd_Claim_1stBaselineCost_kwh</v>
      </c>
      <c r="C339" t="s">
        <v>698</v>
      </c>
      <c r="Y339" t="b">
        <f t="shared" si="33"/>
        <v>1</v>
      </c>
      <c r="Z339" t="b">
        <f t="shared" si="32"/>
        <v>0</v>
      </c>
    </row>
    <row r="340" spans="1:26">
      <c r="A340" s="5" t="str">
        <f t="shared" si="20"/>
        <v>ss_wtd_Claim_1stBaselineCost_thm</v>
      </c>
      <c r="C340" t="s">
        <v>699</v>
      </c>
      <c r="Y340" t="b">
        <f t="shared" si="33"/>
        <v>1</v>
      </c>
      <c r="Z340" t="b">
        <f t="shared" si="32"/>
        <v>0</v>
      </c>
    </row>
    <row r="341" spans="1:26">
      <c r="A341" s="5" t="str">
        <f t="shared" si="20"/>
        <v>ss_wtd_Eval_1stBaselineCost_kwh</v>
      </c>
      <c r="C341" t="s">
        <v>700</v>
      </c>
      <c r="Y341" t="b">
        <f t="shared" si="33"/>
        <v>1</v>
      </c>
      <c r="Z341" t="b">
        <f t="shared" si="32"/>
        <v>0</v>
      </c>
    </row>
    <row r="342" spans="1:26">
      <c r="A342" s="5" t="str">
        <f t="shared" si="20"/>
        <v>ss_wtd_Eval_1stBaselineCost_thm</v>
      </c>
      <c r="C342" t="s">
        <v>701</v>
      </c>
      <c r="Y342" t="b">
        <f t="shared" si="33"/>
        <v>1</v>
      </c>
      <c r="Z342" t="b">
        <f t="shared" si="32"/>
        <v>0</v>
      </c>
    </row>
    <row r="343" spans="1:26">
      <c r="A343" s="5" t="str">
        <f t="shared" si="20"/>
        <v>ss_1stBaselineCost_kwh_rr</v>
      </c>
      <c r="C343" t="s">
        <v>702</v>
      </c>
      <c r="Y343" t="b">
        <f t="shared" si="33"/>
        <v>1</v>
      </c>
      <c r="Z343" t="b">
        <f t="shared" si="32"/>
        <v>0</v>
      </c>
    </row>
    <row r="344" spans="1:26">
      <c r="A344" s="5" t="str">
        <f t="shared" si="20"/>
        <v>ss_1stBaselineCost_thm_rr</v>
      </c>
      <c r="C344" t="s">
        <v>703</v>
      </c>
      <c r="Y344" t="b">
        <f t="shared" si="33"/>
        <v>1</v>
      </c>
      <c r="Z344" t="b">
        <f t="shared" si="32"/>
        <v>0</v>
      </c>
    </row>
    <row r="345" spans="1:26">
      <c r="A345" s="5" t="str">
        <f t="shared" si="20"/>
        <v>prj_Eval1stBaselineCost_kwh</v>
      </c>
      <c r="C345" t="s">
        <v>704</v>
      </c>
      <c r="Y345" t="b">
        <f t="shared" si="33"/>
        <v>1</v>
      </c>
      <c r="Z345" t="b">
        <f t="shared" si="32"/>
        <v>0</v>
      </c>
    </row>
    <row r="346" spans="1:26">
      <c r="A346" s="5" t="str">
        <f t="shared" si="20"/>
        <v>prj_Eval1stBaselineCost_thm</v>
      </c>
      <c r="C346" t="s">
        <v>705</v>
      </c>
      <c r="Y346" t="b">
        <f t="shared" si="33"/>
        <v>1</v>
      </c>
      <c r="Z346" t="b">
        <f t="shared" si="32"/>
        <v>0</v>
      </c>
    </row>
    <row r="347" spans="1:26">
      <c r="A347" s="5" t="str">
        <f t="shared" si="20"/>
        <v>Eval1stBaselineCost_kWh</v>
      </c>
      <c r="C347" t="s">
        <v>735</v>
      </c>
      <c r="Y347" t="b">
        <f t="shared" si="33"/>
        <v>1</v>
      </c>
      <c r="Z347" t="b">
        <f t="shared" si="32"/>
        <v>0</v>
      </c>
    </row>
    <row r="348" spans="1:26">
      <c r="A348" s="5" t="str">
        <f t="shared" si="20"/>
        <v>Eval1stBaselineCost_Therm</v>
      </c>
      <c r="C348" t="s">
        <v>736</v>
      </c>
      <c r="Y348" t="b">
        <f t="shared" si="33"/>
        <v>1</v>
      </c>
      <c r="Z348" t="b">
        <f t="shared" si="32"/>
        <v>0</v>
      </c>
    </row>
    <row r="349" spans="1:26">
      <c r="A349" s="5" t="str">
        <f t="shared" si="20"/>
        <v>ss_wtd_Claim_2ndBaselineCost_kwh</v>
      </c>
      <c r="C349" t="s">
        <v>706</v>
      </c>
      <c r="Y349" t="b">
        <f t="shared" si="33"/>
        <v>1</v>
      </c>
      <c r="Z349" t="b">
        <f t="shared" si="32"/>
        <v>0</v>
      </c>
    </row>
    <row r="350" spans="1:26">
      <c r="A350" s="5" t="str">
        <f t="shared" si="20"/>
        <v>ss_wtd_Claim_2ndBaselineCost_thm</v>
      </c>
      <c r="C350" t="s">
        <v>707</v>
      </c>
      <c r="Y350" t="b">
        <f t="shared" si="33"/>
        <v>1</v>
      </c>
      <c r="Z350" t="b">
        <f t="shared" si="32"/>
        <v>0</v>
      </c>
    </row>
    <row r="351" spans="1:26">
      <c r="A351" s="5" t="str">
        <f t="shared" si="20"/>
        <v>ss_wtd_Eval_2ndBaselineCost_kwh</v>
      </c>
      <c r="C351" t="s">
        <v>708</v>
      </c>
      <c r="Y351" t="b">
        <f t="shared" si="33"/>
        <v>1</v>
      </c>
      <c r="Z351" t="b">
        <f t="shared" si="32"/>
        <v>0</v>
      </c>
    </row>
    <row r="352" spans="1:26">
      <c r="A352" s="5" t="str">
        <f t="shared" si="20"/>
        <v>ss_wtd_Eval_2ndBaselineCost_thm</v>
      </c>
      <c r="C352" t="s">
        <v>709</v>
      </c>
      <c r="Y352" t="b">
        <f t="shared" si="33"/>
        <v>1</v>
      </c>
      <c r="Z352" t="b">
        <f t="shared" si="32"/>
        <v>0</v>
      </c>
    </row>
    <row r="353" spans="1:26">
      <c r="A353" s="5" t="str">
        <f t="shared" si="20"/>
        <v>ss_2ndBaselineCost_kwh_rr</v>
      </c>
      <c r="C353" t="s">
        <v>710</v>
      </c>
      <c r="Y353" t="b">
        <f t="shared" si="33"/>
        <v>1</v>
      </c>
      <c r="Z353" t="b">
        <f t="shared" si="32"/>
        <v>0</v>
      </c>
    </row>
    <row r="354" spans="1:26">
      <c r="A354" s="5" t="str">
        <f t="shared" si="20"/>
        <v>ss_2ndBaselineCost_thm_rr</v>
      </c>
      <c r="C354" t="s">
        <v>711</v>
      </c>
      <c r="Y354" t="b">
        <f t="shared" si="33"/>
        <v>1</v>
      </c>
      <c r="Z354" t="b">
        <f t="shared" si="32"/>
        <v>0</v>
      </c>
    </row>
    <row r="355" spans="1:26">
      <c r="A355" s="5" t="str">
        <f t="shared" si="20"/>
        <v>prj_Eval2ndBaselineCost_kwh</v>
      </c>
      <c r="C355" t="s">
        <v>712</v>
      </c>
      <c r="Y355" t="b">
        <f t="shared" si="33"/>
        <v>1</v>
      </c>
      <c r="Z355" t="b">
        <f t="shared" si="32"/>
        <v>0</v>
      </c>
    </row>
    <row r="356" spans="1:26">
      <c r="A356" s="5" t="str">
        <f t="shared" si="20"/>
        <v>prj_Eval2ndBaselineCost_thm</v>
      </c>
      <c r="C356" t="s">
        <v>713</v>
      </c>
      <c r="Y356" t="b">
        <f t="shared" si="33"/>
        <v>1</v>
      </c>
      <c r="Z356" t="b">
        <f t="shared" si="32"/>
        <v>0</v>
      </c>
    </row>
    <row r="357" spans="1:26">
      <c r="A357" s="5" t="str">
        <f t="shared" si="20"/>
        <v>Eval2ndBaselineCost_kWh</v>
      </c>
      <c r="C357" t="s">
        <v>737</v>
      </c>
      <c r="Y357" t="b">
        <f t="shared" si="33"/>
        <v>1</v>
      </c>
      <c r="Z357" t="b">
        <f t="shared" si="32"/>
        <v>0</v>
      </c>
    </row>
    <row r="358" spans="1:26">
      <c r="A358" s="5" t="str">
        <f t="shared" si="20"/>
        <v>Eval2ndBaselineCost_Therm</v>
      </c>
      <c r="C358" t="s">
        <v>738</v>
      </c>
      <c r="Y358" t="b">
        <f t="shared" si="33"/>
        <v>1</v>
      </c>
      <c r="Z358" t="b">
        <f t="shared" si="32"/>
        <v>0</v>
      </c>
    </row>
    <row r="359" spans="1:26">
      <c r="A359" s="5" t="str">
        <f t="shared" ref="A359:A468" si="34">IF(ISBLANK(C359), D359, C359)</f>
        <v>GrossDisposition</v>
      </c>
      <c r="C359" t="s">
        <v>1553</v>
      </c>
      <c r="S359" s="13"/>
      <c r="Y359" t="b">
        <f t="shared" si="33"/>
        <v>1</v>
      </c>
      <c r="Z359" t="b">
        <f t="shared" si="32"/>
        <v>0</v>
      </c>
    </row>
    <row r="360" spans="1:26">
      <c r="A360" s="5" t="str">
        <f t="shared" si="34"/>
        <v>EvalBase1kWReasons</v>
      </c>
      <c r="C360" t="s">
        <v>331</v>
      </c>
      <c r="Y360" t="b">
        <f t="shared" si="33"/>
        <v>1</v>
      </c>
      <c r="Z360" t="b">
        <f t="shared" si="32"/>
        <v>0</v>
      </c>
    </row>
    <row r="361" spans="1:26">
      <c r="A361" s="5" t="str">
        <f t="shared" si="34"/>
        <v>EvalBase1kWhReasons</v>
      </c>
      <c r="C361" t="s">
        <v>332</v>
      </c>
      <c r="Y361" t="b">
        <f t="shared" si="33"/>
        <v>1</v>
      </c>
      <c r="Z361" t="b">
        <f t="shared" si="32"/>
        <v>0</v>
      </c>
    </row>
    <row r="362" spans="1:26">
      <c r="A362" s="5" t="str">
        <f t="shared" si="34"/>
        <v>EvalBase1ThermReasons</v>
      </c>
      <c r="C362" t="s">
        <v>333</v>
      </c>
      <c r="Y362" t="b">
        <f t="shared" si="33"/>
        <v>1</v>
      </c>
      <c r="Z362" t="b">
        <f t="shared" si="32"/>
        <v>0</v>
      </c>
    </row>
    <row r="363" spans="1:26">
      <c r="A363" s="5" t="str">
        <f t="shared" si="34"/>
        <v>EvalBase2kWReasons</v>
      </c>
      <c r="C363" t="s">
        <v>335</v>
      </c>
      <c r="Y363" t="b">
        <f t="shared" si="33"/>
        <v>1</v>
      </c>
      <c r="Z363" t="b">
        <f t="shared" si="32"/>
        <v>0</v>
      </c>
    </row>
    <row r="364" spans="1:26">
      <c r="A364" s="5" t="str">
        <f t="shared" si="34"/>
        <v>EvalBase2kWhReasons</v>
      </c>
      <c r="C364" t="s">
        <v>337</v>
      </c>
      <c r="Y364" t="b">
        <f t="shared" si="33"/>
        <v>1</v>
      </c>
      <c r="Z364" t="b">
        <f t="shared" si="32"/>
        <v>0</v>
      </c>
    </row>
    <row r="365" spans="1:26">
      <c r="A365" s="5" t="str">
        <f t="shared" si="34"/>
        <v>EvalBase2ThermReasons</v>
      </c>
      <c r="C365" t="s">
        <v>339</v>
      </c>
      <c r="Y365" t="b">
        <f t="shared" si="33"/>
        <v>1</v>
      </c>
      <c r="Z365" t="b">
        <f t="shared" si="32"/>
        <v>0</v>
      </c>
    </row>
    <row r="366" spans="1:26">
      <c r="A366" s="5" t="str">
        <f t="shared" si="34"/>
        <v>Eval1stBaselineCost</v>
      </c>
      <c r="C366" t="s">
        <v>1554</v>
      </c>
      <c r="Y366" t="b">
        <f t="shared" si="33"/>
        <v>1</v>
      </c>
      <c r="Z366" t="b">
        <f t="shared" si="32"/>
        <v>0</v>
      </c>
    </row>
    <row r="367" spans="1:26">
      <c r="A367" s="5" t="str">
        <f t="shared" si="34"/>
        <v>Eval2ndBaselineCost</v>
      </c>
      <c r="C367" t="s">
        <v>1555</v>
      </c>
      <c r="Y367" t="b">
        <f t="shared" ref="Y367:Y381" si="35">IF(NOT(ISBLANK(A367)), LEN(_xlfn.CONCAT(C367:X367))&gt;0, "")</f>
        <v>1</v>
      </c>
      <c r="Z367" t="b">
        <f t="shared" si="32"/>
        <v>0</v>
      </c>
    </row>
    <row r="368" spans="1:26">
      <c r="A368" s="5" t="str">
        <f t="shared" si="34"/>
        <v>EvalIncentive</v>
      </c>
      <c r="C368" t="s">
        <v>1556</v>
      </c>
      <c r="Y368" t="b">
        <f t="shared" si="35"/>
        <v>1</v>
      </c>
      <c r="Z368" t="b">
        <f t="shared" si="32"/>
        <v>0</v>
      </c>
    </row>
    <row r="369" spans="1:30">
      <c r="A369" s="5" t="str">
        <f t="shared" si="34"/>
        <v>ReviewStartDate</v>
      </c>
      <c r="C369" t="s">
        <v>1559</v>
      </c>
      <c r="Y369" t="b">
        <f t="shared" si="35"/>
        <v>1</v>
      </c>
      <c r="Z369" t="b">
        <f t="shared" si="32"/>
        <v>0</v>
      </c>
    </row>
    <row r="370" spans="1:30">
      <c r="A370" s="5" t="str">
        <f t="shared" si="34"/>
        <v>RecruitDate</v>
      </c>
      <c r="C370" t="s">
        <v>512</v>
      </c>
      <c r="Y370" t="b">
        <f t="shared" si="35"/>
        <v>1</v>
      </c>
      <c r="Z370" t="b">
        <f t="shared" si="32"/>
        <v>0</v>
      </c>
    </row>
    <row r="371" spans="1:30">
      <c r="A371" s="5" t="str">
        <f t="shared" si="34"/>
        <v>GrossContacted</v>
      </c>
      <c r="C371" t="s">
        <v>1557</v>
      </c>
      <c r="Y371" t="b">
        <f t="shared" si="35"/>
        <v>1</v>
      </c>
      <c r="Z371" t="b">
        <f t="shared" si="32"/>
        <v>0</v>
      </c>
    </row>
    <row r="372" spans="1:30">
      <c r="A372" s="5" t="str">
        <f t="shared" si="34"/>
        <v>NetContacted</v>
      </c>
      <c r="B372" s="23" t="s">
        <v>2215</v>
      </c>
      <c r="C372" t="s">
        <v>1558</v>
      </c>
      <c r="G372" s="3"/>
      <c r="J372" s="23"/>
      <c r="Y372" t="b">
        <f t="shared" si="35"/>
        <v>1</v>
      </c>
      <c r="Z372" t="b">
        <f t="shared" si="32"/>
        <v>0</v>
      </c>
      <c r="AA372" s="23" t="s">
        <v>1922</v>
      </c>
    </row>
    <row r="373" spans="1:30">
      <c r="A373" s="5" t="str">
        <f t="shared" si="34"/>
        <v>ExPost_Annualized_Gross_kwh_mmbtu</v>
      </c>
      <c r="C373" t="s">
        <v>1669</v>
      </c>
      <c r="G373" s="3"/>
      <c r="Y373" t="b">
        <f t="shared" si="35"/>
        <v>1</v>
      </c>
      <c r="Z373" t="b">
        <f t="shared" si="32"/>
        <v>0</v>
      </c>
    </row>
    <row r="374" spans="1:30">
      <c r="A374" s="5" t="str">
        <f t="shared" si="34"/>
        <v>ExPost_Annualized_Gross_thm_mmbtu</v>
      </c>
      <c r="C374" t="s">
        <v>1668</v>
      </c>
      <c r="G374" s="3"/>
      <c r="Y374" t="b">
        <f t="shared" si="35"/>
        <v>1</v>
      </c>
      <c r="Z374" t="b">
        <f t="shared" si="32"/>
        <v>0</v>
      </c>
    </row>
    <row r="375" spans="1:30">
      <c r="A375" s="5" t="str">
        <f t="shared" si="34"/>
        <v>ExPost_Annualized_Gross_MMBtu</v>
      </c>
      <c r="C375" t="s">
        <v>1666</v>
      </c>
      <c r="Y375" t="b">
        <f t="shared" si="35"/>
        <v>1</v>
      </c>
      <c r="Z375" t="b">
        <f t="shared" si="32"/>
        <v>0</v>
      </c>
      <c r="AA375" t="s">
        <v>2214</v>
      </c>
    </row>
    <row r="376" spans="1:30">
      <c r="A376" s="5" t="str">
        <f t="shared" si="34"/>
        <v>ExPost_Lifecycle_Gross_kwh_mmbtu</v>
      </c>
      <c r="C376" t="s">
        <v>1670</v>
      </c>
      <c r="G376" s="3"/>
      <c r="Y376" t="b">
        <f t="shared" si="35"/>
        <v>1</v>
      </c>
      <c r="Z376" t="b">
        <f t="shared" ref="Z376:Z470" si="36">AND(ISNUMBER(SEARCH("kw",_xlfn.CONCAT(I376:X376))), ISNUMBER(SEARCH("thm",_xlfn.CONCAT(I376:X376))))</f>
        <v>0</v>
      </c>
      <c r="AD376">
        <v>24</v>
      </c>
    </row>
    <row r="377" spans="1:30">
      <c r="A377" s="5" t="str">
        <f t="shared" si="34"/>
        <v>ExPost_Lifecycle_Gross_thm_mmbtu</v>
      </c>
      <c r="C377" t="s">
        <v>1671</v>
      </c>
      <c r="G377" s="3"/>
      <c r="Y377" t="b">
        <f t="shared" si="35"/>
        <v>1</v>
      </c>
      <c r="Z377" t="b">
        <f t="shared" si="36"/>
        <v>0</v>
      </c>
      <c r="AD377">
        <v>24</v>
      </c>
    </row>
    <row r="378" spans="1:30">
      <c r="A378" s="5" t="str">
        <f t="shared" si="34"/>
        <v>ExPost_Lifecycle_Gross_MMBtu</v>
      </c>
      <c r="C378" t="s">
        <v>1667</v>
      </c>
      <c r="Y378" t="b">
        <f t="shared" si="35"/>
        <v>1</v>
      </c>
      <c r="Z378" t="b">
        <f t="shared" si="36"/>
        <v>0</v>
      </c>
      <c r="AA378" t="s">
        <v>2214</v>
      </c>
      <c r="AD378">
        <v>24</v>
      </c>
    </row>
    <row r="379" spans="1:30">
      <c r="A379" s="5" t="str">
        <f t="shared" si="34"/>
        <v>ExAnte_Lifecycle_Gross_kwh_mmbtu</v>
      </c>
      <c r="C379" t="s">
        <v>2172</v>
      </c>
      <c r="Y379" t="b">
        <f t="shared" si="35"/>
        <v>1</v>
      </c>
      <c r="Z379" t="b">
        <f t="shared" si="36"/>
        <v>0</v>
      </c>
      <c r="AD379">
        <v>24</v>
      </c>
    </row>
    <row r="380" spans="1:30">
      <c r="A380" s="5" t="str">
        <f t="shared" si="34"/>
        <v>ExAnte_Lifecycle_Gross_thm_mmbtu</v>
      </c>
      <c r="C380" t="s">
        <v>2173</v>
      </c>
      <c r="Y380" t="b">
        <f t="shared" si="35"/>
        <v>1</v>
      </c>
      <c r="Z380" t="b">
        <f t="shared" si="36"/>
        <v>0</v>
      </c>
      <c r="AD380">
        <v>24</v>
      </c>
    </row>
    <row r="381" spans="1:30">
      <c r="A381" s="5" t="str">
        <f t="shared" si="34"/>
        <v>ExAnte_Lifecycle_Gross_MMBtu</v>
      </c>
      <c r="C381" t="s">
        <v>2174</v>
      </c>
      <c r="Y381" t="b">
        <f t="shared" si="35"/>
        <v>1</v>
      </c>
      <c r="Z381" t="b">
        <f t="shared" si="36"/>
        <v>0</v>
      </c>
      <c r="AA381" t="s">
        <v>2214</v>
      </c>
      <c r="AD381">
        <v>24</v>
      </c>
    </row>
    <row r="382" spans="1:30">
      <c r="A382" s="5" t="str">
        <f t="shared" si="34"/>
        <v>InstallDeadline</v>
      </c>
      <c r="C382" t="s">
        <v>233</v>
      </c>
      <c r="Y382" t="b">
        <f t="shared" ref="Y382:Y413" si="37">IF(NOT(ISBLANK(A382)), LEN(_xlfn.CONCAT(C382:W382))&gt;0, "")</f>
        <v>1</v>
      </c>
      <c r="Z382" t="b">
        <f t="shared" si="36"/>
        <v>0</v>
      </c>
    </row>
    <row r="383" spans="1:30">
      <c r="A383" s="5" t="str">
        <f t="shared" si="34"/>
        <v>InstallDeadline_MV</v>
      </c>
      <c r="C383" t="s">
        <v>234</v>
      </c>
      <c r="Y383" t="b">
        <f t="shared" si="37"/>
        <v>1</v>
      </c>
      <c r="Z383" t="b">
        <f t="shared" si="36"/>
        <v>0</v>
      </c>
    </row>
    <row r="384" spans="1:30">
      <c r="A384" s="5" t="str">
        <f t="shared" si="34"/>
        <v>EquipOrderCheck</v>
      </c>
      <c r="C384" t="s">
        <v>235</v>
      </c>
      <c r="Y384" t="b">
        <f t="shared" si="37"/>
        <v>1</v>
      </c>
      <c r="Z384" t="b">
        <f t="shared" si="36"/>
        <v>0</v>
      </c>
    </row>
    <row r="385" spans="1:26">
      <c r="A385" s="5" t="str">
        <f t="shared" si="34"/>
        <v>InstallationTimeLimit</v>
      </c>
      <c r="C385" t="s">
        <v>236</v>
      </c>
      <c r="Y385" t="b">
        <f t="shared" si="37"/>
        <v>1</v>
      </c>
      <c r="Z385" t="b">
        <f t="shared" si="36"/>
        <v>0</v>
      </c>
    </row>
    <row r="386" spans="1:26">
      <c r="A386" s="5" t="str">
        <f t="shared" si="34"/>
        <v>PaymentDateCheck</v>
      </c>
      <c r="C386" t="s">
        <v>237</v>
      </c>
      <c r="Y386" t="b">
        <f t="shared" si="37"/>
        <v>1</v>
      </c>
      <c r="Z386" t="b">
        <f t="shared" si="36"/>
        <v>0</v>
      </c>
    </row>
    <row r="387" spans="1:26">
      <c r="A387" s="5" t="str">
        <f t="shared" si="34"/>
        <v>PartialClaimCheck</v>
      </c>
      <c r="C387" t="s">
        <v>238</v>
      </c>
      <c r="Y387" t="b">
        <f t="shared" si="37"/>
        <v>1</v>
      </c>
      <c r="Z387" t="b">
        <f t="shared" si="36"/>
        <v>0</v>
      </c>
    </row>
    <row r="388" spans="1:26">
      <c r="A388" s="5" t="str">
        <f t="shared" si="34"/>
        <v>PartialClaimDesc</v>
      </c>
      <c r="C388" t="s">
        <v>239</v>
      </c>
      <c r="Y388" t="b">
        <f t="shared" si="37"/>
        <v>1</v>
      </c>
      <c r="Z388" t="b">
        <f t="shared" si="36"/>
        <v>0</v>
      </c>
    </row>
    <row r="389" spans="1:26">
      <c r="A389" s="5" t="str">
        <f t="shared" si="34"/>
        <v>FuelSubTest</v>
      </c>
      <c r="C389" t="s">
        <v>240</v>
      </c>
      <c r="Y389" t="b">
        <f t="shared" si="37"/>
        <v>1</v>
      </c>
      <c r="Z389" t="b">
        <f t="shared" si="36"/>
        <v>0</v>
      </c>
    </row>
    <row r="390" spans="1:26">
      <c r="A390" s="5" t="str">
        <f t="shared" si="34"/>
        <v>CogenImpact</v>
      </c>
      <c r="C390" t="s">
        <v>241</v>
      </c>
      <c r="Y390" t="b">
        <f t="shared" si="37"/>
        <v>1</v>
      </c>
      <c r="Z390" t="b">
        <f t="shared" si="36"/>
        <v>0</v>
      </c>
    </row>
    <row r="391" spans="1:26">
      <c r="A391" s="5" t="str">
        <f t="shared" si="34"/>
        <v>LikeforLike</v>
      </c>
      <c r="C391" t="s">
        <v>242</v>
      </c>
      <c r="Y391" t="b">
        <f t="shared" si="37"/>
        <v>1</v>
      </c>
      <c r="Z391" t="b">
        <f t="shared" si="36"/>
        <v>0</v>
      </c>
    </row>
    <row r="392" spans="1:26">
      <c r="A392" s="5" t="str">
        <f t="shared" si="34"/>
        <v>PermitsObtained</v>
      </c>
      <c r="C392" t="s">
        <v>243</v>
      </c>
      <c r="Y392" t="b">
        <f t="shared" si="37"/>
        <v>1</v>
      </c>
      <c r="Z392" t="b">
        <f t="shared" si="36"/>
        <v>0</v>
      </c>
    </row>
    <row r="393" spans="1:26">
      <c r="A393" s="5" t="str">
        <f t="shared" si="34"/>
        <v>IneligibleMeasure</v>
      </c>
      <c r="C393" t="s">
        <v>64</v>
      </c>
      <c r="Y393" t="b">
        <f t="shared" si="37"/>
        <v>1</v>
      </c>
      <c r="Z393" t="b">
        <f t="shared" si="36"/>
        <v>0</v>
      </c>
    </row>
    <row r="394" spans="1:26">
      <c r="A394" s="5" t="str">
        <f t="shared" si="34"/>
        <v>ExistingEquipRemoved</v>
      </c>
      <c r="C394" t="s">
        <v>244</v>
      </c>
      <c r="Y394" t="b">
        <f t="shared" si="37"/>
        <v>1</v>
      </c>
      <c r="Z394" t="b">
        <f t="shared" si="36"/>
        <v>0</v>
      </c>
    </row>
    <row r="395" spans="1:26">
      <c r="A395" s="5" t="str">
        <f t="shared" si="34"/>
        <v>SBDcheck1</v>
      </c>
      <c r="C395" t="s">
        <v>246</v>
      </c>
      <c r="Y395" t="b">
        <f t="shared" si="37"/>
        <v>1</v>
      </c>
      <c r="Z395" t="b">
        <f t="shared" si="36"/>
        <v>0</v>
      </c>
    </row>
    <row r="396" spans="1:26">
      <c r="A396" s="5" t="str">
        <f t="shared" si="34"/>
        <v>SBDcheck2</v>
      </c>
      <c r="C396" t="s">
        <v>247</v>
      </c>
      <c r="Y396" t="b">
        <f t="shared" si="37"/>
        <v>1</v>
      </c>
      <c r="Z396" t="b">
        <f t="shared" si="36"/>
        <v>0</v>
      </c>
    </row>
    <row r="397" spans="1:26">
      <c r="A397" s="5" t="str">
        <f t="shared" si="34"/>
        <v>DecisionProcess</v>
      </c>
      <c r="C397" t="s">
        <v>248</v>
      </c>
      <c r="Y397" t="b">
        <f t="shared" si="37"/>
        <v>1</v>
      </c>
      <c r="Z397" t="b">
        <f t="shared" si="36"/>
        <v>0</v>
      </c>
    </row>
    <row r="398" spans="1:26">
      <c r="A398" s="5" t="str">
        <f t="shared" si="34"/>
        <v>ProjectInitiated</v>
      </c>
      <c r="C398" t="s">
        <v>249</v>
      </c>
      <c r="Y398" t="b">
        <f t="shared" si="37"/>
        <v>1</v>
      </c>
      <c r="Z398" t="b">
        <f t="shared" si="36"/>
        <v>0</v>
      </c>
    </row>
    <row r="399" spans="1:26">
      <c r="A399" s="5" t="str">
        <f t="shared" si="34"/>
        <v>MeasuresIdentifiedDesc</v>
      </c>
      <c r="C399" t="s">
        <v>250</v>
      </c>
      <c r="Y399" t="b">
        <f t="shared" si="37"/>
        <v>1</v>
      </c>
      <c r="Z399" t="b">
        <f t="shared" si="36"/>
        <v>0</v>
      </c>
    </row>
    <row r="400" spans="1:26">
      <c r="A400" s="5" t="str">
        <f t="shared" si="34"/>
        <v>AlternativeOptions</v>
      </c>
      <c r="C400" t="s">
        <v>251</v>
      </c>
      <c r="Y400" t="b">
        <f t="shared" si="37"/>
        <v>1</v>
      </c>
      <c r="Z400" t="b">
        <f t="shared" si="36"/>
        <v>0</v>
      </c>
    </row>
    <row r="401" spans="1:26">
      <c r="A401" s="5" t="str">
        <f t="shared" si="34"/>
        <v>SavingsProvided</v>
      </c>
      <c r="C401" t="s">
        <v>252</v>
      </c>
      <c r="Y401" t="b">
        <f t="shared" si="37"/>
        <v>1</v>
      </c>
      <c r="Z401" t="b">
        <f t="shared" si="36"/>
        <v>0</v>
      </c>
    </row>
    <row r="402" spans="1:26">
      <c r="A402" s="5" t="str">
        <f t="shared" si="34"/>
        <v>NonEnergyBenefits</v>
      </c>
      <c r="C402" t="s">
        <v>253</v>
      </c>
      <c r="Y402" t="b">
        <f t="shared" si="37"/>
        <v>1</v>
      </c>
      <c r="Z402" t="b">
        <f t="shared" si="36"/>
        <v>0</v>
      </c>
    </row>
    <row r="403" spans="1:26">
      <c r="A403" s="5" t="str">
        <f t="shared" si="34"/>
        <v>ProgramInfulence</v>
      </c>
      <c r="C403" t="s">
        <v>254</v>
      </c>
      <c r="Y403" t="b">
        <f t="shared" si="37"/>
        <v>1</v>
      </c>
      <c r="Z403" t="b">
        <f t="shared" si="36"/>
        <v>0</v>
      </c>
    </row>
    <row r="404" spans="1:26">
      <c r="A404" s="5" t="str">
        <f t="shared" si="34"/>
        <v>PaybackCriteria</v>
      </c>
      <c r="C404" t="s">
        <v>255</v>
      </c>
      <c r="Y404" t="b">
        <f t="shared" si="37"/>
        <v>1</v>
      </c>
      <c r="Z404" t="b">
        <f t="shared" si="36"/>
        <v>0</v>
      </c>
    </row>
    <row r="405" spans="1:26">
      <c r="A405" s="5" t="str">
        <f t="shared" si="34"/>
        <v>CorporatePolicies</v>
      </c>
      <c r="C405" t="s">
        <v>256</v>
      </c>
      <c r="Y405" t="b">
        <f t="shared" si="37"/>
        <v>1</v>
      </c>
      <c r="Z405" t="b">
        <f t="shared" si="36"/>
        <v>0</v>
      </c>
    </row>
    <row r="406" spans="1:26">
      <c r="A406" s="5" t="str">
        <f t="shared" si="34"/>
        <v>OtherInfluencesDesc</v>
      </c>
      <c r="C406" t="s">
        <v>257</v>
      </c>
      <c r="Y406" t="b">
        <f t="shared" si="37"/>
        <v>1</v>
      </c>
      <c r="Z406" t="b">
        <f t="shared" si="36"/>
        <v>0</v>
      </c>
    </row>
    <row r="407" spans="1:26">
      <c r="A407" s="5" t="str">
        <f t="shared" si="34"/>
        <v>FinalEligibilityDecision</v>
      </c>
      <c r="C407" t="s">
        <v>258</v>
      </c>
      <c r="Y407" t="b">
        <f t="shared" si="37"/>
        <v>1</v>
      </c>
      <c r="Z407" t="b">
        <f t="shared" si="36"/>
        <v>0</v>
      </c>
    </row>
    <row r="408" spans="1:26">
      <c r="A408" s="5" t="str">
        <f t="shared" si="34"/>
        <v>FinalEvalDecision</v>
      </c>
      <c r="C408" t="s">
        <v>259</v>
      </c>
      <c r="Y408" t="b">
        <f t="shared" si="37"/>
        <v>1</v>
      </c>
      <c r="Z408" t="b">
        <f t="shared" si="36"/>
        <v>0</v>
      </c>
    </row>
    <row r="409" spans="1:26">
      <c r="A409" s="5" t="str">
        <f t="shared" si="34"/>
        <v>EligibilityComments_Prelim</v>
      </c>
      <c r="C409" t="s">
        <v>260</v>
      </c>
      <c r="Y409" t="b">
        <f t="shared" si="37"/>
        <v>1</v>
      </c>
      <c r="Z409" t="b">
        <f t="shared" si="36"/>
        <v>0</v>
      </c>
    </row>
    <row r="410" spans="1:26">
      <c r="A410" s="5" t="str">
        <f t="shared" si="34"/>
        <v>EligibilityComments</v>
      </c>
      <c r="C410" t="s">
        <v>261</v>
      </c>
      <c r="Y410" t="b">
        <f t="shared" si="37"/>
        <v>1</v>
      </c>
      <c r="Z410" t="b">
        <f t="shared" si="36"/>
        <v>0</v>
      </c>
    </row>
    <row r="411" spans="1:26">
      <c r="A411" s="5" t="str">
        <f t="shared" si="34"/>
        <v>HardToReach</v>
      </c>
      <c r="C411" t="s">
        <v>297</v>
      </c>
      <c r="Y411" t="b">
        <f t="shared" si="37"/>
        <v>1</v>
      </c>
      <c r="Z411" t="b">
        <f t="shared" si="36"/>
        <v>0</v>
      </c>
    </row>
    <row r="412" spans="1:26">
      <c r="A412" s="5" t="str">
        <f t="shared" si="34"/>
        <v>domain_lifecycle_gross_rr_kw</v>
      </c>
      <c r="C412" t="s">
        <v>1660</v>
      </c>
      <c r="Y412" t="b">
        <f t="shared" si="37"/>
        <v>1</v>
      </c>
      <c r="Z412" t="b">
        <f t="shared" si="36"/>
        <v>0</v>
      </c>
    </row>
    <row r="413" spans="1:26">
      <c r="A413" s="5" t="str">
        <f t="shared" si="34"/>
        <v>domain_lifecycle_gross_rr_kwh</v>
      </c>
      <c r="C413" t="s">
        <v>1661</v>
      </c>
      <c r="Y413" t="b">
        <f t="shared" si="37"/>
        <v>1</v>
      </c>
      <c r="Z413" t="b">
        <f t="shared" si="36"/>
        <v>0</v>
      </c>
    </row>
    <row r="414" spans="1:26">
      <c r="A414" s="5" t="str">
        <f t="shared" si="34"/>
        <v>domain_lifecycle_gross_rr_thm</v>
      </c>
      <c r="C414" t="s">
        <v>1662</v>
      </c>
      <c r="Y414" t="b">
        <f t="shared" ref="Y414:Y479" si="38">IF(NOT(ISBLANK(A414)), LEN(_xlfn.CONCAT(C414:W414))&gt;0, "")</f>
        <v>1</v>
      </c>
      <c r="Z414" t="b">
        <f t="shared" si="36"/>
        <v>0</v>
      </c>
    </row>
    <row r="415" spans="1:26">
      <c r="A415" s="5" t="str">
        <f t="shared" si="34"/>
        <v>domain_annualized_gross_rr_kw</v>
      </c>
      <c r="C415" t="s">
        <v>1663</v>
      </c>
      <c r="Y415" t="b">
        <f t="shared" si="38"/>
        <v>1</v>
      </c>
      <c r="Z415" t="b">
        <f t="shared" si="36"/>
        <v>0</v>
      </c>
    </row>
    <row r="416" spans="1:26">
      <c r="A416" s="5" t="str">
        <f t="shared" si="34"/>
        <v>domain_annualized_gross_rr_kwh</v>
      </c>
      <c r="C416" t="s">
        <v>1664</v>
      </c>
      <c r="Y416" t="b">
        <f t="shared" si="38"/>
        <v>1</v>
      </c>
      <c r="Z416" t="b">
        <f t="shared" si="36"/>
        <v>0</v>
      </c>
    </row>
    <row r="417" spans="1:26">
      <c r="A417" s="5" t="str">
        <f t="shared" si="34"/>
        <v>domain_annualized_gross_rr_thm</v>
      </c>
      <c r="C417" t="s">
        <v>1665</v>
      </c>
      <c r="Y417" t="b">
        <f t="shared" si="38"/>
        <v>1</v>
      </c>
      <c r="Z417" t="b">
        <f t="shared" si="36"/>
        <v>0</v>
      </c>
    </row>
    <row r="418" spans="1:26">
      <c r="A418" s="5" t="str">
        <f t="shared" si="34"/>
        <v>Claim_AR_ExAnte_LifeCycleNet_NoRR_kw</v>
      </c>
      <c r="C418" t="s">
        <v>2383</v>
      </c>
      <c r="Y418" t="b">
        <f t="shared" ref="Y418:Y460" si="39">IF(NOT(ISBLANK(A418)), LEN(_xlfn.CONCAT(C418:W418))&gt;0, "")</f>
        <v>1</v>
      </c>
      <c r="Z418" t="b">
        <f t="shared" ref="Z418:Z460" si="40">AND(ISNUMBER(SEARCH("kw",_xlfn.CONCAT(I418:X418))), ISNUMBER(SEARCH("thm",_xlfn.CONCAT(I418:X418))))</f>
        <v>0</v>
      </c>
    </row>
    <row r="419" spans="1:26">
      <c r="A419" s="5" t="str">
        <f t="shared" si="34"/>
        <v>Claim_AR_ExAnte_LifeCyclenet_NoRR_kwh</v>
      </c>
      <c r="C419" t="s">
        <v>2384</v>
      </c>
      <c r="Y419" t="b">
        <f t="shared" si="39"/>
        <v>1</v>
      </c>
      <c r="Z419" t="b">
        <f t="shared" si="40"/>
        <v>0</v>
      </c>
    </row>
    <row r="420" spans="1:26">
      <c r="A420" s="5" t="str">
        <f t="shared" si="34"/>
        <v>Claim_AR_ExAnte_LifeCyclenet_NoRR_thm</v>
      </c>
      <c r="C420" t="s">
        <v>2385</v>
      </c>
      <c r="Y420" t="b">
        <f t="shared" si="39"/>
        <v>1</v>
      </c>
      <c r="Z420" t="b">
        <f t="shared" si="40"/>
        <v>0</v>
      </c>
    </row>
    <row r="421" spans="1:26">
      <c r="A421" s="5" t="str">
        <f t="shared" si="34"/>
        <v>Claim_AR_ExAnte_AnnualizedNet_NoRR_kw</v>
      </c>
      <c r="C421" t="s">
        <v>2428</v>
      </c>
      <c r="Y421" t="b">
        <f t="shared" si="39"/>
        <v>1</v>
      </c>
      <c r="Z421" t="b">
        <f t="shared" si="40"/>
        <v>0</v>
      </c>
    </row>
    <row r="422" spans="1:26">
      <c r="A422" s="5" t="str">
        <f t="shared" si="34"/>
        <v>Claim_AR_ExAnte_Annualizednet_NoRR_kwh</v>
      </c>
      <c r="C422" t="s">
        <v>2429</v>
      </c>
      <c r="Y422" t="b">
        <f t="shared" si="39"/>
        <v>1</v>
      </c>
      <c r="Z422" t="b">
        <f t="shared" si="40"/>
        <v>0</v>
      </c>
    </row>
    <row r="423" spans="1:26">
      <c r="A423" s="5" t="str">
        <f t="shared" si="34"/>
        <v>Claim_AR_ExAnte_Annualizednet_NoRR_thm</v>
      </c>
      <c r="C423" t="s">
        <v>2430</v>
      </c>
      <c r="Y423" t="b">
        <f t="shared" si="39"/>
        <v>1</v>
      </c>
      <c r="Z423" t="b">
        <f t="shared" si="40"/>
        <v>0</v>
      </c>
    </row>
    <row r="424" spans="1:26">
      <c r="A424" s="5" t="str">
        <f t="shared" si="34"/>
        <v>ss_AR_ExPost_LifeCycleGross_NoRR_kw</v>
      </c>
      <c r="C424" t="s">
        <v>2368</v>
      </c>
      <c r="Y424" t="b">
        <f t="shared" si="39"/>
        <v>1</v>
      </c>
      <c r="Z424" t="b">
        <f t="shared" si="40"/>
        <v>0</v>
      </c>
    </row>
    <row r="425" spans="1:26">
      <c r="A425" s="5" t="str">
        <f t="shared" si="34"/>
        <v>ss_AR_ExPost_LifeCycleGross_NoRR_kwh</v>
      </c>
      <c r="C425" t="s">
        <v>2369</v>
      </c>
      <c r="Y425" t="b">
        <f t="shared" si="39"/>
        <v>1</v>
      </c>
      <c r="Z425" t="b">
        <f t="shared" si="40"/>
        <v>0</v>
      </c>
    </row>
    <row r="426" spans="1:26">
      <c r="A426" s="5" t="str">
        <f t="shared" si="34"/>
        <v>ss_AR_ExPost_LifeCycleGross_NoRR_thm</v>
      </c>
      <c r="C426" t="s">
        <v>2370</v>
      </c>
      <c r="Y426" t="b">
        <f t="shared" si="39"/>
        <v>1</v>
      </c>
      <c r="Z426" t="b">
        <f t="shared" si="40"/>
        <v>0</v>
      </c>
    </row>
    <row r="427" spans="1:26">
      <c r="A427" s="5" t="str">
        <f t="shared" si="34"/>
        <v>ss_AR_ExPost_AnnualizedGross_NoRR_kw</v>
      </c>
      <c r="C427" t="s">
        <v>2437</v>
      </c>
      <c r="G427" t="s">
        <v>658</v>
      </c>
      <c r="Y427" t="b">
        <f t="shared" si="39"/>
        <v>1</v>
      </c>
      <c r="Z427" t="b">
        <f t="shared" si="40"/>
        <v>0</v>
      </c>
    </row>
    <row r="428" spans="1:26">
      <c r="A428" s="5" t="str">
        <f t="shared" si="34"/>
        <v>ss_AR_ExPost_AnnualizedGross_NoRR_kwh</v>
      </c>
      <c r="C428" t="s">
        <v>2438</v>
      </c>
      <c r="G428" t="s">
        <v>658</v>
      </c>
      <c r="Y428" t="b">
        <f t="shared" si="39"/>
        <v>1</v>
      </c>
      <c r="Z428" t="b">
        <f t="shared" si="40"/>
        <v>0</v>
      </c>
    </row>
    <row r="429" spans="1:26">
      <c r="A429" s="5" t="str">
        <f t="shared" si="34"/>
        <v>ss_AR_ExPost_AnnualizedGross_NoRR_thm</v>
      </c>
      <c r="C429" t="s">
        <v>2439</v>
      </c>
      <c r="G429" t="s">
        <v>658</v>
      </c>
      <c r="Y429" t="b">
        <f t="shared" si="39"/>
        <v>1</v>
      </c>
      <c r="Z429" t="b">
        <f t="shared" si="40"/>
        <v>0</v>
      </c>
    </row>
    <row r="430" spans="1:26">
      <c r="A430" s="5" t="str">
        <f t="shared" si="34"/>
        <v>str_wtd_AR_ExPost_LifeCycleGross_NoRR_kw</v>
      </c>
      <c r="C430" t="s">
        <v>2371</v>
      </c>
      <c r="Y430" t="b">
        <f t="shared" si="39"/>
        <v>1</v>
      </c>
      <c r="Z430" t="b">
        <f t="shared" si="40"/>
        <v>0</v>
      </c>
    </row>
    <row r="431" spans="1:26">
      <c r="A431" s="5" t="str">
        <f t="shared" si="34"/>
        <v>str_wtd_AR_ExPost_LifeCycleGross_NoRR_kwh</v>
      </c>
      <c r="C431" t="s">
        <v>2372</v>
      </c>
      <c r="Y431" t="b">
        <f t="shared" si="39"/>
        <v>1</v>
      </c>
      <c r="Z431" t="b">
        <f t="shared" si="40"/>
        <v>0</v>
      </c>
    </row>
    <row r="432" spans="1:26">
      <c r="A432" s="5" t="str">
        <f t="shared" si="34"/>
        <v>str_wtd_AR_ExPost_LifeCycleGross_NoRR_thm</v>
      </c>
      <c r="C432" t="s">
        <v>2373</v>
      </c>
      <c r="Y432" t="b">
        <f t="shared" si="39"/>
        <v>1</v>
      </c>
      <c r="Z432" t="b">
        <f t="shared" si="40"/>
        <v>0</v>
      </c>
    </row>
    <row r="433" spans="1:26">
      <c r="A433" s="5" t="str">
        <f t="shared" si="34"/>
        <v>str_wtd_AR_ExPost_AnnualizedGross_NoRR_kw</v>
      </c>
      <c r="C433" t="s">
        <v>2440</v>
      </c>
      <c r="Y433" t="b">
        <f t="shared" si="39"/>
        <v>1</v>
      </c>
      <c r="Z433" t="b">
        <f t="shared" si="40"/>
        <v>0</v>
      </c>
    </row>
    <row r="434" spans="1:26">
      <c r="A434" s="5" t="str">
        <f t="shared" si="34"/>
        <v>str_wtd_AR_ExPost_AnnualizedGross_NoRR_kwh</v>
      </c>
      <c r="C434" t="s">
        <v>2441</v>
      </c>
      <c r="Y434" t="b">
        <f t="shared" si="39"/>
        <v>1</v>
      </c>
      <c r="Z434" t="b">
        <f t="shared" si="40"/>
        <v>0</v>
      </c>
    </row>
    <row r="435" spans="1:26">
      <c r="A435" s="5" t="str">
        <f t="shared" si="34"/>
        <v>str_wtd_AR_ExPost_AnnualizedGross_NoRR_thm</v>
      </c>
      <c r="C435" t="s">
        <v>2442</v>
      </c>
      <c r="Y435" t="b">
        <f t="shared" si="39"/>
        <v>1</v>
      </c>
      <c r="Z435" t="b">
        <f t="shared" si="40"/>
        <v>0</v>
      </c>
    </row>
    <row r="436" spans="1:26">
      <c r="A436" s="5" t="str">
        <f t="shared" si="34"/>
        <v>Proj_AR_ExPost_LifeCycleGross_NoRR_kw_raw</v>
      </c>
      <c r="C436" t="s">
        <v>2421</v>
      </c>
      <c r="Y436" t="b">
        <f t="shared" ref="Y436:Y459" si="41">IF(NOT(ISBLANK(A436)), LEN(_xlfn.CONCAT(C436:W436))&gt;0, "")</f>
        <v>1</v>
      </c>
      <c r="Z436" t="b">
        <f t="shared" ref="Z436:Z459" si="42">AND(ISNUMBER(SEARCH("kw",_xlfn.CONCAT(I436:X436))), ISNUMBER(SEARCH("thm",_xlfn.CONCAT(I436:X436))))</f>
        <v>0</v>
      </c>
    </row>
    <row r="437" spans="1:26">
      <c r="A437" s="5" t="str">
        <f t="shared" si="34"/>
        <v>Proj_AR_ExPost_LifeCycleGross_NoRR_kwh_raw</v>
      </c>
      <c r="C437" t="s">
        <v>2422</v>
      </c>
      <c r="Y437" t="b">
        <f t="shared" si="41"/>
        <v>1</v>
      </c>
      <c r="Z437" t="b">
        <f t="shared" si="42"/>
        <v>0</v>
      </c>
    </row>
    <row r="438" spans="1:26">
      <c r="A438" s="5" t="str">
        <f t="shared" si="34"/>
        <v>Proj_AR_ExPost_LifeCycleGross_NoRR_thm_raw</v>
      </c>
      <c r="C438" t="s">
        <v>2423</v>
      </c>
      <c r="Y438" t="b">
        <f t="shared" si="41"/>
        <v>1</v>
      </c>
      <c r="Z438" t="b">
        <f t="shared" si="42"/>
        <v>0</v>
      </c>
    </row>
    <row r="439" spans="1:26">
      <c r="A439" s="5" t="str">
        <f t="shared" si="34"/>
        <v>Proj_AR_ExPost_AnnualizedGross_NoRR_kw_raw</v>
      </c>
      <c r="C439" t="s">
        <v>2443</v>
      </c>
      <c r="Y439" t="b">
        <f t="shared" si="41"/>
        <v>1</v>
      </c>
      <c r="Z439" t="b">
        <f t="shared" si="42"/>
        <v>0</v>
      </c>
    </row>
    <row r="440" spans="1:26">
      <c r="A440" s="5" t="str">
        <f t="shared" si="34"/>
        <v>Proj_AR_ExPost_AnnualizedGross_NoRR_kwh_raw</v>
      </c>
      <c r="C440" t="s">
        <v>2444</v>
      </c>
      <c r="Y440" t="b">
        <f t="shared" si="41"/>
        <v>1</v>
      </c>
      <c r="Z440" t="b">
        <f t="shared" si="42"/>
        <v>0</v>
      </c>
    </row>
    <row r="441" spans="1:26">
      <c r="A441" s="5" t="str">
        <f t="shared" si="34"/>
        <v>Proj_AR_ExPost_AnnualizedGross_NoRR_thm_raw</v>
      </c>
      <c r="C441" t="s">
        <v>2445</v>
      </c>
      <c r="Y441" t="b">
        <f t="shared" si="41"/>
        <v>1</v>
      </c>
      <c r="Z441" t="b">
        <f t="shared" si="42"/>
        <v>0</v>
      </c>
    </row>
    <row r="442" spans="1:26">
      <c r="A442" s="5" t="str">
        <f t="shared" si="34"/>
        <v>Proj_AR_ExPost_LifeCycleGross_NoRR_kw</v>
      </c>
      <c r="C442" t="s">
        <v>2374</v>
      </c>
      <c r="Y442" t="b">
        <f t="shared" si="41"/>
        <v>1</v>
      </c>
      <c r="Z442" t="b">
        <f t="shared" si="42"/>
        <v>0</v>
      </c>
    </row>
    <row r="443" spans="1:26">
      <c r="A443" s="5" t="str">
        <f t="shared" si="34"/>
        <v>Proj_AR_ExPost_LifeCycleGross_NoRR_kwh</v>
      </c>
      <c r="C443" t="s">
        <v>2375</v>
      </c>
      <c r="Y443" t="b">
        <f t="shared" si="41"/>
        <v>1</v>
      </c>
      <c r="Z443" t="b">
        <f t="shared" si="42"/>
        <v>0</v>
      </c>
    </row>
    <row r="444" spans="1:26">
      <c r="A444" s="5" t="str">
        <f t="shared" si="34"/>
        <v>Proj_AR_ExPost_LifeCycleGross_NoRR_thm</v>
      </c>
      <c r="C444" t="s">
        <v>2376</v>
      </c>
      <c r="Y444" t="b">
        <f t="shared" si="41"/>
        <v>1</v>
      </c>
      <c r="Z444" t="b">
        <f t="shared" si="42"/>
        <v>0</v>
      </c>
    </row>
    <row r="445" spans="1:26">
      <c r="A445" s="5" t="str">
        <f t="shared" si="34"/>
        <v>Proj_AR_ExPost_AnnualizedGross_NoRR_kw</v>
      </c>
      <c r="C445" t="s">
        <v>2446</v>
      </c>
      <c r="Y445" t="b">
        <f t="shared" si="41"/>
        <v>1</v>
      </c>
      <c r="Z445" t="b">
        <f t="shared" si="42"/>
        <v>0</v>
      </c>
    </row>
    <row r="446" spans="1:26">
      <c r="A446" s="5" t="str">
        <f t="shared" si="34"/>
        <v>Proj_AR_ExPost_AnnualizedGross_NoRR_kwh</v>
      </c>
      <c r="C446" t="s">
        <v>2447</v>
      </c>
      <c r="Y446" t="b">
        <f t="shared" si="41"/>
        <v>1</v>
      </c>
      <c r="Z446" t="b">
        <f t="shared" si="42"/>
        <v>0</v>
      </c>
    </row>
    <row r="447" spans="1:26">
      <c r="A447" s="5" t="str">
        <f t="shared" si="34"/>
        <v>Proj_AR_ExPost_AnnualizedGross_NoRR_thm</v>
      </c>
      <c r="C447" t="s">
        <v>2448</v>
      </c>
      <c r="Y447" t="b">
        <f t="shared" si="41"/>
        <v>1</v>
      </c>
      <c r="Z447" t="b">
        <f t="shared" si="42"/>
        <v>0</v>
      </c>
    </row>
    <row r="448" spans="1:26">
      <c r="A448" s="5" t="str">
        <f t="shared" si="34"/>
        <v>Proj_AR_ExAnte_LifeCycleNet_NoRR_kw_raw</v>
      </c>
      <c r="C448" t="s">
        <v>2424</v>
      </c>
      <c r="Y448" t="b">
        <f t="shared" si="41"/>
        <v>1</v>
      </c>
      <c r="Z448" t="b">
        <f t="shared" si="42"/>
        <v>0</v>
      </c>
    </row>
    <row r="449" spans="1:26">
      <c r="A449" s="5" t="str">
        <f t="shared" si="34"/>
        <v>Proj_AR_ExAnte_LifeCycleNet_NoRR_kwh_raw</v>
      </c>
      <c r="C449" t="s">
        <v>2425</v>
      </c>
      <c r="Y449" t="b">
        <f t="shared" si="41"/>
        <v>1</v>
      </c>
      <c r="Z449" t="b">
        <f t="shared" si="42"/>
        <v>0</v>
      </c>
    </row>
    <row r="450" spans="1:26">
      <c r="A450" s="5" t="str">
        <f t="shared" si="34"/>
        <v>Proj_AR_ExAnte_LifeCycleNet_NoRR_thm_raw</v>
      </c>
      <c r="C450" t="s">
        <v>2426</v>
      </c>
      <c r="Y450" t="b">
        <f t="shared" si="41"/>
        <v>1</v>
      </c>
      <c r="Z450" t="b">
        <f t="shared" si="42"/>
        <v>0</v>
      </c>
    </row>
    <row r="451" spans="1:26">
      <c r="A451" s="5" t="str">
        <f t="shared" si="34"/>
        <v>Proj_AR_ExAnte_AnnualizedNet_NoRR_kw_raw</v>
      </c>
      <c r="C451" t="s">
        <v>2431</v>
      </c>
      <c r="Y451" t="b">
        <f t="shared" si="41"/>
        <v>1</v>
      </c>
      <c r="Z451" t="b">
        <f t="shared" si="42"/>
        <v>0</v>
      </c>
    </row>
    <row r="452" spans="1:26">
      <c r="A452" s="5" t="str">
        <f t="shared" si="34"/>
        <v>Proj_AR_ExAnte_AnnualizedNet_NoRR_kwh_raw</v>
      </c>
      <c r="C452" t="s">
        <v>2432</v>
      </c>
      <c r="Y452" t="b">
        <f t="shared" si="41"/>
        <v>1</v>
      </c>
      <c r="Z452" t="b">
        <f t="shared" si="42"/>
        <v>0</v>
      </c>
    </row>
    <row r="453" spans="1:26">
      <c r="A453" s="5" t="str">
        <f t="shared" si="34"/>
        <v>Proj_AR_ExAnte_AnnualizedNet_NoRR_thm_raw</v>
      </c>
      <c r="C453" t="s">
        <v>2433</v>
      </c>
      <c r="Y453" t="b">
        <f t="shared" si="41"/>
        <v>1</v>
      </c>
      <c r="Z453" t="b">
        <f t="shared" si="42"/>
        <v>0</v>
      </c>
    </row>
    <row r="454" spans="1:26">
      <c r="A454" s="5" t="str">
        <f t="shared" si="34"/>
        <v>Proj_AR_ExAnte_LifeCycleNet_NoRR_kw</v>
      </c>
      <c r="C454" t="s">
        <v>2386</v>
      </c>
      <c r="Y454" t="b">
        <f t="shared" si="41"/>
        <v>1</v>
      </c>
      <c r="Z454" t="b">
        <f t="shared" si="42"/>
        <v>0</v>
      </c>
    </row>
    <row r="455" spans="1:26">
      <c r="A455" s="5" t="str">
        <f t="shared" si="34"/>
        <v>Proj_AR_ExAnte_LifeCycleNet_NoRR_kwh</v>
      </c>
      <c r="C455" t="s">
        <v>2387</v>
      </c>
      <c r="Y455" t="b">
        <f t="shared" si="41"/>
        <v>1</v>
      </c>
      <c r="Z455" t="b">
        <f t="shared" si="42"/>
        <v>0</v>
      </c>
    </row>
    <row r="456" spans="1:26">
      <c r="A456" s="5" t="str">
        <f t="shared" si="34"/>
        <v>Proj_AR_ExAnte_LifeCycleNet_NoRR_thm</v>
      </c>
      <c r="C456" t="s">
        <v>2388</v>
      </c>
      <c r="Y456" t="b">
        <f t="shared" si="41"/>
        <v>1</v>
      </c>
      <c r="Z456" t="b">
        <f t="shared" si="42"/>
        <v>0</v>
      </c>
    </row>
    <row r="457" spans="1:26">
      <c r="A457" s="5" t="str">
        <f t="shared" si="34"/>
        <v>Proj_AR_ExAnte_AnnualizedNet_NoRR_kw</v>
      </c>
      <c r="C457" t="s">
        <v>2434</v>
      </c>
      <c r="Y457" t="b">
        <f t="shared" si="41"/>
        <v>1</v>
      </c>
      <c r="Z457" t="b">
        <f t="shared" si="42"/>
        <v>0</v>
      </c>
    </row>
    <row r="458" spans="1:26">
      <c r="A458" s="5" t="str">
        <f t="shared" si="34"/>
        <v>Proj_AR_ExAnte_AnnualizedNet_NoRR_kwh</v>
      </c>
      <c r="C458" t="s">
        <v>2435</v>
      </c>
      <c r="Y458" t="b">
        <f t="shared" si="41"/>
        <v>1</v>
      </c>
      <c r="Z458" t="b">
        <f t="shared" si="42"/>
        <v>0</v>
      </c>
    </row>
    <row r="459" spans="1:26">
      <c r="A459" s="5" t="str">
        <f t="shared" si="34"/>
        <v>Proj_AR_ExAnte_AnnualizedNet_NoRR_thm</v>
      </c>
      <c r="C459" t="s">
        <v>2436</v>
      </c>
      <c r="Y459" t="b">
        <f t="shared" si="41"/>
        <v>1</v>
      </c>
      <c r="Z459" t="b">
        <f t="shared" si="42"/>
        <v>0</v>
      </c>
    </row>
    <row r="460" spans="1:26">
      <c r="A460" s="5" t="str">
        <f t="shared" si="34"/>
        <v>weighted_expost_lifecycle_gross_kwh</v>
      </c>
      <c r="C460" t="s">
        <v>1940</v>
      </c>
      <c r="Y460" t="b">
        <f t="shared" si="39"/>
        <v>1</v>
      </c>
      <c r="Z460" t="b">
        <f t="shared" si="40"/>
        <v>0</v>
      </c>
    </row>
    <row r="461" spans="1:26">
      <c r="A461" s="5" t="str">
        <f t="shared" si="34"/>
        <v>weighted_expost_lifecycle_gross_thm</v>
      </c>
      <c r="C461" t="s">
        <v>1941</v>
      </c>
      <c r="Y461" t="b">
        <f t="shared" si="38"/>
        <v>1</v>
      </c>
      <c r="Z461" t="b">
        <f t="shared" si="36"/>
        <v>0</v>
      </c>
    </row>
    <row r="462" spans="1:26">
      <c r="A462" s="5" t="str">
        <f t="shared" si="34"/>
        <v>prj_exante_GRR_kw</v>
      </c>
      <c r="C462" t="s">
        <v>2456</v>
      </c>
      <c r="Y462" t="b">
        <f t="shared" si="38"/>
        <v>1</v>
      </c>
    </row>
    <row r="463" spans="1:26">
      <c r="A463" s="5" t="str">
        <f t="shared" si="34"/>
        <v>prj_exante_GRR_kwh</v>
      </c>
      <c r="C463" t="s">
        <v>2457</v>
      </c>
      <c r="Y463" t="b">
        <f t="shared" si="38"/>
        <v>1</v>
      </c>
    </row>
    <row r="464" spans="1:26">
      <c r="A464" s="5" t="str">
        <f t="shared" si="34"/>
        <v>prj_exante_GRR_thm</v>
      </c>
      <c r="C464" t="s">
        <v>2458</v>
      </c>
      <c r="Y464" t="b">
        <f t="shared" si="38"/>
        <v>1</v>
      </c>
    </row>
    <row r="465" spans="1:26">
      <c r="A465" s="5" t="str">
        <f t="shared" si="34"/>
        <v>prj_exante_ntgr_kw</v>
      </c>
      <c r="C465" t="s">
        <v>2459</v>
      </c>
      <c r="Y465" t="b">
        <f t="shared" si="38"/>
        <v>1</v>
      </c>
    </row>
    <row r="466" spans="1:26">
      <c r="A466" s="5" t="str">
        <f t="shared" si="34"/>
        <v>prj_exante_ntgr_kwh</v>
      </c>
      <c r="C466" t="s">
        <v>2460</v>
      </c>
      <c r="Y466" t="b">
        <f t="shared" si="38"/>
        <v>1</v>
      </c>
    </row>
    <row r="467" spans="1:26">
      <c r="A467" s="5" t="str">
        <f t="shared" si="34"/>
        <v>prj_exante_ntgr_thm</v>
      </c>
      <c r="C467" t="s">
        <v>2461</v>
      </c>
      <c r="Y467" t="b">
        <f t="shared" si="38"/>
        <v>1</v>
      </c>
    </row>
    <row r="468" spans="1:26">
      <c r="A468" s="5" t="str">
        <f t="shared" si="34"/>
        <v>dom_eval_RR_kW_LG</v>
      </c>
      <c r="D468" t="s">
        <v>1833</v>
      </c>
      <c r="Y468" t="b">
        <f t="shared" si="38"/>
        <v>1</v>
      </c>
      <c r="Z468" t="b">
        <f t="shared" si="36"/>
        <v>0</v>
      </c>
    </row>
    <row r="469" spans="1:26">
      <c r="A469" s="5" t="str">
        <f t="shared" ref="A469:A481" si="43">IF(ISBLANK(C469), D469, C469)</f>
        <v>dom_eval_RR_kWh_LG</v>
      </c>
      <c r="D469" t="s">
        <v>1832</v>
      </c>
      <c r="Y469" t="b">
        <f t="shared" si="38"/>
        <v>1</v>
      </c>
      <c r="Z469" t="b">
        <f t="shared" si="36"/>
        <v>0</v>
      </c>
    </row>
    <row r="470" spans="1:26">
      <c r="A470" s="5" t="str">
        <f t="shared" si="43"/>
        <v>dom_eval_RR_thm_LG</v>
      </c>
      <c r="D470" t="s">
        <v>1842</v>
      </c>
      <c r="Y470" t="b">
        <f t="shared" si="38"/>
        <v>1</v>
      </c>
      <c r="Z470" t="b">
        <f t="shared" si="36"/>
        <v>0</v>
      </c>
    </row>
    <row r="471" spans="1:26">
      <c r="A471" s="5" t="str">
        <f t="shared" si="43"/>
        <v>ExAnte_Annualized_NoRR_kW</v>
      </c>
      <c r="D471" t="s">
        <v>1636</v>
      </c>
      <c r="Y471" t="b">
        <f t="shared" si="38"/>
        <v>1</v>
      </c>
      <c r="Z471" t="b">
        <f t="shared" ref="Z471:Z479" si="44">AND(ISNUMBER(SEARCH("kw",_xlfn.CONCAT(I471:X471))), ISNUMBER(SEARCH("thm",_xlfn.CONCAT(I471:X471))))</f>
        <v>0</v>
      </c>
    </row>
    <row r="472" spans="1:26">
      <c r="A472" s="5" t="str">
        <f t="shared" si="43"/>
        <v>ExAnte_Annualized_NoRR_kWh</v>
      </c>
      <c r="D472" t="s">
        <v>1637</v>
      </c>
      <c r="Y472" t="b">
        <f t="shared" si="38"/>
        <v>1</v>
      </c>
      <c r="Z472" t="b">
        <f t="shared" si="44"/>
        <v>0</v>
      </c>
    </row>
    <row r="473" spans="1:26">
      <c r="A473" s="5" t="str">
        <f t="shared" si="43"/>
        <v>ExAnte_Annualized_NoRR_thm</v>
      </c>
      <c r="D473" t="s">
        <v>2249</v>
      </c>
      <c r="Y473" t="b">
        <f t="shared" si="38"/>
        <v>1</v>
      </c>
      <c r="Z473" t="b">
        <f t="shared" si="44"/>
        <v>0</v>
      </c>
    </row>
    <row r="474" spans="1:26">
      <c r="A474" s="5" t="str">
        <f t="shared" si="43"/>
        <v>Eval_adj_ExAnteBase1kWSvgs</v>
      </c>
      <c r="D474" t="s">
        <v>2251</v>
      </c>
      <c r="Y474" t="b">
        <f t="shared" si="38"/>
        <v>1</v>
      </c>
      <c r="Z474" t="b">
        <f t="shared" si="44"/>
        <v>0</v>
      </c>
    </row>
    <row r="475" spans="1:26">
      <c r="A475" s="5" t="str">
        <f t="shared" si="43"/>
        <v>Eval_adj_ExAnteBase1kWhSvgs</v>
      </c>
      <c r="D475" t="s">
        <v>2252</v>
      </c>
      <c r="Y475" t="b">
        <f t="shared" si="38"/>
        <v>1</v>
      </c>
      <c r="Z475" t="b">
        <f t="shared" si="44"/>
        <v>0</v>
      </c>
    </row>
    <row r="476" spans="1:26">
      <c r="A476" s="5" t="str">
        <f t="shared" si="43"/>
        <v>Eval_adj_ExAnteBase1ThermSvgs</v>
      </c>
      <c r="D476" t="s">
        <v>2253</v>
      </c>
      <c r="Y476" t="b">
        <f t="shared" si="38"/>
        <v>1</v>
      </c>
      <c r="Z476" t="b">
        <f t="shared" si="44"/>
        <v>0</v>
      </c>
    </row>
    <row r="477" spans="1:26">
      <c r="A477" s="5" t="str">
        <f t="shared" si="43"/>
        <v>Eval_adj_ExAnteBase2kWSvgs</v>
      </c>
      <c r="D477" t="s">
        <v>2254</v>
      </c>
      <c r="Y477" t="b">
        <f t="shared" si="38"/>
        <v>1</v>
      </c>
      <c r="Z477" t="b">
        <f t="shared" si="44"/>
        <v>0</v>
      </c>
    </row>
    <row r="478" spans="1:26">
      <c r="A478" s="5" t="str">
        <f t="shared" si="43"/>
        <v>Eval_adj_ExAnteBase2kWhSvgs</v>
      </c>
      <c r="D478" t="s">
        <v>2255</v>
      </c>
      <c r="Y478" t="b">
        <f t="shared" si="38"/>
        <v>1</v>
      </c>
      <c r="Z478" t="b">
        <f t="shared" si="44"/>
        <v>0</v>
      </c>
    </row>
    <row r="479" spans="1:26">
      <c r="A479" s="5" t="str">
        <f t="shared" si="43"/>
        <v>Eval_adj_ExAnteBase2ThermSvgs</v>
      </c>
      <c r="D479" t="s">
        <v>2256</v>
      </c>
      <c r="Y479" t="b">
        <f t="shared" si="38"/>
        <v>1</v>
      </c>
      <c r="Z479" t="b">
        <f t="shared" si="44"/>
        <v>0</v>
      </c>
    </row>
    <row r="480" spans="1:26">
      <c r="A480" s="5" t="str">
        <f t="shared" si="43"/>
        <v>Eval_adj_EUL</v>
      </c>
      <c r="D480" t="s">
        <v>2269</v>
      </c>
      <c r="Y480" t="b">
        <f t="shared" ref="Y480:Y489" si="45">IF(NOT(ISBLANK(A480)), LEN(_xlfn.CONCAT(C480:W480))&gt;0, "")</f>
        <v>1</v>
      </c>
      <c r="Z480" t="b">
        <f t="shared" ref="Z480:Z489" si="46">AND(ISNUMBER(SEARCH("kw",_xlfn.CONCAT(I480:X480))), ISNUMBER(SEARCH("thm",_xlfn.CONCAT(I480:X480))))</f>
        <v>0</v>
      </c>
    </row>
    <row r="481" spans="1:26">
      <c r="A481" s="5" t="str">
        <f t="shared" si="43"/>
        <v>Eval_adj_RUL</v>
      </c>
      <c r="D481" t="s">
        <v>2270</v>
      </c>
      <c r="Y481" t="b">
        <f t="shared" si="45"/>
        <v>1</v>
      </c>
      <c r="Z481" t="b">
        <f t="shared" si="46"/>
        <v>0</v>
      </c>
    </row>
    <row r="482" spans="1:26">
      <c r="A482" s="5" t="str">
        <f t="shared" ref="A482:A509" si="47">IF(ISBLANK(C482), D482, C482)</f>
        <v>combined_MeasAppType</v>
      </c>
      <c r="D482" t="s">
        <v>2194</v>
      </c>
      <c r="Y482" t="b">
        <f t="shared" si="45"/>
        <v>1</v>
      </c>
      <c r="Z482" t="b">
        <f t="shared" si="46"/>
        <v>0</v>
      </c>
    </row>
    <row r="483" spans="1:26">
      <c r="A483" s="5" t="str">
        <f t="shared" si="47"/>
        <v>combined_isAR</v>
      </c>
      <c r="D483" t="s">
        <v>2195</v>
      </c>
      <c r="Y483" t="b">
        <f t="shared" si="45"/>
        <v>1</v>
      </c>
      <c r="Z483" t="b">
        <f t="shared" si="46"/>
        <v>0</v>
      </c>
    </row>
    <row r="484" spans="1:26">
      <c r="A484" s="5" t="str">
        <f t="shared" si="47"/>
        <v>NetSample_kwh</v>
      </c>
      <c r="D484" t="s">
        <v>2669</v>
      </c>
      <c r="Y484" t="b">
        <f t="shared" si="45"/>
        <v>1</v>
      </c>
      <c r="Z484" t="b">
        <f t="shared" si="46"/>
        <v>0</v>
      </c>
    </row>
    <row r="485" spans="1:26">
      <c r="A485" s="5" t="str">
        <f t="shared" si="47"/>
        <v>NetSample_thm</v>
      </c>
      <c r="D485" t="s">
        <v>2670</v>
      </c>
      <c r="Y485" t="b">
        <f t="shared" si="45"/>
        <v>1</v>
      </c>
      <c r="Z485" t="b">
        <f t="shared" si="46"/>
        <v>0</v>
      </c>
    </row>
    <row r="486" spans="1:26">
      <c r="A486" s="5" t="str">
        <f t="shared" si="47"/>
        <v>net_complete_kwh</v>
      </c>
      <c r="D486" t="s">
        <v>2276</v>
      </c>
      <c r="Y486" t="b">
        <f t="shared" si="45"/>
        <v>1</v>
      </c>
      <c r="Z486" t="b">
        <f t="shared" si="46"/>
        <v>0</v>
      </c>
    </row>
    <row r="487" spans="1:26">
      <c r="A487" s="5" t="str">
        <f t="shared" si="47"/>
        <v>net_complete_thm</v>
      </c>
      <c r="D487" t="s">
        <v>2277</v>
      </c>
      <c r="Y487" t="b">
        <f t="shared" si="45"/>
        <v>1</v>
      </c>
      <c r="Z487" t="b">
        <f t="shared" si="46"/>
        <v>0</v>
      </c>
    </row>
    <row r="488" spans="1:26">
      <c r="A488" s="5" t="str">
        <f t="shared" si="47"/>
        <v>ss_net_complete_kwh</v>
      </c>
      <c r="D488" t="s">
        <v>2279</v>
      </c>
      <c r="Y488" t="b">
        <f t="shared" si="45"/>
        <v>1</v>
      </c>
      <c r="Z488" t="b">
        <f t="shared" si="46"/>
        <v>0</v>
      </c>
    </row>
    <row r="489" spans="1:26">
      <c r="A489" s="5" t="str">
        <f t="shared" si="47"/>
        <v>ss_net_complete_thm</v>
      </c>
      <c r="D489" t="s">
        <v>2280</v>
      </c>
      <c r="Y489" t="b">
        <f t="shared" si="45"/>
        <v>1</v>
      </c>
      <c r="Z489" t="b">
        <f t="shared" si="46"/>
        <v>0</v>
      </c>
    </row>
    <row r="490" spans="1:26">
      <c r="A490" s="5" t="str">
        <f t="shared" si="47"/>
        <v>ClaimUnweighted_NTGR</v>
      </c>
      <c r="D490" t="s">
        <v>1538</v>
      </c>
      <c r="Y490" t="b">
        <f t="shared" ref="Y490:Y517" si="48">IF(NOT(ISBLANK(A490)), LEN(_xlfn.CONCAT(C490:W490))&gt;0, "")</f>
        <v>1</v>
      </c>
      <c r="Z490" t="b">
        <f t="shared" ref="Z490:Z517" si="49">AND(ISNUMBER(SEARCH("kw",_xlfn.CONCAT(I490:X490))), ISNUMBER(SEARCH("thm",_xlfn.CONCAT(I490:X490))))</f>
        <v>0</v>
      </c>
    </row>
    <row r="491" spans="1:26">
      <c r="A491" s="5" t="str">
        <f t="shared" si="47"/>
        <v>ClaimUnweighted_NTGR_kw</v>
      </c>
      <c r="D491" t="s">
        <v>2293</v>
      </c>
      <c r="Y491" t="b">
        <f t="shared" si="48"/>
        <v>1</v>
      </c>
      <c r="Z491" t="b">
        <f t="shared" si="49"/>
        <v>0</v>
      </c>
    </row>
    <row r="492" spans="1:26">
      <c r="A492" s="5" t="str">
        <f t="shared" si="47"/>
        <v>ClaimUnweighted_NTGR_kwh</v>
      </c>
      <c r="D492" t="s">
        <v>2294</v>
      </c>
      <c r="Y492" t="b">
        <f t="shared" si="48"/>
        <v>1</v>
      </c>
      <c r="Z492" t="b">
        <f t="shared" si="49"/>
        <v>0</v>
      </c>
    </row>
    <row r="493" spans="1:26">
      <c r="A493" s="5" t="str">
        <f t="shared" si="47"/>
        <v>ClaimUnweighted_NTGR_thm</v>
      </c>
      <c r="D493" t="s">
        <v>2295</v>
      </c>
      <c r="Y493" t="b">
        <f t="shared" si="48"/>
        <v>1</v>
      </c>
      <c r="Z493" t="b">
        <f t="shared" si="49"/>
        <v>0</v>
      </c>
    </row>
    <row r="494" spans="1:26">
      <c r="A494" s="5" t="str">
        <f t="shared" si="47"/>
        <v>ClaimUnweightedAdj_NTGR</v>
      </c>
      <c r="D494" t="s">
        <v>1540</v>
      </c>
      <c r="Y494" t="b">
        <f t="shared" si="48"/>
        <v>1</v>
      </c>
      <c r="Z494" t="b">
        <f t="shared" si="49"/>
        <v>0</v>
      </c>
    </row>
    <row r="495" spans="1:26">
      <c r="A495" s="5" t="str">
        <f t="shared" si="47"/>
        <v>adj_unwtd_kw_ntgr</v>
      </c>
      <c r="D495" t="s">
        <v>632</v>
      </c>
      <c r="Y495" t="b">
        <f t="shared" si="48"/>
        <v>1</v>
      </c>
      <c r="Z495" t="b">
        <f t="shared" si="49"/>
        <v>0</v>
      </c>
    </row>
    <row r="496" spans="1:26">
      <c r="A496" s="5" t="str">
        <f t="shared" si="47"/>
        <v>adj_unwtd_kwh_ntgr</v>
      </c>
      <c r="D496" t="s">
        <v>633</v>
      </c>
      <c r="Y496" t="b">
        <f t="shared" si="48"/>
        <v>1</v>
      </c>
      <c r="Z496" t="b">
        <f t="shared" si="49"/>
        <v>0</v>
      </c>
    </row>
    <row r="497" spans="1:26">
      <c r="A497" s="5" t="str">
        <f t="shared" si="47"/>
        <v>adj_unwtd_thm_ntgr</v>
      </c>
      <c r="D497" t="s">
        <v>634</v>
      </c>
      <c r="Y497" t="b">
        <f t="shared" si="48"/>
        <v>1</v>
      </c>
      <c r="Z497" t="b">
        <f t="shared" si="49"/>
        <v>0</v>
      </c>
    </row>
    <row r="498" spans="1:26">
      <c r="A498" s="5" t="str">
        <f t="shared" si="47"/>
        <v>ss_ExPostLifecycleNetkW_raw</v>
      </c>
      <c r="D498" t="s">
        <v>2296</v>
      </c>
      <c r="Y498" t="b">
        <f t="shared" si="48"/>
        <v>1</v>
      </c>
      <c r="Z498" t="b">
        <f t="shared" si="49"/>
        <v>0</v>
      </c>
    </row>
    <row r="499" spans="1:26">
      <c r="A499" s="5" t="str">
        <f t="shared" si="47"/>
        <v>ss_ExPostLifecycleNetkWh_raw</v>
      </c>
      <c r="D499" t="s">
        <v>2297</v>
      </c>
      <c r="Y499" t="b">
        <f t="shared" si="48"/>
        <v>1</v>
      </c>
      <c r="Z499" t="b">
        <f t="shared" si="49"/>
        <v>0</v>
      </c>
    </row>
    <row r="500" spans="1:26">
      <c r="A500" s="5" t="str">
        <f t="shared" si="47"/>
        <v>ss_ExPostLifecycleNetthm_raw</v>
      </c>
      <c r="D500" t="s">
        <v>2298</v>
      </c>
      <c r="Y500" t="b">
        <f t="shared" si="48"/>
        <v>1</v>
      </c>
      <c r="Z500" t="b">
        <f t="shared" si="49"/>
        <v>0</v>
      </c>
    </row>
    <row r="501" spans="1:26">
      <c r="A501" s="5" t="str">
        <f t="shared" si="47"/>
        <v>ss_ExPostLifecycleNetkW</v>
      </c>
      <c r="D501" t="s">
        <v>641</v>
      </c>
      <c r="Y501" t="b">
        <f t="shared" si="48"/>
        <v>1</v>
      </c>
      <c r="Z501" t="b">
        <f t="shared" si="49"/>
        <v>0</v>
      </c>
    </row>
    <row r="502" spans="1:26">
      <c r="A502" s="5" t="str">
        <f t="shared" si="47"/>
        <v>ss_ExPostLifecycleNetkWh</v>
      </c>
      <c r="D502" t="s">
        <v>642</v>
      </c>
      <c r="Y502" t="b">
        <f t="shared" si="48"/>
        <v>1</v>
      </c>
      <c r="Z502" t="b">
        <f t="shared" si="49"/>
        <v>0</v>
      </c>
    </row>
    <row r="503" spans="1:26">
      <c r="A503" s="5" t="str">
        <f t="shared" si="47"/>
        <v>ss_ExPostLifecycleNetthm</v>
      </c>
      <c r="D503" t="s">
        <v>643</v>
      </c>
      <c r="Y503" t="b">
        <f t="shared" si="48"/>
        <v>1</v>
      </c>
      <c r="Z503" t="b">
        <f t="shared" si="49"/>
        <v>0</v>
      </c>
    </row>
    <row r="504" spans="1:26">
      <c r="A504" s="5" t="str">
        <f t="shared" si="47"/>
        <v>ss_ExAnteLifeCycleNet_kw</v>
      </c>
      <c r="B504" t="s">
        <v>1763</v>
      </c>
      <c r="D504" t="s">
        <v>1760</v>
      </c>
      <c r="Y504" t="b">
        <f t="shared" si="48"/>
        <v>1</v>
      </c>
      <c r="Z504" t="b">
        <f t="shared" si="49"/>
        <v>0</v>
      </c>
    </row>
    <row r="505" spans="1:26">
      <c r="A505" s="5" t="str">
        <f t="shared" si="47"/>
        <v>ss_ExAnteLifeCycleNet_kwh</v>
      </c>
      <c r="B505" t="s">
        <v>1763</v>
      </c>
      <c r="D505" t="s">
        <v>1762</v>
      </c>
      <c r="Y505" t="b">
        <f t="shared" si="48"/>
        <v>1</v>
      </c>
      <c r="Z505" t="b">
        <f t="shared" si="49"/>
        <v>0</v>
      </c>
    </row>
    <row r="506" spans="1:26">
      <c r="A506" s="5" t="str">
        <f t="shared" si="47"/>
        <v>ss_ExAnteLifeCycleNet_thm</v>
      </c>
      <c r="B506" t="s">
        <v>1763</v>
      </c>
      <c r="D506" t="s">
        <v>1761</v>
      </c>
      <c r="Y506" t="b">
        <f t="shared" si="48"/>
        <v>1</v>
      </c>
      <c r="Z506" t="b">
        <f t="shared" si="49"/>
        <v>0</v>
      </c>
    </row>
    <row r="507" spans="1:26">
      <c r="A507" s="5" t="str">
        <f t="shared" si="47"/>
        <v>ss_wtd_EvalLifeCycleNTGRkW</v>
      </c>
      <c r="D507" t="s">
        <v>644</v>
      </c>
      <c r="Y507" t="b">
        <f t="shared" si="48"/>
        <v>1</v>
      </c>
      <c r="Z507" t="b">
        <f t="shared" si="49"/>
        <v>0</v>
      </c>
    </row>
    <row r="508" spans="1:26">
      <c r="A508" s="5" t="str">
        <f t="shared" si="47"/>
        <v>ss_wtd_EvalLifeCycleNTGRkWh</v>
      </c>
      <c r="D508" t="s">
        <v>645</v>
      </c>
      <c r="Y508" t="b">
        <f t="shared" si="48"/>
        <v>1</v>
      </c>
      <c r="Z508" t="b">
        <f t="shared" si="49"/>
        <v>0</v>
      </c>
    </row>
    <row r="509" spans="1:26">
      <c r="A509" s="5" t="str">
        <f t="shared" si="47"/>
        <v>ss_wtd_EvalLifeCycleNTGRthm</v>
      </c>
      <c r="D509" t="s">
        <v>646</v>
      </c>
      <c r="Y509" t="b">
        <f t="shared" si="48"/>
        <v>1</v>
      </c>
      <c r="Z509" t="b">
        <f t="shared" si="49"/>
        <v>0</v>
      </c>
    </row>
    <row r="510" spans="1:26">
      <c r="A510" s="5" t="str">
        <f t="shared" ref="A510:A553" si="50">IF(ISBLANK(C510), D510, C510)</f>
        <v>blended_ntgr_kw</v>
      </c>
      <c r="D510" t="s">
        <v>1737</v>
      </c>
      <c r="Y510" t="b">
        <f t="shared" si="48"/>
        <v>1</v>
      </c>
      <c r="Z510" t="b">
        <f t="shared" si="49"/>
        <v>0</v>
      </c>
    </row>
    <row r="511" spans="1:26">
      <c r="A511" s="5" t="str">
        <f t="shared" si="50"/>
        <v>blended_ntgr_kwh</v>
      </c>
      <c r="D511" t="s">
        <v>1738</v>
      </c>
      <c r="Y511" t="b">
        <f t="shared" si="48"/>
        <v>1</v>
      </c>
      <c r="Z511" t="b">
        <f t="shared" si="49"/>
        <v>0</v>
      </c>
    </row>
    <row r="512" spans="1:26">
      <c r="A512" s="5" t="str">
        <f t="shared" si="50"/>
        <v>blended_ntgr_thm</v>
      </c>
      <c r="D512" t="s">
        <v>1739</v>
      </c>
      <c r="Y512" t="b">
        <f t="shared" si="48"/>
        <v>1</v>
      </c>
      <c r="Z512" t="b">
        <f t="shared" si="49"/>
        <v>0</v>
      </c>
    </row>
    <row r="513" spans="1:26">
      <c r="A513" s="5" t="str">
        <f t="shared" si="50"/>
        <v>mean_ntgr_kw</v>
      </c>
      <c r="D513" t="s">
        <v>647</v>
      </c>
      <c r="Y513" t="b">
        <f t="shared" si="48"/>
        <v>1</v>
      </c>
      <c r="Z513" t="b">
        <f t="shared" si="49"/>
        <v>0</v>
      </c>
    </row>
    <row r="514" spans="1:26">
      <c r="A514" s="5" t="str">
        <f t="shared" si="50"/>
        <v>mean_ntgr_kwh</v>
      </c>
      <c r="D514" t="s">
        <v>648</v>
      </c>
      <c r="Y514" t="b">
        <f t="shared" si="48"/>
        <v>1</v>
      </c>
      <c r="Z514" t="b">
        <f t="shared" si="49"/>
        <v>0</v>
      </c>
    </row>
    <row r="515" spans="1:26">
      <c r="A515" s="5" t="str">
        <f t="shared" si="50"/>
        <v>mean_ntgr_thm</v>
      </c>
      <c r="D515" t="s">
        <v>649</v>
      </c>
      <c r="Y515" t="b">
        <f t="shared" si="48"/>
        <v>1</v>
      </c>
      <c r="Z515" t="b">
        <f t="shared" si="49"/>
        <v>0</v>
      </c>
    </row>
    <row r="516" spans="1:26">
      <c r="A516" s="5" t="str">
        <f t="shared" si="50"/>
        <v>ss_wtd_mean_ntgr_kw</v>
      </c>
      <c r="D516" t="s">
        <v>1727</v>
      </c>
      <c r="Y516" t="b">
        <f t="shared" si="48"/>
        <v>1</v>
      </c>
      <c r="Z516" t="b">
        <f t="shared" si="49"/>
        <v>0</v>
      </c>
    </row>
    <row r="517" spans="1:26">
      <c r="A517" s="5" t="str">
        <f t="shared" si="50"/>
        <v>ss_wtd_mean_ntgr_kwh</v>
      </c>
      <c r="D517" t="s">
        <v>1728</v>
      </c>
      <c r="Y517" t="b">
        <f t="shared" si="48"/>
        <v>1</v>
      </c>
      <c r="Z517" t="b">
        <f t="shared" si="49"/>
        <v>0</v>
      </c>
    </row>
    <row r="518" spans="1:26">
      <c r="A518" s="5" t="str">
        <f t="shared" si="50"/>
        <v>ss_wtd_mean_ntgr_thm</v>
      </c>
      <c r="D518" t="s">
        <v>1729</v>
      </c>
      <c r="Y518" t="b">
        <f t="shared" ref="Y518:Y539" si="51">IF(NOT(ISBLANK(A518)), LEN(_xlfn.CONCAT(C518:W518))&gt;0, "")</f>
        <v>1</v>
      </c>
      <c r="Z518" t="b">
        <f t="shared" ref="Z518:Z539" si="52">AND(ISNUMBER(SEARCH("kw",_xlfn.CONCAT(I518:X518))), ISNUMBER(SEARCH("thm",_xlfn.CONCAT(I518:X518))))</f>
        <v>0</v>
      </c>
    </row>
    <row r="519" spans="1:26">
      <c r="A519" s="5" t="str">
        <f t="shared" si="50"/>
        <v>st_EvalNTGRkW</v>
      </c>
      <c r="B519" t="s">
        <v>1774</v>
      </c>
      <c r="D519" t="s">
        <v>1720</v>
      </c>
      <c r="Y519" t="b">
        <f t="shared" si="51"/>
        <v>1</v>
      </c>
      <c r="Z519" t="b">
        <f t="shared" si="52"/>
        <v>0</v>
      </c>
    </row>
    <row r="520" spans="1:26">
      <c r="A520" s="5" t="str">
        <f t="shared" si="50"/>
        <v>st_EvalNTGRkWh</v>
      </c>
      <c r="B520" t="s">
        <v>1774</v>
      </c>
      <c r="D520" t="s">
        <v>1721</v>
      </c>
      <c r="Y520" t="b">
        <f t="shared" si="51"/>
        <v>1</v>
      </c>
      <c r="Z520" t="b">
        <f t="shared" si="52"/>
        <v>0</v>
      </c>
    </row>
    <row r="521" spans="1:26">
      <c r="A521" s="5" t="str">
        <f t="shared" si="50"/>
        <v>st_EvalNTGRTherm</v>
      </c>
      <c r="B521" t="s">
        <v>1774</v>
      </c>
      <c r="D521" t="s">
        <v>1722</v>
      </c>
      <c r="Y521" t="b">
        <f t="shared" si="51"/>
        <v>1</v>
      </c>
      <c r="Z521" t="b">
        <f t="shared" si="52"/>
        <v>0</v>
      </c>
    </row>
    <row r="522" spans="1:26">
      <c r="A522" s="5" t="str">
        <f t="shared" si="50"/>
        <v>EvalExPostAnnualizedNetkW</v>
      </c>
      <c r="D522" t="s">
        <v>679</v>
      </c>
      <c r="Y522" t="b">
        <f t="shared" si="51"/>
        <v>1</v>
      </c>
      <c r="Z522" t="b">
        <f t="shared" si="52"/>
        <v>0</v>
      </c>
    </row>
    <row r="523" spans="1:26">
      <c r="A523" s="5" t="str">
        <f t="shared" si="50"/>
        <v>EvalExPostAnnualizedNetkWh</v>
      </c>
      <c r="D523" t="s">
        <v>681</v>
      </c>
      <c r="Y523" t="b">
        <f t="shared" si="51"/>
        <v>1</v>
      </c>
      <c r="Z523" t="b">
        <f t="shared" si="52"/>
        <v>0</v>
      </c>
    </row>
    <row r="524" spans="1:26">
      <c r="A524" s="5" t="str">
        <f t="shared" si="50"/>
        <v>EvalExPostAnnualizedNetTherm</v>
      </c>
      <c r="D524" t="s">
        <v>680</v>
      </c>
      <c r="Y524" t="b">
        <f t="shared" si="51"/>
        <v>1</v>
      </c>
      <c r="Z524" t="b">
        <f t="shared" si="52"/>
        <v>0</v>
      </c>
    </row>
    <row r="525" spans="1:26">
      <c r="A525" s="5" t="str">
        <f t="shared" si="50"/>
        <v>EvalExPostLifeCycleNetkW</v>
      </c>
      <c r="D525" t="s">
        <v>727</v>
      </c>
      <c r="Y525" t="b">
        <f t="shared" si="51"/>
        <v>1</v>
      </c>
      <c r="Z525" t="b">
        <f t="shared" si="52"/>
        <v>0</v>
      </c>
    </row>
    <row r="526" spans="1:26">
      <c r="A526" s="5" t="str">
        <f t="shared" si="50"/>
        <v>EvalExPostLifeCycleNetkWh</v>
      </c>
      <c r="D526" t="s">
        <v>729</v>
      </c>
      <c r="Y526" t="b">
        <f t="shared" si="51"/>
        <v>1</v>
      </c>
      <c r="Z526" t="b">
        <f t="shared" si="52"/>
        <v>0</v>
      </c>
    </row>
    <row r="527" spans="1:26">
      <c r="A527" s="5" t="str">
        <f t="shared" si="50"/>
        <v>EvalExPostLifeCycleNetTherm</v>
      </c>
      <c r="D527" t="s">
        <v>728</v>
      </c>
      <c r="Y527" t="b">
        <f t="shared" si="51"/>
        <v>1</v>
      </c>
      <c r="Z527" t="b">
        <f t="shared" si="52"/>
        <v>0</v>
      </c>
    </row>
    <row r="528" spans="1:26">
      <c r="A528" s="5" t="str">
        <f t="shared" si="50"/>
        <v>prj_EvalExPostAnnualizedNetkW</v>
      </c>
      <c r="D528" t="s">
        <v>714</v>
      </c>
      <c r="Y528" t="b">
        <f t="shared" si="51"/>
        <v>1</v>
      </c>
      <c r="Z528" t="b">
        <f t="shared" si="52"/>
        <v>0</v>
      </c>
    </row>
    <row r="529" spans="1:26">
      <c r="A529" s="5" t="str">
        <f t="shared" si="50"/>
        <v>prj_EvalExPostAnnualizedNetkWh</v>
      </c>
      <c r="D529" t="s">
        <v>716</v>
      </c>
      <c r="Y529" t="b">
        <f t="shared" si="51"/>
        <v>1</v>
      </c>
      <c r="Z529" t="b">
        <f t="shared" si="52"/>
        <v>0</v>
      </c>
    </row>
    <row r="530" spans="1:26">
      <c r="A530" s="5" t="str">
        <f t="shared" si="50"/>
        <v>prj_EvalExPostAnnualizedNetthm</v>
      </c>
      <c r="D530" t="s">
        <v>715</v>
      </c>
      <c r="Y530" t="b">
        <f t="shared" si="51"/>
        <v>1</v>
      </c>
      <c r="Z530" t="b">
        <f t="shared" si="52"/>
        <v>0</v>
      </c>
    </row>
    <row r="531" spans="1:26">
      <c r="A531" s="5" t="str">
        <f t="shared" si="50"/>
        <v>prj_EvalExPostLifeCycleNetkW</v>
      </c>
      <c r="D531" t="s">
        <v>2281</v>
      </c>
      <c r="Y531" t="b">
        <f t="shared" si="51"/>
        <v>1</v>
      </c>
      <c r="Z531" t="b">
        <f t="shared" si="52"/>
        <v>0</v>
      </c>
    </row>
    <row r="532" spans="1:26">
      <c r="A532" s="5" t="str">
        <f t="shared" si="50"/>
        <v>prj_EvalExPostLifeCycleNetkWh</v>
      </c>
      <c r="D532" t="s">
        <v>2282</v>
      </c>
      <c r="Y532" t="b">
        <f t="shared" si="51"/>
        <v>1</v>
      </c>
      <c r="Z532" t="b">
        <f t="shared" si="52"/>
        <v>0</v>
      </c>
    </row>
    <row r="533" spans="1:26">
      <c r="A533" s="5" t="str">
        <f t="shared" si="50"/>
        <v>prj_EvalExPostLifeCycleNetthm</v>
      </c>
      <c r="D533" t="s">
        <v>2283</v>
      </c>
      <c r="Y533" t="b">
        <f t="shared" si="51"/>
        <v>1</v>
      </c>
      <c r="Z533" t="b">
        <f t="shared" si="52"/>
        <v>0</v>
      </c>
    </row>
    <row r="534" spans="1:26">
      <c r="A534" s="5" t="str">
        <f t="shared" si="50"/>
        <v>ExPost_Lifecycle_Net_kwh_mmbtu</v>
      </c>
      <c r="D534" t="s">
        <v>2178</v>
      </c>
      <c r="Y534" t="b">
        <f t="shared" si="51"/>
        <v>1</v>
      </c>
      <c r="Z534" t="b">
        <f t="shared" si="52"/>
        <v>0</v>
      </c>
    </row>
    <row r="535" spans="1:26">
      <c r="A535" s="5" t="str">
        <f t="shared" si="50"/>
        <v>ExPost_Lifecycle_Net_thm_mmbtu</v>
      </c>
      <c r="D535" t="s">
        <v>2179</v>
      </c>
      <c r="Y535" t="b">
        <f t="shared" si="51"/>
        <v>1</v>
      </c>
      <c r="Z535" t="b">
        <f t="shared" si="52"/>
        <v>0</v>
      </c>
    </row>
    <row r="536" spans="1:26">
      <c r="A536" s="5" t="str">
        <f t="shared" si="50"/>
        <v>ExPost_Lifecycle_Net_MMBtu</v>
      </c>
      <c r="D536" t="s">
        <v>2180</v>
      </c>
      <c r="Y536" t="b">
        <f t="shared" si="51"/>
        <v>1</v>
      </c>
      <c r="Z536" t="b">
        <f t="shared" si="52"/>
        <v>0</v>
      </c>
    </row>
    <row r="537" spans="1:26">
      <c r="A537" s="5" t="str">
        <f t="shared" si="50"/>
        <v>ExAnte_Lifecycle_Net_kwh_mmbtu</v>
      </c>
      <c r="D537" t="s">
        <v>2175</v>
      </c>
      <c r="Y537" t="b">
        <f t="shared" si="51"/>
        <v>1</v>
      </c>
      <c r="Z537" t="b">
        <f t="shared" si="52"/>
        <v>0</v>
      </c>
    </row>
    <row r="538" spans="1:26">
      <c r="A538" s="5" t="str">
        <f t="shared" si="50"/>
        <v>ExAnte_Lifecycle_Net_thm_mmbtu</v>
      </c>
      <c r="D538" t="s">
        <v>2176</v>
      </c>
      <c r="Y538" t="b">
        <f t="shared" si="51"/>
        <v>1</v>
      </c>
      <c r="Z538" t="b">
        <f t="shared" si="52"/>
        <v>0</v>
      </c>
    </row>
    <row r="539" spans="1:26">
      <c r="A539" s="5" t="str">
        <f t="shared" si="50"/>
        <v>ExAnte_Lifecycle_Net_MMBtu</v>
      </c>
      <c r="D539" t="s">
        <v>2177</v>
      </c>
      <c r="Y539" t="b">
        <f t="shared" si="51"/>
        <v>1</v>
      </c>
      <c r="Z539" t="b">
        <f t="shared" si="52"/>
        <v>0</v>
      </c>
    </row>
    <row r="540" spans="1:26">
      <c r="A540" s="5" t="str">
        <f t="shared" si="50"/>
        <v>weighted_expost_lifecycle_net_kwh</v>
      </c>
      <c r="D540" t="s">
        <v>1942</v>
      </c>
      <c r="Y540" t="b">
        <f t="shared" ref="Y540:Y541" si="53">IF(NOT(ISBLANK(A540)), LEN(_xlfn.CONCAT(C540:W540))&gt;0, "")</f>
        <v>1</v>
      </c>
      <c r="Z540" t="b">
        <f t="shared" ref="Z540:Z541" si="54">AND(ISNUMBER(SEARCH("kw",_xlfn.CONCAT(I540:X540))), ISNUMBER(SEARCH("thm",_xlfn.CONCAT(I540:X540))))</f>
        <v>0</v>
      </c>
    </row>
    <row r="541" spans="1:26">
      <c r="A541" s="5" t="str">
        <f t="shared" si="50"/>
        <v>weighted_expost_lifecycle_net_thm</v>
      </c>
      <c r="D541" t="s">
        <v>1943</v>
      </c>
      <c r="Y541" t="b">
        <f t="shared" si="53"/>
        <v>1</v>
      </c>
      <c r="Z541" t="b">
        <f t="shared" si="54"/>
        <v>0</v>
      </c>
    </row>
    <row r="542" spans="1:26">
      <c r="A542" s="5" t="str">
        <f t="shared" si="50"/>
        <v>ss_AR_ExPost_LifeCycleNet_NoRR_kw</v>
      </c>
      <c r="D542" t="s">
        <v>2465</v>
      </c>
      <c r="Y542" t="b">
        <f t="shared" ref="Y542:Y553" si="55">IF(NOT(ISBLANK(A542)), LEN(_xlfn.CONCAT(C542:W542))&gt;0, "")</f>
        <v>1</v>
      </c>
      <c r="Z542" t="b">
        <f t="shared" ref="Z542:Z553" si="56">AND(ISNUMBER(SEARCH("kw",_xlfn.CONCAT(I542:X542))), ISNUMBER(SEARCH("thm",_xlfn.CONCAT(I542:X542))))</f>
        <v>0</v>
      </c>
    </row>
    <row r="543" spans="1:26">
      <c r="A543" s="5" t="str">
        <f t="shared" si="50"/>
        <v>ss_AR_ExPost_LifeCycleNet_NoRR_kwh</v>
      </c>
      <c r="D543" t="s">
        <v>2466</v>
      </c>
      <c r="Y543" t="b">
        <f t="shared" si="55"/>
        <v>1</v>
      </c>
      <c r="Z543" t="b">
        <f t="shared" si="56"/>
        <v>0</v>
      </c>
    </row>
    <row r="544" spans="1:26">
      <c r="A544" s="5" t="str">
        <f t="shared" si="50"/>
        <v>ss_AR_ExPost_LifeCycleNet_NoRR_thm</v>
      </c>
      <c r="D544" t="s">
        <v>2467</v>
      </c>
      <c r="Y544" t="b">
        <f t="shared" si="55"/>
        <v>1</v>
      </c>
      <c r="Z544" t="b">
        <f t="shared" si="56"/>
        <v>0</v>
      </c>
    </row>
    <row r="545" spans="1:26">
      <c r="A545" s="5" t="str">
        <f t="shared" si="50"/>
        <v>str_wtd_AR_ExPost_LifeCycleNet_NoRR_kw</v>
      </c>
      <c r="D545" t="s">
        <v>2468</v>
      </c>
      <c r="Y545" t="b">
        <f t="shared" si="55"/>
        <v>1</v>
      </c>
      <c r="Z545" t="b">
        <f t="shared" si="56"/>
        <v>0</v>
      </c>
    </row>
    <row r="546" spans="1:26">
      <c r="A546" s="5" t="str">
        <f t="shared" si="50"/>
        <v>str_wtd_AR_ExPost_LifeCycleNet_NoRR_kwh</v>
      </c>
      <c r="D546" t="s">
        <v>2469</v>
      </c>
      <c r="Y546" t="b">
        <f t="shared" si="55"/>
        <v>1</v>
      </c>
      <c r="Z546" t="b">
        <f t="shared" si="56"/>
        <v>0</v>
      </c>
    </row>
    <row r="547" spans="1:26">
      <c r="A547" s="5" t="str">
        <f t="shared" si="50"/>
        <v>str_wtd_AR_ExPost_LifeCycleNet_NoRR_thm</v>
      </c>
      <c r="D547" t="s">
        <v>2470</v>
      </c>
      <c r="Y547" t="b">
        <f t="shared" si="55"/>
        <v>1</v>
      </c>
      <c r="Z547" t="b">
        <f t="shared" si="56"/>
        <v>0</v>
      </c>
    </row>
    <row r="548" spans="1:26">
      <c r="A548" s="5" t="str">
        <f t="shared" si="50"/>
        <v>Proj_AR_ExPost_LifeCycleNet_NoRR_kw_raw</v>
      </c>
      <c r="D548" t="s">
        <v>2471</v>
      </c>
      <c r="Y548" t="b">
        <f t="shared" si="55"/>
        <v>1</v>
      </c>
      <c r="Z548" t="b">
        <f t="shared" si="56"/>
        <v>0</v>
      </c>
    </row>
    <row r="549" spans="1:26">
      <c r="A549" s="5" t="str">
        <f t="shared" si="50"/>
        <v>Proj_AR_ExPost_LifeCycleNet_NoRR_kwh_raw</v>
      </c>
      <c r="D549" t="s">
        <v>2472</v>
      </c>
      <c r="Y549" t="b">
        <f t="shared" si="55"/>
        <v>1</v>
      </c>
      <c r="Z549" t="b">
        <f t="shared" si="56"/>
        <v>0</v>
      </c>
    </row>
    <row r="550" spans="1:26">
      <c r="A550" s="5" t="str">
        <f t="shared" si="50"/>
        <v>Proj_AR_ExPost_LifeCycleNet_NoRR_thm_raw</v>
      </c>
      <c r="D550" t="s">
        <v>2473</v>
      </c>
      <c r="Y550" t="b">
        <f t="shared" si="55"/>
        <v>1</v>
      </c>
      <c r="Z550" t="b">
        <f t="shared" si="56"/>
        <v>0</v>
      </c>
    </row>
    <row r="551" spans="1:26">
      <c r="A551" s="5" t="str">
        <f t="shared" si="50"/>
        <v>Proj_AR_ExPost_LifeCycleNet_kw</v>
      </c>
      <c r="D551" t="s">
        <v>2462</v>
      </c>
      <c r="Y551" t="b">
        <f t="shared" si="55"/>
        <v>1</v>
      </c>
      <c r="Z551" t="b">
        <f t="shared" si="56"/>
        <v>0</v>
      </c>
    </row>
    <row r="552" spans="1:26">
      <c r="A552" s="5" t="str">
        <f t="shared" si="50"/>
        <v>Proj_AR_ExPost_LifeCycleNet_kwh</v>
      </c>
      <c r="D552" t="s">
        <v>2464</v>
      </c>
      <c r="Y552" t="b">
        <f t="shared" si="55"/>
        <v>1</v>
      </c>
      <c r="Z552" t="b">
        <f t="shared" si="56"/>
        <v>0</v>
      </c>
    </row>
    <row r="553" spans="1:26">
      <c r="A553" s="5" t="str">
        <f t="shared" si="50"/>
        <v>Proj_AR_ExPost_LifeCycleNet_thm</v>
      </c>
      <c r="D553" t="s">
        <v>2463</v>
      </c>
      <c r="Y553" t="b">
        <f t="shared" si="55"/>
        <v>1</v>
      </c>
      <c r="Z553" t="b">
        <f t="shared" si="56"/>
        <v>0</v>
      </c>
    </row>
    <row r="554" spans="1:26">
      <c r="A554" t="s">
        <v>2308</v>
      </c>
      <c r="K554" t="s">
        <v>181</v>
      </c>
      <c r="L554" t="str">
        <f>"np.logical_and( " &amp; A158 &amp; " =='Y',  " &amp; $A$173 &amp; " ==False )"</f>
        <v>np.logical_and( sampled_kWh =='Y',  ProjectDropped ==False )</v>
      </c>
      <c r="M554" t="str">
        <f>$A$67</f>
        <v>ExAnte_LifeCycleGross_NoRR_kWh</v>
      </c>
      <c r="N554" t="s">
        <v>629</v>
      </c>
      <c r="Y554" t="b">
        <f t="shared" ref="Y554:Y589" si="57">IF(NOT(ISBLANK(A554)), LEN(_xlfn.CONCAT(C554:W554))&gt;0, "")</f>
        <v>1</v>
      </c>
      <c r="Z554" t="b">
        <f t="shared" ref="Z554:Z589" si="58">AND(ISNUMBER(SEARCH("kw",_xlfn.CONCAT(I554:X554))), ISNUMBER(SEARCH("thm",_xlfn.CONCAT(I554:X554))))</f>
        <v>0</v>
      </c>
    </row>
    <row r="555" spans="1:26">
      <c r="A555" t="s">
        <v>2307</v>
      </c>
      <c r="K555" t="s">
        <v>181</v>
      </c>
      <c r="L555" t="str">
        <f>"np.logical_and( " &amp; A159 &amp; " =='Y',  " &amp; $A$173 &amp; " ==False )"</f>
        <v>np.logical_and( sampled_thm =='Y',  ProjectDropped ==False )</v>
      </c>
      <c r="M555" t="str">
        <f>$A$68</f>
        <v>ExAnte_LifeCycleGross_NoRR_thm</v>
      </c>
      <c r="N555" t="s">
        <v>629</v>
      </c>
      <c r="Y555" t="b">
        <f t="shared" si="57"/>
        <v>1</v>
      </c>
      <c r="Z555" t="b">
        <f t="shared" si="58"/>
        <v>0</v>
      </c>
    </row>
    <row r="556" spans="1:26">
      <c r="A556" t="s">
        <v>2309</v>
      </c>
      <c r="K556" t="s">
        <v>181</v>
      </c>
      <c r="L556" t="str">
        <f>$L$554</f>
        <v>np.logical_and( sampled_kWh =='Y',  ProjectDropped ==False )</v>
      </c>
      <c r="M556" t="str">
        <f>$A$287</f>
        <v>EvalExPostLifeCycleGrosskWh</v>
      </c>
      <c r="N556" t="s">
        <v>629</v>
      </c>
      <c r="Y556" t="b">
        <f t="shared" si="57"/>
        <v>1</v>
      </c>
      <c r="Z556" t="b">
        <f t="shared" si="58"/>
        <v>0</v>
      </c>
    </row>
    <row r="557" spans="1:26">
      <c r="A557" t="s">
        <v>2310</v>
      </c>
      <c r="K557" t="s">
        <v>181</v>
      </c>
      <c r="L557" t="str">
        <f>$L$555</f>
        <v>np.logical_and( sampled_thm =='Y',  ProjectDropped ==False )</v>
      </c>
      <c r="M557" t="str">
        <f>$A$288</f>
        <v>EvalExPostLifeCycleGrossTherm</v>
      </c>
      <c r="N557" t="s">
        <v>629</v>
      </c>
      <c r="Y557" t="b">
        <f t="shared" si="57"/>
        <v>1</v>
      </c>
      <c r="Z557" t="b">
        <f t="shared" si="58"/>
        <v>0</v>
      </c>
    </row>
    <row r="558" spans="1:26">
      <c r="A558" t="s">
        <v>2311</v>
      </c>
      <c r="K558" t="s">
        <v>181</v>
      </c>
      <c r="L558" t="str">
        <f>$L$554</f>
        <v>np.logical_and( sampled_kWh =='Y',  ProjectDropped ==False )</v>
      </c>
      <c r="M558" t="str">
        <f>$A$76</f>
        <v>ExAnte_Annualized_kWh</v>
      </c>
      <c r="N558" t="s">
        <v>629</v>
      </c>
      <c r="Y558" t="b">
        <f t="shared" si="57"/>
        <v>1</v>
      </c>
      <c r="Z558" t="b">
        <f t="shared" si="58"/>
        <v>0</v>
      </c>
    </row>
    <row r="559" spans="1:26">
      <c r="A559" t="s">
        <v>2312</v>
      </c>
      <c r="K559" t="s">
        <v>181</v>
      </c>
      <c r="L559" t="str">
        <f>$L$555</f>
        <v>np.logical_and( sampled_thm =='Y',  ProjectDropped ==False )</v>
      </c>
      <c r="M559" t="str">
        <f>$A$77</f>
        <v>ExAnte_Annualized_thm</v>
      </c>
      <c r="N559" t="s">
        <v>629</v>
      </c>
      <c r="Y559" t="b">
        <f t="shared" si="57"/>
        <v>1</v>
      </c>
      <c r="Z559" t="b">
        <f t="shared" si="58"/>
        <v>0</v>
      </c>
    </row>
    <row r="560" spans="1:26">
      <c r="A560" t="s">
        <v>2313</v>
      </c>
      <c r="K560" t="s">
        <v>181</v>
      </c>
      <c r="L560" t="str">
        <f>$L$554</f>
        <v>np.logical_and( sampled_kWh =='Y',  ProjectDropped ==False )</v>
      </c>
      <c r="M560" t="str">
        <f>$A$284</f>
        <v>EvalExPostAnnualizedGrosskWh</v>
      </c>
      <c r="N560" t="s">
        <v>629</v>
      </c>
      <c r="Y560" t="b">
        <f t="shared" si="57"/>
        <v>1</v>
      </c>
      <c r="Z560" t="b">
        <f t="shared" si="58"/>
        <v>0</v>
      </c>
    </row>
    <row r="561" spans="1:26">
      <c r="A561" t="s">
        <v>2314</v>
      </c>
      <c r="K561" t="s">
        <v>181</v>
      </c>
      <c r="L561" t="str">
        <f>$L$555</f>
        <v>np.logical_and( sampled_thm =='Y',  ProjectDropped ==False )</v>
      </c>
      <c r="M561" t="str">
        <f>$A$285</f>
        <v>EvalExPostAnnualizedGrossTherm</v>
      </c>
      <c r="N561" t="s">
        <v>629</v>
      </c>
      <c r="Y561" t="b">
        <f t="shared" si="57"/>
        <v>1</v>
      </c>
      <c r="Z561" t="b">
        <f t="shared" si="58"/>
        <v>0</v>
      </c>
    </row>
    <row r="562" spans="1:26">
      <c r="A562" t="s">
        <v>2315</v>
      </c>
      <c r="J562" t="str">
        <f>A554 &amp; " / " &amp; A558</f>
        <v>domain_ExAnte_Lifecycle_kwh / domain_ExAnte_Annualized_kwh</v>
      </c>
      <c r="Y562" t="b">
        <f t="shared" si="57"/>
        <v>1</v>
      </c>
      <c r="Z562" t="b">
        <f t="shared" si="58"/>
        <v>0</v>
      </c>
    </row>
    <row r="563" spans="1:26">
      <c r="A563" t="s">
        <v>2316</v>
      </c>
      <c r="J563" t="str">
        <f t="shared" ref="J563:J565" si="59">A555 &amp; " / " &amp; A559</f>
        <v>domain_ExAnte_Lifecycle_thm / domain_ExAnte_Annualized_thm</v>
      </c>
      <c r="Y563" t="b">
        <f t="shared" si="57"/>
        <v>1</v>
      </c>
      <c r="Z563" t="b">
        <f t="shared" si="58"/>
        <v>0</v>
      </c>
    </row>
    <row r="564" spans="1:26">
      <c r="A564" t="s">
        <v>2317</v>
      </c>
      <c r="J564" t="str">
        <f t="shared" si="59"/>
        <v>domain_ExPost_Lifecycle_kwh / domain_ExPost_Annualized_kwh</v>
      </c>
      <c r="Y564" t="b">
        <f t="shared" si="57"/>
        <v>1</v>
      </c>
      <c r="Z564" t="b">
        <f t="shared" si="58"/>
        <v>0</v>
      </c>
    </row>
    <row r="565" spans="1:26">
      <c r="A565" t="s">
        <v>2318</v>
      </c>
      <c r="J565" t="str">
        <f t="shared" si="59"/>
        <v>domain_ExPost_Lifecycle_thm / domain_ExPost_Annualized_thm</v>
      </c>
      <c r="Y565" t="b">
        <f t="shared" si="57"/>
        <v>1</v>
      </c>
      <c r="Z565" t="b">
        <f t="shared" si="58"/>
        <v>0</v>
      </c>
    </row>
    <row r="566" spans="1:26">
      <c r="A566" t="s">
        <v>2319</v>
      </c>
      <c r="K566" t="s">
        <v>11</v>
      </c>
      <c r="L566" t="str">
        <f>$L$554</f>
        <v>np.logical_and( sampled_kWh =='Y',  ProjectDropped ==False )</v>
      </c>
      <c r="M566" t="str">
        <f>M554</f>
        <v>ExAnte_LifeCycleGross_NoRR_kWh</v>
      </c>
      <c r="N566" t="s">
        <v>629</v>
      </c>
      <c r="Y566" t="b">
        <f t="shared" si="57"/>
        <v>1</v>
      </c>
      <c r="Z566" t="b">
        <f t="shared" si="58"/>
        <v>0</v>
      </c>
    </row>
    <row r="567" spans="1:26">
      <c r="A567" t="s">
        <v>2320</v>
      </c>
      <c r="K567" t="s">
        <v>11</v>
      </c>
      <c r="L567" t="str">
        <f>$L$555</f>
        <v>np.logical_and( sampled_thm =='Y',  ProjectDropped ==False )</v>
      </c>
      <c r="M567" t="str">
        <f t="shared" ref="M567:M573" si="60">M555</f>
        <v>ExAnte_LifeCycleGross_NoRR_thm</v>
      </c>
      <c r="N567" t="s">
        <v>629</v>
      </c>
      <c r="Y567" t="b">
        <f t="shared" si="57"/>
        <v>1</v>
      </c>
      <c r="Z567" t="b">
        <f t="shared" si="58"/>
        <v>0</v>
      </c>
    </row>
    <row r="568" spans="1:26">
      <c r="A568" t="s">
        <v>2321</v>
      </c>
      <c r="K568" t="s">
        <v>11</v>
      </c>
      <c r="L568" t="str">
        <f t="shared" ref="L568" si="61">$L$554</f>
        <v>np.logical_and( sampled_kWh =='Y',  ProjectDropped ==False )</v>
      </c>
      <c r="M568" t="str">
        <f t="shared" si="60"/>
        <v>EvalExPostLifeCycleGrosskWh</v>
      </c>
      <c r="N568" t="s">
        <v>629</v>
      </c>
      <c r="Y568" t="b">
        <f t="shared" si="57"/>
        <v>1</v>
      </c>
      <c r="Z568" t="b">
        <f t="shared" si="58"/>
        <v>0</v>
      </c>
    </row>
    <row r="569" spans="1:26">
      <c r="A569" t="s">
        <v>2322</v>
      </c>
      <c r="K569" t="s">
        <v>11</v>
      </c>
      <c r="L569" t="str">
        <f t="shared" ref="L569" si="62">$L$555</f>
        <v>np.logical_and( sampled_thm =='Y',  ProjectDropped ==False )</v>
      </c>
      <c r="M569" t="str">
        <f t="shared" si="60"/>
        <v>EvalExPostLifeCycleGrossTherm</v>
      </c>
      <c r="N569" t="s">
        <v>629</v>
      </c>
      <c r="Y569" t="b">
        <f t="shared" si="57"/>
        <v>1</v>
      </c>
      <c r="Z569" t="b">
        <f t="shared" si="58"/>
        <v>0</v>
      </c>
    </row>
    <row r="570" spans="1:26">
      <c r="A570" t="s">
        <v>2323</v>
      </c>
      <c r="K570" t="s">
        <v>11</v>
      </c>
      <c r="L570" t="str">
        <f t="shared" ref="L570" si="63">$L$554</f>
        <v>np.logical_and( sampled_kWh =='Y',  ProjectDropped ==False )</v>
      </c>
      <c r="M570" t="str">
        <f t="shared" si="60"/>
        <v>ExAnte_Annualized_kWh</v>
      </c>
      <c r="N570" t="s">
        <v>629</v>
      </c>
      <c r="Y570" t="b">
        <f t="shared" si="57"/>
        <v>1</v>
      </c>
      <c r="Z570" t="b">
        <f t="shared" si="58"/>
        <v>0</v>
      </c>
    </row>
    <row r="571" spans="1:26">
      <c r="A571" t="s">
        <v>2324</v>
      </c>
      <c r="K571" t="s">
        <v>11</v>
      </c>
      <c r="L571" t="str">
        <f t="shared" ref="L571" si="64">$L$555</f>
        <v>np.logical_and( sampled_thm =='Y',  ProjectDropped ==False )</v>
      </c>
      <c r="M571" t="str">
        <f t="shared" si="60"/>
        <v>ExAnte_Annualized_thm</v>
      </c>
      <c r="N571" t="s">
        <v>629</v>
      </c>
      <c r="Y571" t="b">
        <f t="shared" si="57"/>
        <v>1</v>
      </c>
      <c r="Z571" t="b">
        <f t="shared" si="58"/>
        <v>0</v>
      </c>
    </row>
    <row r="572" spans="1:26">
      <c r="A572" t="s">
        <v>2325</v>
      </c>
      <c r="K572" t="s">
        <v>11</v>
      </c>
      <c r="L572" t="str">
        <f t="shared" ref="L572" si="65">$L$554</f>
        <v>np.logical_and( sampled_kWh =='Y',  ProjectDropped ==False )</v>
      </c>
      <c r="M572" t="str">
        <f t="shared" si="60"/>
        <v>EvalExPostAnnualizedGrosskWh</v>
      </c>
      <c r="N572" t="s">
        <v>629</v>
      </c>
      <c r="Y572" t="b">
        <f t="shared" si="57"/>
        <v>1</v>
      </c>
      <c r="Z572" t="b">
        <f t="shared" si="58"/>
        <v>0</v>
      </c>
    </row>
    <row r="573" spans="1:26">
      <c r="A573" t="s">
        <v>2326</v>
      </c>
      <c r="K573" t="s">
        <v>11</v>
      </c>
      <c r="L573" t="str">
        <f t="shared" ref="L573" si="66">$L$555</f>
        <v>np.logical_and( sampled_thm =='Y',  ProjectDropped ==False )</v>
      </c>
      <c r="M573" t="str">
        <f t="shared" si="60"/>
        <v>EvalExPostAnnualizedGrossTherm</v>
      </c>
      <c r="N573" t="s">
        <v>629</v>
      </c>
      <c r="Y573" t="b">
        <f t="shared" si="57"/>
        <v>1</v>
      </c>
      <c r="Z573" t="b">
        <f t="shared" si="58"/>
        <v>0</v>
      </c>
    </row>
    <row r="574" spans="1:26">
      <c r="A574" t="s">
        <v>2327</v>
      </c>
      <c r="J574" t="str">
        <f>A566 &amp; " / " &amp; A570</f>
        <v>PA_ExAnte_Lifecycle_kwh / PA_ExAnte_Annualized_kwh</v>
      </c>
      <c r="Y574" t="b">
        <f t="shared" si="57"/>
        <v>1</v>
      </c>
      <c r="Z574" t="b">
        <f t="shared" si="58"/>
        <v>0</v>
      </c>
    </row>
    <row r="575" spans="1:26">
      <c r="A575" t="s">
        <v>2328</v>
      </c>
      <c r="J575" t="str">
        <f t="shared" ref="J575:J577" si="67">A567 &amp; " / " &amp; A571</f>
        <v>PA_ExAnte_Lifecycle_thm / PA_ExAnte_Annualized_thm</v>
      </c>
      <c r="Y575" t="b">
        <f t="shared" si="57"/>
        <v>1</v>
      </c>
      <c r="Z575" t="b">
        <f t="shared" si="58"/>
        <v>0</v>
      </c>
    </row>
    <row r="576" spans="1:26">
      <c r="A576" t="s">
        <v>2329</v>
      </c>
      <c r="J576" t="str">
        <f t="shared" si="67"/>
        <v>PA_ExPost_Lifecycle_kwh / PA_ExPost_Annualized_kwh</v>
      </c>
      <c r="Y576" t="b">
        <f t="shared" si="57"/>
        <v>1</v>
      </c>
      <c r="Z576" t="b">
        <f t="shared" si="58"/>
        <v>0</v>
      </c>
    </row>
    <row r="577" spans="1:26">
      <c r="A577" t="s">
        <v>2330</v>
      </c>
      <c r="J577" t="str">
        <f t="shared" si="67"/>
        <v>PA_ExPost_Lifecycle_thm / PA_ExPost_Annualized_thm</v>
      </c>
      <c r="Y577" t="b">
        <f t="shared" si="57"/>
        <v>1</v>
      </c>
      <c r="Z577" t="b">
        <f t="shared" si="58"/>
        <v>0</v>
      </c>
    </row>
    <row r="578" spans="1:26">
      <c r="A578" t="s">
        <v>2331</v>
      </c>
      <c r="K578" t="str">
        <f>$A$213</f>
        <v>Frame_Electric</v>
      </c>
      <c r="L578" t="str">
        <f>$L$554</f>
        <v>np.logical_and( sampled_kWh =='Y',  ProjectDropped ==False )</v>
      </c>
      <c r="M578" t="str">
        <f>M554</f>
        <v>ExAnte_LifeCycleGross_NoRR_kWh</v>
      </c>
      <c r="N578" t="s">
        <v>629</v>
      </c>
      <c r="Y578" t="b">
        <f t="shared" si="57"/>
        <v>1</v>
      </c>
      <c r="Z578" t="b">
        <f t="shared" si="58"/>
        <v>0</v>
      </c>
    </row>
    <row r="579" spans="1:26">
      <c r="A579" t="s">
        <v>2332</v>
      </c>
      <c r="K579" t="str">
        <f>$A$214</f>
        <v>Frame_Gas</v>
      </c>
      <c r="L579" t="str">
        <f>$L$555</f>
        <v>np.logical_and( sampled_thm =='Y',  ProjectDropped ==False )</v>
      </c>
      <c r="M579" t="str">
        <f t="shared" ref="M579:M585" si="68">M555</f>
        <v>ExAnte_LifeCycleGross_NoRR_thm</v>
      </c>
      <c r="N579" t="s">
        <v>629</v>
      </c>
      <c r="Y579" t="b">
        <f t="shared" si="57"/>
        <v>1</v>
      </c>
      <c r="Z579" t="b">
        <f t="shared" si="58"/>
        <v>0</v>
      </c>
    </row>
    <row r="580" spans="1:26">
      <c r="A580" t="s">
        <v>2333</v>
      </c>
      <c r="K580" t="str">
        <f>K578</f>
        <v>Frame_Electric</v>
      </c>
      <c r="L580" t="str">
        <f t="shared" ref="L580" si="69">$L$554</f>
        <v>np.logical_and( sampled_kWh =='Y',  ProjectDropped ==False )</v>
      </c>
      <c r="M580" t="str">
        <f t="shared" si="68"/>
        <v>EvalExPostLifeCycleGrosskWh</v>
      </c>
      <c r="N580" t="s">
        <v>629</v>
      </c>
      <c r="Y580" t="b">
        <f t="shared" si="57"/>
        <v>1</v>
      </c>
      <c r="Z580" t="b">
        <f t="shared" si="58"/>
        <v>0</v>
      </c>
    </row>
    <row r="581" spans="1:26">
      <c r="A581" t="s">
        <v>2334</v>
      </c>
      <c r="K581" t="str">
        <f>K579</f>
        <v>Frame_Gas</v>
      </c>
      <c r="L581" t="str">
        <f t="shared" ref="L581" si="70">$L$555</f>
        <v>np.logical_and( sampled_thm =='Y',  ProjectDropped ==False )</v>
      </c>
      <c r="M581" t="str">
        <f t="shared" si="68"/>
        <v>EvalExPostLifeCycleGrossTherm</v>
      </c>
      <c r="N581" t="s">
        <v>629</v>
      </c>
      <c r="Y581" t="b">
        <f t="shared" si="57"/>
        <v>1</v>
      </c>
      <c r="Z581" t="b">
        <f t="shared" si="58"/>
        <v>0</v>
      </c>
    </row>
    <row r="582" spans="1:26">
      <c r="A582" t="s">
        <v>2335</v>
      </c>
      <c r="K582" t="str">
        <f t="shared" ref="K582:K585" si="71">K580</f>
        <v>Frame_Electric</v>
      </c>
      <c r="L582" t="str">
        <f t="shared" ref="L582" si="72">$L$554</f>
        <v>np.logical_and( sampled_kWh =='Y',  ProjectDropped ==False )</v>
      </c>
      <c r="M582" t="str">
        <f t="shared" si="68"/>
        <v>ExAnte_Annualized_kWh</v>
      </c>
      <c r="N582" t="s">
        <v>629</v>
      </c>
      <c r="Y582" t="b">
        <f t="shared" si="57"/>
        <v>1</v>
      </c>
      <c r="Z582" t="b">
        <f t="shared" si="58"/>
        <v>0</v>
      </c>
    </row>
    <row r="583" spans="1:26">
      <c r="A583" t="s">
        <v>2336</v>
      </c>
      <c r="K583" t="str">
        <f t="shared" si="71"/>
        <v>Frame_Gas</v>
      </c>
      <c r="L583" t="str">
        <f t="shared" ref="L583" si="73">$L$555</f>
        <v>np.logical_and( sampled_thm =='Y',  ProjectDropped ==False )</v>
      </c>
      <c r="M583" t="str">
        <f t="shared" si="68"/>
        <v>ExAnte_Annualized_thm</v>
      </c>
      <c r="N583" t="s">
        <v>629</v>
      </c>
      <c r="Y583" t="b">
        <f t="shared" si="57"/>
        <v>1</v>
      </c>
      <c r="Z583" t="b">
        <f t="shared" si="58"/>
        <v>0</v>
      </c>
    </row>
    <row r="584" spans="1:26">
      <c r="A584" t="s">
        <v>2337</v>
      </c>
      <c r="K584" t="str">
        <f t="shared" si="71"/>
        <v>Frame_Electric</v>
      </c>
      <c r="L584" t="str">
        <f t="shared" ref="L584" si="74">$L$554</f>
        <v>np.logical_and( sampled_kWh =='Y',  ProjectDropped ==False )</v>
      </c>
      <c r="M584" t="str">
        <f t="shared" si="68"/>
        <v>EvalExPostAnnualizedGrosskWh</v>
      </c>
      <c r="N584" t="s">
        <v>629</v>
      </c>
      <c r="Y584" t="b">
        <f t="shared" si="57"/>
        <v>1</v>
      </c>
      <c r="Z584" t="b">
        <f t="shared" si="58"/>
        <v>0</v>
      </c>
    </row>
    <row r="585" spans="1:26">
      <c r="A585" t="s">
        <v>2338</v>
      </c>
      <c r="K585" t="str">
        <f t="shared" si="71"/>
        <v>Frame_Gas</v>
      </c>
      <c r="L585" t="str">
        <f t="shared" ref="L585" si="75">$L$555</f>
        <v>np.logical_and( sampled_thm =='Y',  ProjectDropped ==False )</v>
      </c>
      <c r="M585" t="str">
        <f t="shared" si="68"/>
        <v>EvalExPostAnnualizedGrossTherm</v>
      </c>
      <c r="N585" t="s">
        <v>629</v>
      </c>
      <c r="Y585" t="b">
        <f t="shared" si="57"/>
        <v>1</v>
      </c>
      <c r="Z585" t="b">
        <f t="shared" si="58"/>
        <v>0</v>
      </c>
    </row>
    <row r="586" spans="1:26">
      <c r="A586" t="s">
        <v>2339</v>
      </c>
      <c r="J586" t="str">
        <f>A578 &amp; " / " &amp; A582</f>
        <v>State_ExAnte_Lifecycle_kwh / State_ExAnte_Annualized_kwh</v>
      </c>
      <c r="Y586" t="b">
        <f t="shared" si="57"/>
        <v>1</v>
      </c>
      <c r="Z586" t="b">
        <f t="shared" si="58"/>
        <v>0</v>
      </c>
    </row>
    <row r="587" spans="1:26">
      <c r="A587" t="s">
        <v>2340</v>
      </c>
      <c r="J587" t="str">
        <f t="shared" ref="J587:J589" si="76">A579 &amp; " / " &amp; A583</f>
        <v>State_ExAnte_Lifecycle_thm / State_ExAnte_Annualized_thm</v>
      </c>
      <c r="Y587" t="b">
        <f t="shared" si="57"/>
        <v>1</v>
      </c>
      <c r="Z587" t="b">
        <f t="shared" si="58"/>
        <v>0</v>
      </c>
    </row>
    <row r="588" spans="1:26">
      <c r="A588" t="s">
        <v>2341</v>
      </c>
      <c r="J588" t="str">
        <f t="shared" si="76"/>
        <v>State_ExPost_Lifecycle_kwh / State_ExPost_Annualized_kwh</v>
      </c>
      <c r="Y588" t="b">
        <f t="shared" si="57"/>
        <v>1</v>
      </c>
      <c r="Z588" t="b">
        <f t="shared" si="58"/>
        <v>0</v>
      </c>
    </row>
    <row r="589" spans="1:26">
      <c r="A589" t="s">
        <v>2342</v>
      </c>
      <c r="J589" t="str">
        <f t="shared" si="76"/>
        <v>State_ExPost_Lifecycle_thm / State_ExPost_Annualized_thm</v>
      </c>
      <c r="Y589" t="b">
        <f t="shared" si="57"/>
        <v>1</v>
      </c>
      <c r="Z589" t="b">
        <f t="shared" si="58"/>
        <v>0</v>
      </c>
    </row>
    <row r="590" spans="1:26">
      <c r="A590" t="s">
        <v>2347</v>
      </c>
      <c r="J590" t="s">
        <v>2351</v>
      </c>
      <c r="Y590" t="b">
        <f t="shared" ref="Y590:Y599" si="77">IF(NOT(ISBLANK(A590)), LEN(_xlfn.CONCAT(C590:W590))&gt;0, "")</f>
        <v>1</v>
      </c>
      <c r="Z590" t="b">
        <f t="shared" ref="Z590:Z599" si="78">AND(ISNUMBER(SEARCH("kw",_xlfn.CONCAT(I590:X590))), ISNUMBER(SEARCH("thm",_xlfn.CONCAT(I590:X590))))</f>
        <v>0</v>
      </c>
    </row>
    <row r="591" spans="1:26">
      <c r="A591" t="s">
        <v>2352</v>
      </c>
      <c r="K591" t="str">
        <f>$A$155</f>
        <v>domain</v>
      </c>
      <c r="L591" t="str">
        <f>$A$213 &amp; " ==True"</f>
        <v>Frame_Electric ==True</v>
      </c>
      <c r="M591" t="str">
        <f>$A$590</f>
        <v>all</v>
      </c>
      <c r="N591" t="s">
        <v>626</v>
      </c>
      <c r="P591" t="str">
        <f t="shared" ref="P591:P599" si="79">K591 &amp; " " &amp;  $A$154</f>
        <v>domain SBW_ProjID</v>
      </c>
      <c r="Q591" t="s">
        <v>626</v>
      </c>
      <c r="Y591" t="b">
        <f t="shared" si="77"/>
        <v>1</v>
      </c>
      <c r="Z591" t="b">
        <f t="shared" si="78"/>
        <v>0</v>
      </c>
    </row>
    <row r="592" spans="1:26">
      <c r="A592" t="s">
        <v>2353</v>
      </c>
      <c r="K592" t="str">
        <f>$A$155</f>
        <v>domain</v>
      </c>
      <c r="L592" t="str">
        <f>$A$214 &amp; " ==True"</f>
        <v>Frame_Gas ==True</v>
      </c>
      <c r="M592" t="str">
        <f t="shared" ref="M592:M599" si="80">$A$154</f>
        <v>SBW_ProjID</v>
      </c>
      <c r="N592" t="s">
        <v>626</v>
      </c>
      <c r="P592" t="str">
        <f t="shared" si="79"/>
        <v>domain SBW_ProjID</v>
      </c>
      <c r="Q592" t="s">
        <v>626</v>
      </c>
      <c r="Y592" t="b">
        <f t="shared" si="77"/>
        <v>1</v>
      </c>
      <c r="Z592" t="b">
        <f t="shared" si="78"/>
        <v>0</v>
      </c>
    </row>
    <row r="593" spans="1:26">
      <c r="A593" t="s">
        <v>2348</v>
      </c>
      <c r="K593" t="str">
        <f>$A$155</f>
        <v>domain</v>
      </c>
      <c r="L593" t="str">
        <f>$A$213 &amp; " .notnull()"</f>
        <v>Frame_Electric .notnull()</v>
      </c>
      <c r="M593" t="str">
        <f t="shared" si="80"/>
        <v>SBW_ProjID</v>
      </c>
      <c r="N593" t="s">
        <v>626</v>
      </c>
      <c r="P593" t="str">
        <f t="shared" si="79"/>
        <v>domain SBW_ProjID</v>
      </c>
      <c r="Q593" t="s">
        <v>626</v>
      </c>
      <c r="Y593" t="b">
        <f t="shared" si="77"/>
        <v>1</v>
      </c>
      <c r="Z593" t="b">
        <f t="shared" si="78"/>
        <v>0</v>
      </c>
    </row>
    <row r="594" spans="1:26">
      <c r="A594" t="s">
        <v>2343</v>
      </c>
      <c r="K594" t="str">
        <f>$A$117</f>
        <v>PA</v>
      </c>
      <c r="L594" t="str">
        <f>$A$213 &amp; " ==True"</f>
        <v>Frame_Electric ==True</v>
      </c>
      <c r="M594" t="str">
        <f t="shared" si="80"/>
        <v>SBW_ProjID</v>
      </c>
      <c r="N594" t="s">
        <v>626</v>
      </c>
      <c r="P594" t="str">
        <f t="shared" si="79"/>
        <v>PA SBW_ProjID</v>
      </c>
      <c r="Q594" t="s">
        <v>626</v>
      </c>
      <c r="Y594" t="b">
        <f t="shared" si="77"/>
        <v>1</v>
      </c>
      <c r="Z594" t="b">
        <f t="shared" si="78"/>
        <v>0</v>
      </c>
    </row>
    <row r="595" spans="1:26">
      <c r="A595" t="s">
        <v>2344</v>
      </c>
      <c r="K595" t="str">
        <f>$A$117</f>
        <v>PA</v>
      </c>
      <c r="L595" t="str">
        <f>$A$214 &amp; " ==True"</f>
        <v>Frame_Gas ==True</v>
      </c>
      <c r="M595" t="str">
        <f t="shared" si="80"/>
        <v>SBW_ProjID</v>
      </c>
      <c r="N595" t="s">
        <v>626</v>
      </c>
      <c r="P595" t="str">
        <f t="shared" si="79"/>
        <v>PA SBW_ProjID</v>
      </c>
      <c r="Q595" t="s">
        <v>626</v>
      </c>
      <c r="Y595" t="b">
        <f t="shared" si="77"/>
        <v>1</v>
      </c>
      <c r="Z595" t="b">
        <f t="shared" si="78"/>
        <v>0</v>
      </c>
    </row>
    <row r="596" spans="1:26">
      <c r="A596" t="s">
        <v>2349</v>
      </c>
      <c r="K596" t="str">
        <f>$A$117</f>
        <v>PA</v>
      </c>
      <c r="L596" t="str">
        <f>$A$213 &amp; " .notnull()"</f>
        <v>Frame_Electric .notnull()</v>
      </c>
      <c r="M596" t="str">
        <f t="shared" si="80"/>
        <v>SBW_ProjID</v>
      </c>
      <c r="N596" t="s">
        <v>626</v>
      </c>
      <c r="P596" t="str">
        <f t="shared" si="79"/>
        <v>PA SBW_ProjID</v>
      </c>
      <c r="Q596" t="s">
        <v>626</v>
      </c>
      <c r="Y596" t="b">
        <f t="shared" si="77"/>
        <v>1</v>
      </c>
      <c r="Z596" t="b">
        <f t="shared" si="78"/>
        <v>0</v>
      </c>
    </row>
    <row r="597" spans="1:26">
      <c r="A597" t="s">
        <v>2345</v>
      </c>
      <c r="K597" t="str">
        <f>$A$213</f>
        <v>Frame_Electric</v>
      </c>
      <c r="L597" t="str">
        <f>$A$213 &amp; " ==True"</f>
        <v>Frame_Electric ==True</v>
      </c>
      <c r="M597" t="str">
        <f t="shared" si="80"/>
        <v>SBW_ProjID</v>
      </c>
      <c r="N597" t="s">
        <v>626</v>
      </c>
      <c r="P597" t="str">
        <f t="shared" si="79"/>
        <v>Frame_Electric SBW_ProjID</v>
      </c>
      <c r="Q597" t="s">
        <v>626</v>
      </c>
      <c r="Y597" t="b">
        <f t="shared" si="77"/>
        <v>1</v>
      </c>
      <c r="Z597" t="b">
        <f t="shared" si="78"/>
        <v>0</v>
      </c>
    </row>
    <row r="598" spans="1:26">
      <c r="A598" t="s">
        <v>2346</v>
      </c>
      <c r="K598" t="str">
        <f>$A$214</f>
        <v>Frame_Gas</v>
      </c>
      <c r="L598" t="str">
        <f>$A$214 &amp; " ==True"</f>
        <v>Frame_Gas ==True</v>
      </c>
      <c r="M598" t="str">
        <f t="shared" si="80"/>
        <v>SBW_ProjID</v>
      </c>
      <c r="N598" t="s">
        <v>626</v>
      </c>
      <c r="P598" t="str">
        <f t="shared" si="79"/>
        <v>Frame_Gas SBW_ProjID</v>
      </c>
      <c r="Q598" t="s">
        <v>626</v>
      </c>
      <c r="Y598" t="b">
        <f t="shared" si="77"/>
        <v>1</v>
      </c>
      <c r="Z598" t="b">
        <f t="shared" si="78"/>
        <v>0</v>
      </c>
    </row>
    <row r="599" spans="1:26">
      <c r="A599" t="s">
        <v>2350</v>
      </c>
      <c r="K599" t="s">
        <v>2347</v>
      </c>
      <c r="L599" t="str">
        <f>$A$213 &amp; " .notnull()"</f>
        <v>Frame_Electric .notnull()</v>
      </c>
      <c r="M599" t="str">
        <f t="shared" si="80"/>
        <v>SBW_ProjID</v>
      </c>
      <c r="N599" t="s">
        <v>626</v>
      </c>
      <c r="P599" t="str">
        <f t="shared" si="79"/>
        <v>all SBW_ProjID</v>
      </c>
      <c r="Q599" t="s">
        <v>626</v>
      </c>
      <c r="Y599" t="b">
        <f t="shared" si="77"/>
        <v>1</v>
      </c>
      <c r="Z599" t="b">
        <f t="shared" si="78"/>
        <v>0</v>
      </c>
    </row>
    <row r="600" spans="1:26">
      <c r="A600" t="s">
        <v>2625</v>
      </c>
      <c r="K600" t="str">
        <f>$A$213</f>
        <v>Frame_Electric</v>
      </c>
      <c r="L600" t="str">
        <f>$A$213 &amp; " ==True"</f>
        <v>Frame_Electric ==True</v>
      </c>
      <c r="M600" t="str">
        <f>A70</f>
        <v>ExAnte_LifeCycleNet_NoRR_kWh</v>
      </c>
      <c r="N600" t="s">
        <v>629</v>
      </c>
      <c r="Y600" t="b">
        <f t="shared" ref="Y600:Y601" si="81">IF(NOT(ISBLANK(A600)), LEN(_xlfn.CONCAT(C600:W600))&gt;0, "")</f>
        <v>1</v>
      </c>
      <c r="Z600" t="b">
        <f t="shared" ref="Z600:Z601" si="82">AND(ISNUMBER(SEARCH("kw",_xlfn.CONCAT(I600:X600))), ISNUMBER(SEARCH("thm",_xlfn.CONCAT(I600:X600))))</f>
        <v>0</v>
      </c>
    </row>
    <row r="601" spans="1:26">
      <c r="A601" t="s">
        <v>2626</v>
      </c>
      <c r="K601" t="str">
        <f>$A$214</f>
        <v>Frame_Gas</v>
      </c>
      <c r="L601" t="str">
        <f>$A$214 &amp; " ==True"</f>
        <v>Frame_Gas ==True</v>
      </c>
      <c r="M601" t="str">
        <f>A71</f>
        <v>ExAnte_LifeCycleNet_NoRR_thm</v>
      </c>
      <c r="N601" t="s">
        <v>629</v>
      </c>
      <c r="Y601" t="b">
        <f t="shared" si="81"/>
        <v>1</v>
      </c>
      <c r="Z601" t="b">
        <f t="shared" si="82"/>
        <v>0</v>
      </c>
    </row>
    <row r="602" spans="1:26">
      <c r="A602" t="s">
        <v>2584</v>
      </c>
      <c r="S602" t="str">
        <f>$A$213 &amp; " ==True, " &amp;  A75 &amp; " * " &amp; A298 &amp; ", np.nan"</f>
        <v>Frame_Electric ==True, ExAnte_Annualized_kW * dom_AG_RR_kw, np.nan</v>
      </c>
      <c r="Y602" t="b">
        <f t="shared" ref="Y602:Y616" si="83">IF(NOT(ISBLANK(A602)), LEN(_xlfn.CONCAT(C602:W602))&gt;0, "")</f>
        <v>1</v>
      </c>
      <c r="Z602" t="b">
        <f t="shared" ref="Z602:Z616" si="84">AND(ISNUMBER(SEARCH("kw",_xlfn.CONCAT(I602:X602))), ISNUMBER(SEARCH("thm",_xlfn.CONCAT(I602:X602))))</f>
        <v>0</v>
      </c>
    </row>
    <row r="603" spans="1:26">
      <c r="A603" t="s">
        <v>2585</v>
      </c>
      <c r="S603" t="str">
        <f>$A$213 &amp; " ==True, " &amp;  A76 &amp; " * " &amp; A299 &amp; ", np.nan"</f>
        <v>Frame_Electric ==True, ExAnte_Annualized_kWh * dom_AG_RR_kwh, np.nan</v>
      </c>
      <c r="Y603" t="b">
        <f t="shared" si="83"/>
        <v>1</v>
      </c>
      <c r="Z603" t="b">
        <f t="shared" si="84"/>
        <v>0</v>
      </c>
    </row>
    <row r="604" spans="1:26">
      <c r="A604" t="s">
        <v>2586</v>
      </c>
      <c r="S604" t="str">
        <f>$A$214 &amp; " ==True, " &amp;  A77 &amp; " * " &amp; A300 &amp; ", np.nan"</f>
        <v>Frame_Gas ==True, ExAnte_Annualized_thm * dom_AG_RR_thm, np.nan</v>
      </c>
      <c r="Y604" t="b">
        <f t="shared" si="83"/>
        <v>1</v>
      </c>
      <c r="Z604" t="b">
        <f t="shared" si="84"/>
        <v>0</v>
      </c>
    </row>
    <row r="605" spans="1:26">
      <c r="A605" t="s">
        <v>2593</v>
      </c>
      <c r="S605" t="str">
        <f>$A$213 &amp; " ==True, " &amp;A66 &amp; " * " &amp; A301&amp; ", np.nan"</f>
        <v>Frame_Electric ==True, ExAnte_LifeCycleGross_NoRR_kW * dom_LG_RR_kw, np.nan</v>
      </c>
      <c r="Y605" t="b">
        <f t="shared" si="83"/>
        <v>1</v>
      </c>
      <c r="Z605" t="b">
        <f t="shared" si="84"/>
        <v>0</v>
      </c>
    </row>
    <row r="606" spans="1:26">
      <c r="A606" t="s">
        <v>2594</v>
      </c>
      <c r="S606" t="str">
        <f>$A$213 &amp; " ==True, " &amp;A67 &amp; " * " &amp; A302&amp; ", np.nan"</f>
        <v>Frame_Electric ==True, ExAnte_LifeCycleGross_NoRR_kWh * dom_LG_RR_kwh, np.nan</v>
      </c>
      <c r="Y606" t="b">
        <f t="shared" si="83"/>
        <v>1</v>
      </c>
      <c r="Z606" t="b">
        <f t="shared" si="84"/>
        <v>0</v>
      </c>
    </row>
    <row r="607" spans="1:26">
      <c r="A607" t="s">
        <v>2595</v>
      </c>
      <c r="S607" t="str">
        <f>$A$214 &amp; " ==True, " &amp;A68 &amp; " * " &amp; A303&amp; ", np.nan"</f>
        <v>Frame_Gas ==True, ExAnte_LifeCycleGross_NoRR_thm * dom_LG_RR_thm, np.nan</v>
      </c>
      <c r="Y607" t="b">
        <f t="shared" si="83"/>
        <v>1</v>
      </c>
      <c r="Z607" t="b">
        <f t="shared" si="84"/>
        <v>0</v>
      </c>
    </row>
    <row r="608" spans="1:26">
      <c r="A608" t="s">
        <v>2740</v>
      </c>
      <c r="S608" t="str">
        <f>$A$213 &amp; " ==True, " &amp;A72 &amp; " * " &amp; A310&amp; ", np.nan"</f>
        <v>Frame_Electric ==True, ExAnte_FirstYear_NoRR_kW * dom_eval_RR_kWh_1G, np.nan</v>
      </c>
    </row>
    <row r="609" spans="1:26">
      <c r="A609" t="s">
        <v>2741</v>
      </c>
      <c r="S609" t="str">
        <f>$A$213 &amp; " ==True, " &amp;A73 &amp; " * " &amp; A311&amp; ", np.nan"</f>
        <v>Frame_Electric ==True, ExAnte_FirstYear_NoRR_kWh * dom_eval_RR_kW_1G, np.nan</v>
      </c>
    </row>
    <row r="610" spans="1:26">
      <c r="A610" t="s">
        <v>2742</v>
      </c>
      <c r="S610" t="str">
        <f>$A$214 &amp; " ==True, " &amp;A74 &amp; " * " &amp; A312&amp; ", np.nan"</f>
        <v>Frame_Gas ==True, ExAnte_FirstYear_NoRR_thm * dom_eval_RR_thm_1G, np.nan</v>
      </c>
    </row>
    <row r="611" spans="1:26">
      <c r="A611" t="s">
        <v>2596</v>
      </c>
      <c r="S611" t="str">
        <f>$A$213 &amp; " ==True, " &amp;  A602 &amp; " * " &amp; A304&amp; ", np.nan"</f>
        <v>Frame_Electric ==True, study_ExPost_Annualized_Gross_kw * dom_Ann_NTGR_kw, np.nan</v>
      </c>
      <c r="Y611" t="b">
        <f t="shared" si="83"/>
        <v>1</v>
      </c>
      <c r="Z611" t="b">
        <f t="shared" si="84"/>
        <v>0</v>
      </c>
    </row>
    <row r="612" spans="1:26">
      <c r="A612" t="s">
        <v>2597</v>
      </c>
      <c r="S612" t="str">
        <f>$A$213 &amp; " ==True, " &amp;  A603 &amp; " * " &amp; A305&amp; ", np.nan"</f>
        <v>Frame_Electric ==True, study_ExPost_Annualized_Gross_kwh * dom_Ann_NTGR_kwh, np.nan</v>
      </c>
      <c r="Y612" t="b">
        <f t="shared" si="83"/>
        <v>1</v>
      </c>
      <c r="Z612" t="b">
        <f t="shared" si="84"/>
        <v>0</v>
      </c>
    </row>
    <row r="613" spans="1:26">
      <c r="A613" t="s">
        <v>2598</v>
      </c>
      <c r="S613" t="str">
        <f>$A$214&amp; " ==True, " &amp;  A604 &amp; " * " &amp; A306&amp; ", np.nan"</f>
        <v>Frame_Gas ==True, study_ExPost_Annualized_Gross_thm * dom_Ann_NTGR_thm, np.nan</v>
      </c>
      <c r="Y613" t="b">
        <f t="shared" si="83"/>
        <v>1</v>
      </c>
      <c r="Z613" t="b">
        <f t="shared" si="84"/>
        <v>0</v>
      </c>
    </row>
    <row r="614" spans="1:26">
      <c r="A614" t="s">
        <v>2599</v>
      </c>
      <c r="S614" t="str">
        <f>$A$213 &amp; " ==True, " &amp;  A605 &amp; " * " &amp; A307&amp; ", np.nan"</f>
        <v>Frame_Electric ==True, study_ExPost_Lifecycle_Gross_kw * dom_LC_NTGR_kw, np.nan</v>
      </c>
      <c r="Y614" t="b">
        <f t="shared" si="83"/>
        <v>1</v>
      </c>
      <c r="Z614" t="b">
        <f t="shared" si="84"/>
        <v>0</v>
      </c>
    </row>
    <row r="615" spans="1:26">
      <c r="A615" t="s">
        <v>2600</v>
      </c>
      <c r="S615" t="str">
        <f>$A$213 &amp; " ==True, " &amp;  A606 &amp; " * " &amp; A308&amp; ", np.nan"</f>
        <v>Frame_Electric ==True, study_ExPost_Lifecycle_Gross_kwh * dom_LC_NTGR_kwh, np.nan</v>
      </c>
      <c r="Y615" t="b">
        <f t="shared" si="83"/>
        <v>1</v>
      </c>
      <c r="Z615" t="b">
        <f t="shared" si="84"/>
        <v>0</v>
      </c>
    </row>
    <row r="616" spans="1:26">
      <c r="A616" t="s">
        <v>2601</v>
      </c>
      <c r="S616" t="str">
        <f>$A$214&amp; " ==True, " &amp;  A607 &amp; " * " &amp; A309&amp; ", np.nan"</f>
        <v>Frame_Gas ==True, study_ExPost_Lifecycle_Gross_thm * dom_LC_NTGR_thm, np.nan</v>
      </c>
      <c r="Y616" t="b">
        <f t="shared" si="83"/>
        <v>1</v>
      </c>
      <c r="Z616" t="b">
        <f t="shared" si="84"/>
        <v>0</v>
      </c>
    </row>
    <row r="617" spans="1:26">
      <c r="A617" t="s">
        <v>2602</v>
      </c>
      <c r="S617" t="str">
        <f>$A$213 &amp; " ==True, " &amp;  A60 &amp; " * " &amp; A301 &amp; ", np.nan"</f>
        <v>Frame_Electric ==True, ExAnteBase1kWSvgs * dom_LG_RR_kw, np.nan</v>
      </c>
      <c r="Y617" t="b">
        <f t="shared" ref="Y617:Y622" si="85">IF(NOT(ISBLANK(A617)), LEN(_xlfn.CONCAT(C617:W617))&gt;0, "")</f>
        <v>1</v>
      </c>
      <c r="Z617" t="b">
        <f t="shared" ref="Z617:Z622" si="86">AND(ISNUMBER(SEARCH("kw",_xlfn.CONCAT(I617:X617))), ISNUMBER(SEARCH("thm",_xlfn.CONCAT(I617:X617))))</f>
        <v>0</v>
      </c>
    </row>
    <row r="618" spans="1:26">
      <c r="A618" t="s">
        <v>2603</v>
      </c>
      <c r="S618" t="str">
        <f>$A$213 &amp; " ==True, " &amp;  A61 &amp; " * " &amp; A302 &amp; ", np.nan"</f>
        <v>Frame_Electric ==True, ExAnteBase1kWhSvgs * dom_LG_RR_kwh, np.nan</v>
      </c>
      <c r="Y618" t="b">
        <f t="shared" si="85"/>
        <v>1</v>
      </c>
      <c r="Z618" t="b">
        <f t="shared" si="86"/>
        <v>0</v>
      </c>
    </row>
    <row r="619" spans="1:26">
      <c r="A619" t="s">
        <v>2604</v>
      </c>
      <c r="S619" t="str">
        <f>$A$213 &amp; " ==True, " &amp;  A62 &amp; " * " &amp; A303 &amp; ", np.nan"</f>
        <v>Frame_Electric ==True, ExAnteBase1ThermSvgs * dom_LG_RR_thm, np.nan</v>
      </c>
      <c r="Y619" t="b">
        <f t="shared" si="85"/>
        <v>1</v>
      </c>
      <c r="Z619" t="b">
        <f t="shared" si="86"/>
        <v>0</v>
      </c>
    </row>
    <row r="620" spans="1:26">
      <c r="A620" t="s">
        <v>2605</v>
      </c>
      <c r="S620" t="str">
        <f>$A$213 &amp; " ==True, " &amp;  A63 &amp; " * " &amp; A301 &amp; ", np.nan"</f>
        <v>Frame_Electric ==True, ExAnteBase2kWSvgs * dom_LG_RR_kw, np.nan</v>
      </c>
      <c r="Y620" t="b">
        <f t="shared" si="85"/>
        <v>1</v>
      </c>
      <c r="Z620" t="b">
        <f t="shared" si="86"/>
        <v>0</v>
      </c>
    </row>
    <row r="621" spans="1:26">
      <c r="A621" t="s">
        <v>2606</v>
      </c>
      <c r="S621" t="str">
        <f>$A$213 &amp; " ==True, " &amp;  A64 &amp; " * " &amp; A302 &amp; ", np.nan"</f>
        <v>Frame_Electric ==True, ExAnteBase2kWhSvgs * dom_LG_RR_kwh, np.nan</v>
      </c>
      <c r="Y621" t="b">
        <f t="shared" si="85"/>
        <v>1</v>
      </c>
      <c r="Z621" t="b">
        <f t="shared" si="86"/>
        <v>0</v>
      </c>
    </row>
    <row r="622" spans="1:26">
      <c r="A622" t="s">
        <v>2607</v>
      </c>
      <c r="S622" t="str">
        <f>$A$213 &amp; " ==True, " &amp;  A65 &amp; " * " &amp; A303 &amp; ", np.nan"</f>
        <v>Frame_Electric ==True, ExAnteBase2ThermSvgs * dom_LG_RR_thm, np.nan</v>
      </c>
      <c r="Y622" t="b">
        <f t="shared" si="85"/>
        <v>1</v>
      </c>
      <c r="Z622" t="b">
        <f t="shared" si="86"/>
        <v>0</v>
      </c>
    </row>
    <row r="623" spans="1:26">
      <c r="A623" t="s">
        <v>2621</v>
      </c>
    </row>
    <row r="624" spans="1:26">
      <c r="A624" t="s">
        <v>2622</v>
      </c>
    </row>
  </sheetData>
  <autoFilter ref="A1:AD624" xr:uid="{66000173-5E05-41E4-B642-52C15CDAAA70}"/>
  <conditionalFormatting sqref="Z1:Z1048576">
    <cfRule type="cellIs" dxfId="31" priority="79" operator="equal">
      <formula>TRUE</formula>
    </cfRule>
  </conditionalFormatting>
  <conditionalFormatting sqref="D244:E259 D200:E201 C1:E1">
    <cfRule type="duplicateValues" dxfId="30" priority="1319"/>
  </conditionalFormatting>
  <conditionalFormatting sqref="A591:A593">
    <cfRule type="expression" dxfId="29" priority="9">
      <formula>NOT(Y591)</formula>
    </cfRule>
  </conditionalFormatting>
  <conditionalFormatting sqref="A591:A601">
    <cfRule type="duplicateValues" dxfId="28" priority="10"/>
  </conditionalFormatting>
  <conditionalFormatting sqref="A591:A601">
    <cfRule type="duplicateValues" dxfId="27" priority="11"/>
  </conditionalFormatting>
  <conditionalFormatting sqref="A595:A596">
    <cfRule type="expression" dxfId="26" priority="12">
      <formula>NOT(Y594)</formula>
    </cfRule>
  </conditionalFormatting>
  <conditionalFormatting sqref="A594">
    <cfRule type="expression" dxfId="25" priority="13">
      <formula>NOT(Y592)</formula>
    </cfRule>
  </conditionalFormatting>
  <conditionalFormatting sqref="A597:A601">
    <cfRule type="expression" dxfId="24" priority="1433">
      <formula>NOT(Y594)</formula>
    </cfRule>
  </conditionalFormatting>
  <conditionalFormatting sqref="A1:A309 A319:A1048576">
    <cfRule type="expression" dxfId="23" priority="1738">
      <formula>NOT(ISBLANK(G1))</formula>
    </cfRule>
    <cfRule type="expression" dxfId="22" priority="1739">
      <formula>NOT(Y1)</formula>
    </cfRule>
    <cfRule type="duplicateValues" dxfId="21" priority="1740"/>
    <cfRule type="duplicateValues" dxfId="20" priority="174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0A29-5FF6-489A-AB0B-632C45524F48}">
  <sheetPr codeName="Sheet5"/>
  <dimension ref="A1:T331"/>
  <sheetViews>
    <sheetView zoomScale="75" zoomScaleNormal="75" workbookViewId="0">
      <pane xSplit="1" ySplit="1" topLeftCell="B50" activePane="bottomRight" state="frozenSplit"/>
      <selection pane="topRight" activeCell="B1" sqref="B1"/>
      <selection pane="bottomLeft" activeCell="A2" sqref="A2"/>
      <selection pane="bottomRight" activeCell="A90" sqref="A90"/>
    </sheetView>
  </sheetViews>
  <sheetFormatPr defaultColWidth="8.85546875" defaultRowHeight="15" outlineLevelCol="1"/>
  <cols>
    <col min="1" max="1" width="20.42578125" customWidth="1"/>
    <col min="2" max="2" width="17.42578125" customWidth="1"/>
    <col min="6" max="6" width="9.140625" customWidth="1" outlineLevel="1"/>
    <col min="7" max="7" width="39.28515625" customWidth="1" outlineLevel="1"/>
    <col min="8" max="8" width="71.42578125" customWidth="1" outlineLevel="1"/>
    <col min="9" max="10" width="9.140625" customWidth="1" outlineLevel="1"/>
  </cols>
  <sheetData>
    <row r="1" spans="1:20">
      <c r="A1" s="11" t="s">
        <v>1773</v>
      </c>
      <c r="B1" s="12" t="str">
        <f>"src_" &amp; SourceDef!A11</f>
        <v>src_ClaimPop</v>
      </c>
      <c r="D1" t="s">
        <v>616</v>
      </c>
      <c r="E1" t="s">
        <v>602</v>
      </c>
      <c r="F1" t="s">
        <v>610</v>
      </c>
      <c r="G1" t="s">
        <v>611</v>
      </c>
      <c r="H1" t="s">
        <v>612</v>
      </c>
      <c r="I1" t="s">
        <v>624</v>
      </c>
      <c r="J1" t="s">
        <v>628</v>
      </c>
      <c r="K1" t="s">
        <v>613</v>
      </c>
      <c r="L1" t="s">
        <v>617</v>
      </c>
      <c r="M1" t="s">
        <v>1</v>
      </c>
      <c r="N1" t="s">
        <v>2</v>
      </c>
      <c r="O1" t="s">
        <v>3</v>
      </c>
      <c r="P1" t="s">
        <v>595</v>
      </c>
      <c r="S1" t="s">
        <v>5</v>
      </c>
      <c r="T1" t="s">
        <v>2095</v>
      </c>
    </row>
    <row r="2" spans="1:20">
      <c r="A2" s="7" t="s">
        <v>181</v>
      </c>
      <c r="B2" s="7"/>
      <c r="F2" s="7" t="s">
        <v>63</v>
      </c>
      <c r="H2" t="str">
        <f>map_gross!A155</f>
        <v>domain</v>
      </c>
      <c r="I2" t="s">
        <v>673</v>
      </c>
      <c r="S2" t="b">
        <f t="shared" ref="S2:S12" si="0">IF(NOT(ISBLANK(A2)), LEN(_xlfn.CONCAT(B2:R2))&gt;0, "")</f>
        <v>1</v>
      </c>
    </row>
    <row r="3" spans="1:20">
      <c r="A3" s="7" t="s">
        <v>11</v>
      </c>
      <c r="B3" s="7"/>
      <c r="F3" s="7" t="s">
        <v>63</v>
      </c>
      <c r="H3" t="str">
        <f>map_gross!A117</f>
        <v>PA</v>
      </c>
      <c r="I3" t="s">
        <v>673</v>
      </c>
      <c r="S3" t="b">
        <f t="shared" si="0"/>
        <v>1</v>
      </c>
    </row>
    <row r="4" spans="1:20">
      <c r="A4" s="7" t="s">
        <v>219</v>
      </c>
      <c r="B4" s="7"/>
      <c r="F4" s="7" t="s">
        <v>63</v>
      </c>
      <c r="H4" t="str">
        <f>map_gross!A141</f>
        <v>SBW_Sector</v>
      </c>
      <c r="I4" t="s">
        <v>673</v>
      </c>
      <c r="S4" t="b">
        <f t="shared" si="0"/>
        <v>1</v>
      </c>
    </row>
    <row r="5" spans="1:20">
      <c r="A5" s="7" t="s">
        <v>222</v>
      </c>
      <c r="B5" s="7"/>
      <c r="F5" s="7" t="s">
        <v>63</v>
      </c>
      <c r="H5" t="str">
        <f>map_gross!A144</f>
        <v>SBW_ImpactType</v>
      </c>
      <c r="I5" t="s">
        <v>673</v>
      </c>
      <c r="S5" t="b">
        <f t="shared" si="0"/>
        <v>1</v>
      </c>
    </row>
    <row r="6" spans="1:20">
      <c r="A6" s="7" t="s">
        <v>186</v>
      </c>
      <c r="B6" s="7"/>
      <c r="F6" s="7" t="s">
        <v>63</v>
      </c>
      <c r="H6" t="str">
        <f>map_gross!A160</f>
        <v>smpld_primary</v>
      </c>
      <c r="I6" t="s">
        <v>673</v>
      </c>
      <c r="S6" t="b">
        <f t="shared" si="0"/>
        <v>1</v>
      </c>
    </row>
    <row r="7" spans="1:20">
      <c r="A7" s="7" t="s">
        <v>189</v>
      </c>
      <c r="B7" s="7"/>
      <c r="F7" s="7" t="s">
        <v>63</v>
      </c>
      <c r="H7" t="str">
        <f>map_gross!A163</f>
        <v>smpld_net</v>
      </c>
      <c r="I7" t="s">
        <v>673</v>
      </c>
      <c r="S7" t="b">
        <f t="shared" si="0"/>
        <v>1</v>
      </c>
    </row>
    <row r="8" spans="1:20">
      <c r="A8" s="7" t="s">
        <v>1577</v>
      </c>
      <c r="B8" s="7"/>
      <c r="F8" s="7" t="s">
        <v>63</v>
      </c>
      <c r="H8" t="str">
        <f>map_gross!A164</f>
        <v>smpld_net_new</v>
      </c>
      <c r="I8" t="s">
        <v>673</v>
      </c>
      <c r="S8" t="b">
        <f t="shared" si="0"/>
        <v>1</v>
      </c>
    </row>
    <row r="9" spans="1:20">
      <c r="A9" s="7" t="s">
        <v>1771</v>
      </c>
      <c r="B9" s="7"/>
      <c r="F9" s="7" t="s">
        <v>63</v>
      </c>
      <c r="H9" t="str">
        <f>map_gross!A210</f>
        <v>Frame_Electric</v>
      </c>
      <c r="I9" t="s">
        <v>673</v>
      </c>
      <c r="S9" t="b">
        <f t="shared" si="0"/>
        <v>1</v>
      </c>
    </row>
    <row r="10" spans="1:20">
      <c r="A10" s="7" t="s">
        <v>1772</v>
      </c>
      <c r="B10" s="7"/>
      <c r="F10" s="7" t="s">
        <v>63</v>
      </c>
      <c r="H10" t="str">
        <f>map_gross!A211</f>
        <v>Frame_Gas</v>
      </c>
      <c r="I10" t="s">
        <v>673</v>
      </c>
      <c r="S10" t="b">
        <f t="shared" si="0"/>
        <v>1</v>
      </c>
    </row>
    <row r="11" spans="1:20">
      <c r="A11" s="7" t="s">
        <v>184</v>
      </c>
      <c r="B11" s="7"/>
      <c r="F11" s="7" t="s">
        <v>63</v>
      </c>
      <c r="H11" t="str">
        <f>map_gross!A158</f>
        <v>sampled_kWh</v>
      </c>
      <c r="I11" t="s">
        <v>673</v>
      </c>
      <c r="S11" t="b">
        <f t="shared" si="0"/>
        <v>1</v>
      </c>
    </row>
    <row r="12" spans="1:20">
      <c r="A12" s="7" t="s">
        <v>185</v>
      </c>
      <c r="B12" s="7"/>
      <c r="F12" s="7" t="s">
        <v>63</v>
      </c>
      <c r="H12" t="str">
        <f>map_gross!A159</f>
        <v>sampled_thm</v>
      </c>
      <c r="I12" t="s">
        <v>673</v>
      </c>
      <c r="S12" t="b">
        <f t="shared" si="0"/>
        <v>1</v>
      </c>
    </row>
    <row r="13" spans="1:20">
      <c r="A13" s="7" t="s">
        <v>182</v>
      </c>
      <c r="B13" s="7"/>
      <c r="F13" s="7" t="s">
        <v>63</v>
      </c>
      <c r="H13" t="str">
        <f>map_gross!A156</f>
        <v>stratum_kWh</v>
      </c>
      <c r="I13" t="s">
        <v>673</v>
      </c>
      <c r="S13" t="b">
        <f t="shared" ref="S13:S106" si="1">IF(NOT(ISBLANK(A13)), LEN(_xlfn.CONCAT(B13:R13))&gt;0, "")</f>
        <v>1</v>
      </c>
    </row>
    <row r="14" spans="1:20">
      <c r="A14" s="7" t="s">
        <v>187</v>
      </c>
      <c r="B14" s="7"/>
      <c r="F14" s="7" t="s">
        <v>63</v>
      </c>
      <c r="H14" t="str">
        <f>map_gross!A161</f>
        <v>smpld_net_kWh</v>
      </c>
      <c r="I14" t="s">
        <v>673</v>
      </c>
      <c r="S14" t="b">
        <f t="shared" si="1"/>
        <v>1</v>
      </c>
    </row>
    <row r="15" spans="1:20">
      <c r="A15" s="7" t="s">
        <v>188</v>
      </c>
      <c r="B15" s="7"/>
      <c r="F15" s="7" t="s">
        <v>63</v>
      </c>
      <c r="H15" t="str">
        <f>map_gross!A162</f>
        <v>smpld_net_thm</v>
      </c>
      <c r="I15" t="s">
        <v>673</v>
      </c>
      <c r="S15" t="b">
        <f t="shared" si="1"/>
        <v>1</v>
      </c>
    </row>
    <row r="16" spans="1:20">
      <c r="A16" s="7" t="s">
        <v>183</v>
      </c>
      <c r="B16" s="7"/>
      <c r="F16" s="7" t="s">
        <v>63</v>
      </c>
      <c r="H16" t="str">
        <f>map_gross!A157</f>
        <v>stratum_thm</v>
      </c>
      <c r="I16" t="s">
        <v>673</v>
      </c>
      <c r="S16" t="b">
        <f t="shared" si="1"/>
        <v>1</v>
      </c>
    </row>
    <row r="17" spans="1:19">
      <c r="A17" s="7" t="s">
        <v>618</v>
      </c>
      <c r="B17" s="7"/>
      <c r="F17" s="7" t="s">
        <v>63</v>
      </c>
      <c r="H17" t="str">
        <f>map_gross!A217</f>
        <v>ss_stratum_kwh</v>
      </c>
      <c r="I17" t="s">
        <v>673</v>
      </c>
      <c r="S17" t="b">
        <f t="shared" si="1"/>
        <v>1</v>
      </c>
    </row>
    <row r="18" spans="1:19">
      <c r="A18" s="7" t="s">
        <v>619</v>
      </c>
      <c r="B18" s="7"/>
      <c r="F18" s="7" t="s">
        <v>63</v>
      </c>
      <c r="H18" t="str">
        <f>map_gross!A218</f>
        <v>ss_stratum_thm</v>
      </c>
      <c r="I18" t="s">
        <v>673</v>
      </c>
      <c r="S18" t="b">
        <f t="shared" si="1"/>
        <v>1</v>
      </c>
    </row>
    <row r="19" spans="1:19">
      <c r="A19" s="7" t="s">
        <v>542</v>
      </c>
      <c r="B19" s="7"/>
      <c r="F19" s="7" t="s">
        <v>63</v>
      </c>
      <c r="H19" t="str">
        <f>map_gross!A168</f>
        <v>SavingsAnalysisComplQC</v>
      </c>
      <c r="I19" t="s">
        <v>673</v>
      </c>
      <c r="S19" t="b">
        <f t="shared" si="1"/>
        <v>1</v>
      </c>
    </row>
    <row r="20" spans="1:19">
      <c r="A20" s="7" t="s">
        <v>552</v>
      </c>
      <c r="B20" s="7"/>
      <c r="F20" s="7" t="s">
        <v>63</v>
      </c>
      <c r="H20" t="str">
        <f>map_gross!A169</f>
        <v>NetSurveyComplDate</v>
      </c>
      <c r="I20" t="s">
        <v>673</v>
      </c>
      <c r="S20" t="b">
        <f t="shared" si="1"/>
        <v>1</v>
      </c>
    </row>
    <row r="21" spans="1:19">
      <c r="A21" s="7" t="s">
        <v>1552</v>
      </c>
      <c r="B21" s="7"/>
      <c r="F21" s="7" t="s">
        <v>63</v>
      </c>
      <c r="H21" t="str">
        <f>map_gross!A171</f>
        <v>NetDisposition</v>
      </c>
      <c r="I21" t="s">
        <v>673</v>
      </c>
      <c r="S21" t="b">
        <f t="shared" si="1"/>
        <v>1</v>
      </c>
    </row>
    <row r="22" spans="1:19">
      <c r="A22" s="7" t="s">
        <v>753</v>
      </c>
      <c r="B22" s="7"/>
      <c r="F22" s="7" t="s">
        <v>63</v>
      </c>
      <c r="H22" t="str">
        <f>map_gross!A173</f>
        <v>ProjectDropped</v>
      </c>
      <c r="I22" t="s">
        <v>673</v>
      </c>
      <c r="S22" t="b">
        <f t="shared" si="1"/>
        <v>1</v>
      </c>
    </row>
    <row r="23" spans="1:19">
      <c r="A23" s="7" t="s">
        <v>1553</v>
      </c>
      <c r="B23" s="7"/>
      <c r="F23" s="7" t="s">
        <v>63</v>
      </c>
      <c r="H23" t="str">
        <f>map_gross!A192</f>
        <v>GrossDisposition</v>
      </c>
      <c r="I23" t="s">
        <v>673</v>
      </c>
      <c r="S23" t="b">
        <f t="shared" si="1"/>
        <v>1</v>
      </c>
    </row>
    <row r="24" spans="1:19">
      <c r="A24" s="7" t="s">
        <v>2453</v>
      </c>
      <c r="B24" s="7"/>
      <c r="F24" s="7" t="s">
        <v>63</v>
      </c>
      <c r="G24" t="str">
        <f>A6 &amp; " =='Y'"</f>
        <v>smpld_primary =='Y'</v>
      </c>
      <c r="H24" t="s">
        <v>63</v>
      </c>
      <c r="I24" t="s">
        <v>626</v>
      </c>
      <c r="S24" t="b">
        <f t="shared" si="1"/>
        <v>1</v>
      </c>
    </row>
    <row r="25" spans="1:19">
      <c r="A25" s="7" t="s">
        <v>2452</v>
      </c>
      <c r="B25" s="7"/>
      <c r="F25" s="7" t="s">
        <v>63</v>
      </c>
      <c r="G25" t="str">
        <f>A23 &amp; " =='Completed'"</f>
        <v>GrossDisposition =='Completed'</v>
      </c>
      <c r="H25" t="s">
        <v>63</v>
      </c>
      <c r="I25" t="s">
        <v>626</v>
      </c>
      <c r="S25" t="b">
        <f t="shared" si="1"/>
        <v>1</v>
      </c>
    </row>
    <row r="26" spans="1:19">
      <c r="A26" s="7" t="s">
        <v>2454</v>
      </c>
      <c r="B26" s="7"/>
      <c r="F26" s="7" t="s">
        <v>63</v>
      </c>
      <c r="G26" t="str">
        <f>$A$21 &amp; " !='NOT YET RECRUITED'"</f>
        <v>NetDisposition !='NOT YET RECRUITED'</v>
      </c>
      <c r="H26" t="s">
        <v>63</v>
      </c>
      <c r="I26" t="s">
        <v>626</v>
      </c>
      <c r="S26" t="b">
        <f t="shared" si="1"/>
        <v>1</v>
      </c>
    </row>
    <row r="27" spans="1:19">
      <c r="A27" s="7" t="s">
        <v>2455</v>
      </c>
      <c r="B27" s="7"/>
      <c r="F27" s="7" t="s">
        <v>63</v>
      </c>
      <c r="G27" t="str">
        <f>$A$21 &amp; " =='COMPLETE'"</f>
        <v>NetDisposition =='COMPLETE'</v>
      </c>
      <c r="H27" t="s">
        <v>63</v>
      </c>
      <c r="I27" t="s">
        <v>626</v>
      </c>
      <c r="S27" t="b">
        <f t="shared" si="1"/>
        <v>1</v>
      </c>
    </row>
    <row r="28" spans="1:19">
      <c r="A28" t="s">
        <v>54</v>
      </c>
      <c r="B28" s="7"/>
      <c r="F28" s="7" t="s">
        <v>63</v>
      </c>
      <c r="H28" s="3" t="str">
        <f>map_gross!A50</f>
        <v>ExAnteLifecycleGrosskW</v>
      </c>
      <c r="I28" t="s">
        <v>629</v>
      </c>
      <c r="S28" t="b">
        <f t="shared" si="1"/>
        <v>1</v>
      </c>
    </row>
    <row r="29" spans="1:19">
      <c r="A29" t="s">
        <v>55</v>
      </c>
      <c r="F29" s="7" t="s">
        <v>63</v>
      </c>
      <c r="H29" s="3" t="str">
        <f>map_gross!A51</f>
        <v>ExAnteLifecycleGrosskWh</v>
      </c>
      <c r="I29" t="s">
        <v>629</v>
      </c>
      <c r="S29" t="b">
        <f t="shared" si="1"/>
        <v>1</v>
      </c>
    </row>
    <row r="30" spans="1:19">
      <c r="A30" t="s">
        <v>56</v>
      </c>
      <c r="F30" s="7" t="s">
        <v>63</v>
      </c>
      <c r="H30" s="3" t="str">
        <f>map_gross!A52</f>
        <v>ExAnteLifecycleGrossTherm</v>
      </c>
      <c r="I30" t="s">
        <v>629</v>
      </c>
      <c r="S30" t="b">
        <f t="shared" si="1"/>
        <v>1</v>
      </c>
    </row>
    <row r="31" spans="1:19">
      <c r="A31" t="s">
        <v>57</v>
      </c>
      <c r="F31" s="7" t="s">
        <v>63</v>
      </c>
      <c r="H31" s="3" t="str">
        <f>map_gross!A53</f>
        <v>ExAnteLifecycleNetkW</v>
      </c>
      <c r="I31" t="s">
        <v>629</v>
      </c>
      <c r="S31" t="b">
        <f t="shared" si="1"/>
        <v>1</v>
      </c>
    </row>
    <row r="32" spans="1:19">
      <c r="A32" t="s">
        <v>58</v>
      </c>
      <c r="F32" s="7" t="s">
        <v>63</v>
      </c>
      <c r="H32" s="3" t="str">
        <f>map_gross!A54</f>
        <v>ExAnteLifecycleNetkWh</v>
      </c>
      <c r="I32" t="s">
        <v>629</v>
      </c>
      <c r="S32" t="b">
        <f t="shared" si="1"/>
        <v>1</v>
      </c>
    </row>
    <row r="33" spans="1:19">
      <c r="A33" t="s">
        <v>59</v>
      </c>
      <c r="F33" s="7" t="s">
        <v>63</v>
      </c>
      <c r="H33" s="3" t="str">
        <f>map_gross!A55</f>
        <v>ExAnteLifecycleNetTherm</v>
      </c>
      <c r="I33" t="s">
        <v>629</v>
      </c>
      <c r="S33" t="b">
        <f t="shared" si="1"/>
        <v>1</v>
      </c>
    </row>
    <row r="34" spans="1:19">
      <c r="A34" t="s">
        <v>721</v>
      </c>
      <c r="F34" s="7" t="s">
        <v>63</v>
      </c>
      <c r="H34" s="2" t="str">
        <f>map_gross!A368</f>
        <v>EvalExPostLifeCycleGrosskW</v>
      </c>
      <c r="I34" t="s">
        <v>629</v>
      </c>
      <c r="S34" t="b">
        <f t="shared" si="1"/>
        <v>1</v>
      </c>
    </row>
    <row r="35" spans="1:19">
      <c r="A35" t="s">
        <v>723</v>
      </c>
      <c r="F35" s="7" t="s">
        <v>63</v>
      </c>
      <c r="H35" s="2" t="str">
        <f>map_gross!A369</f>
        <v>EvalExPostLifeCycleGrosskWh</v>
      </c>
      <c r="I35" t="s">
        <v>629</v>
      </c>
      <c r="S35" t="b">
        <f t="shared" si="1"/>
        <v>1</v>
      </c>
    </row>
    <row r="36" spans="1:19">
      <c r="A36" t="s">
        <v>722</v>
      </c>
      <c r="F36" s="7" t="s">
        <v>63</v>
      </c>
      <c r="H36" s="2" t="str">
        <f>map_gross!A370</f>
        <v>EvalExPostLifeCycleGrossTherm</v>
      </c>
      <c r="I36" t="s">
        <v>629</v>
      </c>
      <c r="S36" t="b">
        <f t="shared" si="1"/>
        <v>1</v>
      </c>
    </row>
    <row r="37" spans="1:19">
      <c r="A37" t="s">
        <v>730</v>
      </c>
      <c r="F37" s="7" t="s">
        <v>63</v>
      </c>
      <c r="H37" t="str">
        <f>map_gross!A418</f>
        <v>EvalExPostLifeCycleNetkW</v>
      </c>
      <c r="I37" t="s">
        <v>629</v>
      </c>
      <c r="S37" t="b">
        <f t="shared" si="1"/>
        <v>1</v>
      </c>
    </row>
    <row r="38" spans="1:19">
      <c r="A38" t="s">
        <v>731</v>
      </c>
      <c r="F38" s="7" t="s">
        <v>63</v>
      </c>
      <c r="H38" t="str">
        <f>map_gross!A419</f>
        <v>EvalExPostLifeCycleNetkWh</v>
      </c>
      <c r="I38" t="s">
        <v>629</v>
      </c>
      <c r="S38" t="b">
        <f t="shared" si="1"/>
        <v>1</v>
      </c>
    </row>
    <row r="39" spans="1:19">
      <c r="A39" t="s">
        <v>732</v>
      </c>
      <c r="F39" s="7" t="s">
        <v>63</v>
      </c>
      <c r="H39" t="str">
        <f>map_gross!A420</f>
        <v>EvalExPostLifeCycleNetTherm</v>
      </c>
      <c r="I39" t="s">
        <v>629</v>
      </c>
      <c r="S39" t="b">
        <f t="shared" si="1"/>
        <v>1</v>
      </c>
    </row>
    <row r="40" spans="1:19">
      <c r="A40" t="s">
        <v>1596</v>
      </c>
      <c r="F40" s="7" t="s">
        <v>63</v>
      </c>
      <c r="H40" s="2" t="str">
        <f>map_gross!A362</f>
        <v>EvalExPostAnnualizedGrosskW</v>
      </c>
      <c r="I40" t="s">
        <v>629</v>
      </c>
      <c r="S40" t="b">
        <f t="shared" si="1"/>
        <v>1</v>
      </c>
    </row>
    <row r="41" spans="1:19">
      <c r="A41" t="s">
        <v>1597</v>
      </c>
      <c r="F41" s="7" t="s">
        <v>63</v>
      </c>
      <c r="H41" s="2" t="str">
        <f>map_gross!A363</f>
        <v>EvalExPostAnnualizedGrosskWh</v>
      </c>
      <c r="I41" t="s">
        <v>629</v>
      </c>
      <c r="S41" t="b">
        <f t="shared" si="1"/>
        <v>1</v>
      </c>
    </row>
    <row r="42" spans="1:19">
      <c r="A42" t="s">
        <v>1598</v>
      </c>
      <c r="F42" s="7" t="s">
        <v>63</v>
      </c>
      <c r="H42" s="2" t="str">
        <f>map_gross!A364</f>
        <v>EvalExPostAnnualizedGrossTherm</v>
      </c>
      <c r="I42" t="s">
        <v>629</v>
      </c>
      <c r="S42" t="b">
        <f t="shared" si="1"/>
        <v>1</v>
      </c>
    </row>
    <row r="43" spans="1:19">
      <c r="A43" t="s">
        <v>1595</v>
      </c>
      <c r="F43" s="7" t="s">
        <v>63</v>
      </c>
      <c r="H43" t="str">
        <f>map_gross!A409</f>
        <v>EvalExPostAnnualizedNetkW</v>
      </c>
      <c r="I43" t="s">
        <v>629</v>
      </c>
      <c r="S43" t="b">
        <f t="shared" si="1"/>
        <v>1</v>
      </c>
    </row>
    <row r="44" spans="1:19">
      <c r="A44" t="s">
        <v>1599</v>
      </c>
      <c r="F44" s="7" t="s">
        <v>63</v>
      </c>
      <c r="H44" t="str">
        <f>map_gross!A410</f>
        <v>EvalExPostAnnualizedNetkWh</v>
      </c>
      <c r="I44" t="s">
        <v>629</v>
      </c>
      <c r="S44" t="b">
        <f t="shared" si="1"/>
        <v>1</v>
      </c>
    </row>
    <row r="45" spans="1:19">
      <c r="A45" t="s">
        <v>1600</v>
      </c>
      <c r="F45" s="7" t="s">
        <v>63</v>
      </c>
      <c r="H45" t="str">
        <f>map_gross!A411</f>
        <v>EvalExPostAnnualizedNetTherm</v>
      </c>
      <c r="I45" t="s">
        <v>629</v>
      </c>
      <c r="S45" t="b">
        <f t="shared" si="1"/>
        <v>1</v>
      </c>
    </row>
    <row r="46" spans="1:19">
      <c r="A46" t="s">
        <v>739</v>
      </c>
      <c r="F46" s="7" t="s">
        <v>63</v>
      </c>
      <c r="H46" t="str">
        <f>map_gross!A278</f>
        <v>ss_ExPostLifecycleGrosskW</v>
      </c>
      <c r="I46" t="s">
        <v>629</v>
      </c>
      <c r="S46" t="b">
        <f t="shared" si="1"/>
        <v>1</v>
      </c>
    </row>
    <row r="47" spans="1:19">
      <c r="A47" t="s">
        <v>740</v>
      </c>
      <c r="F47" s="7" t="s">
        <v>63</v>
      </c>
      <c r="H47" t="str">
        <f>map_gross!A279</f>
        <v>ss_ExPostLifecycleGrosskWh</v>
      </c>
      <c r="I47" t="s">
        <v>629</v>
      </c>
      <c r="S47" t="b">
        <f t="shared" si="1"/>
        <v>1</v>
      </c>
    </row>
    <row r="48" spans="1:19">
      <c r="A48" t="s">
        <v>741</v>
      </c>
      <c r="F48" s="7" t="s">
        <v>63</v>
      </c>
      <c r="H48" t="str">
        <f>map_gross!A280</f>
        <v>ss_ExPostLifecycleGrossthm</v>
      </c>
      <c r="I48" t="s">
        <v>629</v>
      </c>
      <c r="S48" t="b">
        <f t="shared" si="1"/>
        <v>1</v>
      </c>
    </row>
    <row r="49" spans="1:19">
      <c r="A49" t="s">
        <v>733</v>
      </c>
      <c r="F49" s="7" t="s">
        <v>63</v>
      </c>
      <c r="H49" t="str">
        <f>map_gross!A433</f>
        <v>EvalIncentive_kWh</v>
      </c>
      <c r="I49" t="s">
        <v>629</v>
      </c>
      <c r="S49" t="b">
        <f t="shared" si="1"/>
        <v>1</v>
      </c>
    </row>
    <row r="50" spans="1:19">
      <c r="A50" t="s">
        <v>734</v>
      </c>
      <c r="F50" s="7" t="s">
        <v>63</v>
      </c>
      <c r="H50" t="str">
        <f>map_gross!A434</f>
        <v>EvalIncentive_Therm</v>
      </c>
      <c r="I50" t="s">
        <v>629</v>
      </c>
      <c r="S50" t="b">
        <f t="shared" si="1"/>
        <v>1</v>
      </c>
    </row>
    <row r="51" spans="1:19">
      <c r="A51" t="s">
        <v>735</v>
      </c>
      <c r="F51" s="7" t="s">
        <v>63</v>
      </c>
      <c r="H51" t="str">
        <f>map_gross!A443</f>
        <v>Eval1stBaselineCost_kWh</v>
      </c>
      <c r="I51" t="s">
        <v>629</v>
      </c>
      <c r="S51" t="b">
        <f t="shared" si="1"/>
        <v>1</v>
      </c>
    </row>
    <row r="52" spans="1:19">
      <c r="A52" t="s">
        <v>736</v>
      </c>
      <c r="F52" s="7" t="s">
        <v>63</v>
      </c>
      <c r="H52" t="str">
        <f>map_gross!A444</f>
        <v>Eval1stBaselineCost_Therm</v>
      </c>
      <c r="I52" t="s">
        <v>629</v>
      </c>
      <c r="S52" t="b">
        <f t="shared" si="1"/>
        <v>1</v>
      </c>
    </row>
    <row r="53" spans="1:19">
      <c r="A53" t="s">
        <v>737</v>
      </c>
      <c r="F53" s="7" t="s">
        <v>63</v>
      </c>
      <c r="H53" t="str">
        <f>map_gross!A453</f>
        <v>Eval2ndBaselineCost_kWh</v>
      </c>
      <c r="I53" t="s">
        <v>629</v>
      </c>
      <c r="S53" t="b">
        <f t="shared" si="1"/>
        <v>1</v>
      </c>
    </row>
    <row r="54" spans="1:19">
      <c r="A54" t="s">
        <v>738</v>
      </c>
      <c r="F54" s="7" t="s">
        <v>63</v>
      </c>
      <c r="H54" t="str">
        <f>map_gross!A454</f>
        <v>Eval2ndBaselineCost_Therm</v>
      </c>
      <c r="I54" t="s">
        <v>629</v>
      </c>
      <c r="S54" t="b">
        <f t="shared" si="1"/>
        <v>1</v>
      </c>
    </row>
    <row r="55" spans="1:19">
      <c r="A55" t="s">
        <v>1630</v>
      </c>
      <c r="F55" s="7" t="s">
        <v>63</v>
      </c>
      <c r="H55" s="2" t="str">
        <f>map_gross!A406</f>
        <v>st_EvalNTGRkW</v>
      </c>
      <c r="I55" t="s">
        <v>673</v>
      </c>
      <c r="S55" t="b">
        <f t="shared" si="1"/>
        <v>1</v>
      </c>
    </row>
    <row r="56" spans="1:19">
      <c r="A56" t="s">
        <v>1631</v>
      </c>
      <c r="F56" s="7" t="s">
        <v>63</v>
      </c>
      <c r="H56" s="2" t="str">
        <f>map_gross!A407</f>
        <v>st_EvalNTGRkWh</v>
      </c>
      <c r="I56" t="s">
        <v>673</v>
      </c>
      <c r="S56" t="b">
        <f t="shared" si="1"/>
        <v>1</v>
      </c>
    </row>
    <row r="57" spans="1:19">
      <c r="A57" t="s">
        <v>1632</v>
      </c>
      <c r="F57" s="7" t="s">
        <v>63</v>
      </c>
      <c r="H57" s="2" t="str">
        <f>map_gross!A408</f>
        <v>st_EvalNTGRTherm</v>
      </c>
      <c r="I57" t="s">
        <v>673</v>
      </c>
      <c r="S57" t="b">
        <f t="shared" si="1"/>
        <v>1</v>
      </c>
    </row>
    <row r="58" spans="1:19">
      <c r="A58" t="s">
        <v>1636</v>
      </c>
      <c r="F58" s="7" t="s">
        <v>63</v>
      </c>
      <c r="H58" s="2" t="str">
        <f>map_gross!A75</f>
        <v>ExAnte_Annualized_kW</v>
      </c>
      <c r="I58" t="s">
        <v>629</v>
      </c>
      <c r="S58" t="b">
        <f t="shared" si="1"/>
        <v>1</v>
      </c>
    </row>
    <row r="59" spans="1:19">
      <c r="A59" t="s">
        <v>1637</v>
      </c>
      <c r="F59" s="7" t="s">
        <v>63</v>
      </c>
      <c r="H59" s="2" t="str">
        <f>map_gross!A76</f>
        <v>ExAnte_Annualized_kWh</v>
      </c>
      <c r="I59" t="s">
        <v>629</v>
      </c>
      <c r="S59" t="b">
        <f t="shared" si="1"/>
        <v>1</v>
      </c>
    </row>
    <row r="60" spans="1:19">
      <c r="A60" t="s">
        <v>1638</v>
      </c>
      <c r="F60" s="7" t="s">
        <v>63</v>
      </c>
      <c r="H60" s="2" t="str">
        <f>map_gross!A77</f>
        <v>ExAnte_Annualized_thm</v>
      </c>
      <c r="I60" t="s">
        <v>629</v>
      </c>
      <c r="S60" t="b">
        <f t="shared" si="1"/>
        <v>1</v>
      </c>
    </row>
    <row r="61" spans="1:19">
      <c r="A61" t="s">
        <v>1633</v>
      </c>
      <c r="F61" s="7" t="s">
        <v>63</v>
      </c>
      <c r="H61" s="2" t="str">
        <f>map_gross!A66</f>
        <v>ExAnte_LifeCycleGross_NoRR_kW</v>
      </c>
      <c r="I61" t="s">
        <v>629</v>
      </c>
      <c r="S61" t="b">
        <f t="shared" si="1"/>
        <v>1</v>
      </c>
    </row>
    <row r="62" spans="1:19">
      <c r="A62" t="s">
        <v>1634</v>
      </c>
      <c r="F62" s="7" t="s">
        <v>63</v>
      </c>
      <c r="H62" s="2" t="str">
        <f>map_gross!A67</f>
        <v>ExAnte_LifeCycleGross_NoRR_kWh</v>
      </c>
      <c r="I62" t="s">
        <v>629</v>
      </c>
      <c r="S62" t="b">
        <f t="shared" si="1"/>
        <v>1</v>
      </c>
    </row>
    <row r="63" spans="1:19">
      <c r="A63" t="s">
        <v>1635</v>
      </c>
      <c r="F63" s="7" t="s">
        <v>63</v>
      </c>
      <c r="H63" s="2" t="str">
        <f>map_gross!A68</f>
        <v>ExAnte_LifeCycleGross_NoRR_thm</v>
      </c>
      <c r="I63" t="s">
        <v>629</v>
      </c>
      <c r="S63" t="b">
        <f t="shared" si="1"/>
        <v>1</v>
      </c>
    </row>
    <row r="64" spans="1:19">
      <c r="A64" t="s">
        <v>1730</v>
      </c>
      <c r="F64" s="7" t="s">
        <v>63</v>
      </c>
      <c r="H64" t="str">
        <f>map_gross!A467</f>
        <v>NetContacted</v>
      </c>
      <c r="I64" t="s">
        <v>673</v>
      </c>
      <c r="S64" t="b">
        <f t="shared" si="1"/>
        <v>1</v>
      </c>
    </row>
    <row r="65" spans="1:20">
      <c r="A65" s="7" t="s">
        <v>180</v>
      </c>
      <c r="B65" s="7"/>
      <c r="F65" s="7" t="s">
        <v>63</v>
      </c>
      <c r="H65" t="str">
        <f>map_gross!A154</f>
        <v>SBW_ProjID</v>
      </c>
      <c r="I65" t="s">
        <v>673</v>
      </c>
      <c r="S65" t="b">
        <f>IF(NOT(ISBLANK(A65)), LEN(_xlfn.CONCAT(B65:R65))&gt;0, "")</f>
        <v>1</v>
      </c>
    </row>
    <row r="66" spans="1:20">
      <c r="A66" t="s">
        <v>42</v>
      </c>
      <c r="F66" s="7" t="s">
        <v>63</v>
      </c>
      <c r="H66" t="str">
        <f>map_gross!A27</f>
        <v>NTGRkW</v>
      </c>
      <c r="I66" s="3" t="s">
        <v>673</v>
      </c>
      <c r="S66" t="b">
        <f t="shared" si="1"/>
        <v>1</v>
      </c>
    </row>
    <row r="67" spans="1:20">
      <c r="A67" t="s">
        <v>43</v>
      </c>
      <c r="F67" s="7" t="s">
        <v>63</v>
      </c>
      <c r="H67" t="str">
        <f>map_gross!A28</f>
        <v>NTGRkWh</v>
      </c>
      <c r="I67" s="3" t="s">
        <v>673</v>
      </c>
      <c r="S67" t="b">
        <f t="shared" si="1"/>
        <v>1</v>
      </c>
    </row>
    <row r="68" spans="1:20">
      <c r="A68" t="s">
        <v>44</v>
      </c>
      <c r="F68" s="7" t="s">
        <v>63</v>
      </c>
      <c r="H68" t="str">
        <f>map_gross!A29</f>
        <v>NTGRTherm</v>
      </c>
      <c r="I68" s="3" t="s">
        <v>673</v>
      </c>
      <c r="S68" t="b">
        <f t="shared" si="1"/>
        <v>1</v>
      </c>
    </row>
    <row r="69" spans="1:20">
      <c r="A69" t="s">
        <v>112</v>
      </c>
      <c r="F69" s="7" t="s">
        <v>63</v>
      </c>
      <c r="H69" t="str">
        <f>map_gross!A35</f>
        <v>TotalFirstYearNetkW</v>
      </c>
      <c r="I69" s="3" t="s">
        <v>629</v>
      </c>
      <c r="S69" t="b">
        <f t="shared" si="1"/>
        <v>1</v>
      </c>
    </row>
    <row r="70" spans="1:20">
      <c r="A70" t="s">
        <v>113</v>
      </c>
      <c r="F70" s="7" t="s">
        <v>63</v>
      </c>
      <c r="H70" t="str">
        <f>map_gross!A36</f>
        <v>TotalFirstYearNetkWh</v>
      </c>
      <c r="I70" s="3" t="s">
        <v>629</v>
      </c>
      <c r="S70" t="b">
        <f t="shared" si="1"/>
        <v>1</v>
      </c>
    </row>
    <row r="71" spans="1:20">
      <c r="A71" t="s">
        <v>114</v>
      </c>
      <c r="F71" s="7" t="s">
        <v>63</v>
      </c>
      <c r="H71" t="str">
        <f>map_gross!A37</f>
        <v>TotalFirstYearNetTherm</v>
      </c>
      <c r="I71" s="3" t="s">
        <v>629</v>
      </c>
      <c r="S71" t="b">
        <f t="shared" si="1"/>
        <v>1</v>
      </c>
    </row>
    <row r="72" spans="1:20">
      <c r="A72" t="s">
        <v>1879</v>
      </c>
      <c r="F72" s="7" t="s">
        <v>63</v>
      </c>
      <c r="H72" t="str">
        <f>map_gross!A353</f>
        <v>prj_annualized_rr_kw</v>
      </c>
      <c r="I72" s="3" t="s">
        <v>673</v>
      </c>
      <c r="S72" t="b">
        <f t="shared" si="1"/>
        <v>1</v>
      </c>
      <c r="T72">
        <v>3</v>
      </c>
    </row>
    <row r="73" spans="1:20">
      <c r="A73" t="s">
        <v>1881</v>
      </c>
      <c r="F73" s="7" t="s">
        <v>63</v>
      </c>
      <c r="H73" t="str">
        <f>map_gross!A354</f>
        <v>prj_annualized_rr_kwh</v>
      </c>
      <c r="I73" s="3" t="s">
        <v>673</v>
      </c>
      <c r="S73" t="b">
        <f t="shared" si="1"/>
        <v>1</v>
      </c>
      <c r="T73">
        <v>3</v>
      </c>
    </row>
    <row r="74" spans="1:20">
      <c r="A74" t="s">
        <v>1880</v>
      </c>
      <c r="F74" s="7" t="s">
        <v>63</v>
      </c>
      <c r="H74" t="str">
        <f>map_gross!A355</f>
        <v>prj_annualized_rr_thm</v>
      </c>
      <c r="I74" s="3" t="s">
        <v>673</v>
      </c>
      <c r="S74" t="b">
        <f t="shared" si="1"/>
        <v>1</v>
      </c>
      <c r="T74">
        <v>3</v>
      </c>
    </row>
    <row r="75" spans="1:20">
      <c r="A75" t="s">
        <v>644</v>
      </c>
      <c r="F75" s="7" t="s">
        <v>63</v>
      </c>
      <c r="H75" t="str">
        <f>map_gross!A338</f>
        <v>ss_wtd_EvalLifeCycleNTGRkW</v>
      </c>
      <c r="I75" s="3" t="s">
        <v>673</v>
      </c>
      <c r="S75" t="b">
        <f t="shared" si="1"/>
        <v>1</v>
      </c>
    </row>
    <row r="76" spans="1:20">
      <c r="A76" t="s">
        <v>645</v>
      </c>
      <c r="F76" s="7" t="s">
        <v>63</v>
      </c>
      <c r="H76" t="str">
        <f>map_gross!A339</f>
        <v>ss_wtd_EvalLifeCycleNTGRkWh</v>
      </c>
      <c r="I76" s="3" t="s">
        <v>673</v>
      </c>
      <c r="S76" t="b">
        <f t="shared" si="1"/>
        <v>1</v>
      </c>
    </row>
    <row r="77" spans="1:20">
      <c r="A77" t="s">
        <v>646</v>
      </c>
      <c r="F77" s="7" t="s">
        <v>63</v>
      </c>
      <c r="H77" t="str">
        <f>map_gross!A340</f>
        <v>ss_wtd_EvalLifeCycleNTGRthm</v>
      </c>
      <c r="I77" s="3" t="s">
        <v>673</v>
      </c>
      <c r="S77" t="b">
        <f t="shared" si="1"/>
        <v>1</v>
      </c>
    </row>
    <row r="78" spans="1:20">
      <c r="A78" t="s">
        <v>1654</v>
      </c>
      <c r="F78" s="7" t="s">
        <v>63</v>
      </c>
      <c r="H78" t="str">
        <f>map_gross!A84</f>
        <v>ExAnte_Annualized_Net_NoRR_kW</v>
      </c>
      <c r="I78" s="3" t="s">
        <v>629</v>
      </c>
      <c r="S78" t="b">
        <f t="shared" si="1"/>
        <v>1</v>
      </c>
    </row>
    <row r="79" spans="1:20">
      <c r="A79" t="s">
        <v>1656</v>
      </c>
      <c r="F79" s="7" t="s">
        <v>63</v>
      </c>
      <c r="H79" t="str">
        <f>map_gross!A85</f>
        <v>ExAnte_Annualized_Net_NoRR_kWh</v>
      </c>
      <c r="I79" s="3" t="s">
        <v>629</v>
      </c>
      <c r="S79" t="b">
        <f t="shared" si="1"/>
        <v>1</v>
      </c>
    </row>
    <row r="80" spans="1:20">
      <c r="A80" t="s">
        <v>1655</v>
      </c>
      <c r="F80" s="7" t="s">
        <v>63</v>
      </c>
      <c r="H80" t="str">
        <f>map_gross!A86</f>
        <v>ExAnte_Annualized_Net_NoRR_thm</v>
      </c>
      <c r="I80" s="3" t="s">
        <v>629</v>
      </c>
      <c r="S80" t="b">
        <f t="shared" si="1"/>
        <v>1</v>
      </c>
    </row>
    <row r="81" spans="1:19">
      <c r="A81" t="s">
        <v>1882</v>
      </c>
      <c r="F81" s="7" t="s">
        <v>63</v>
      </c>
      <c r="H81" t="str">
        <f>map_gross!A371</f>
        <v>prj_lifecyclegross_rr_kw</v>
      </c>
      <c r="I81" s="3" t="s">
        <v>673</v>
      </c>
      <c r="S81" t="b">
        <f t="shared" si="1"/>
        <v>1</v>
      </c>
    </row>
    <row r="82" spans="1:19">
      <c r="A82" t="s">
        <v>1883</v>
      </c>
      <c r="F82" s="7" t="s">
        <v>63</v>
      </c>
      <c r="H82" t="str">
        <f>map_gross!A372</f>
        <v>prj_lifecyclegross_rr_kwh</v>
      </c>
      <c r="I82" s="3" t="s">
        <v>673</v>
      </c>
      <c r="S82" t="b">
        <f t="shared" si="1"/>
        <v>1</v>
      </c>
    </row>
    <row r="83" spans="1:19">
      <c r="A83" t="s">
        <v>1884</v>
      </c>
      <c r="F83" s="7" t="s">
        <v>63</v>
      </c>
      <c r="H83" t="str">
        <f>map_gross!A373</f>
        <v>prj_lifecyclegross_rr_thm</v>
      </c>
      <c r="I83" s="3" t="s">
        <v>673</v>
      </c>
      <c r="S83" t="b">
        <f t="shared" si="1"/>
        <v>1</v>
      </c>
    </row>
    <row r="84" spans="1:19">
      <c r="A84" t="s">
        <v>1765</v>
      </c>
      <c r="F84" s="7" t="s">
        <v>63</v>
      </c>
      <c r="H84" t="str">
        <f>map_gross!A523</f>
        <v>Claim_AR_ExAnte_LifeCyclenet_NoRR_kwh</v>
      </c>
      <c r="I84" s="3" t="s">
        <v>629</v>
      </c>
      <c r="S84" t="b">
        <f t="shared" si="1"/>
        <v>1</v>
      </c>
    </row>
    <row r="85" spans="1:19">
      <c r="A85" t="s">
        <v>1766</v>
      </c>
      <c r="F85" s="7" t="s">
        <v>63</v>
      </c>
      <c r="H85" t="str">
        <f>map_gross!A529</f>
        <v>ss_AR_ExPost_LifeCycleGross_NoRR_kwh</v>
      </c>
      <c r="I85" s="3" t="s">
        <v>629</v>
      </c>
      <c r="S85" t="b">
        <f t="shared" si="1"/>
        <v>1</v>
      </c>
    </row>
    <row r="86" spans="1:19">
      <c r="A86" t="s">
        <v>1657</v>
      </c>
      <c r="F86" s="7" t="s">
        <v>63</v>
      </c>
      <c r="H86" t="str">
        <f>map_gross!A69</f>
        <v>ExAnte_LifeCycleNet_NoRR_kW</v>
      </c>
      <c r="I86" s="3" t="s">
        <v>629</v>
      </c>
      <c r="S86" t="b">
        <f t="shared" si="1"/>
        <v>1</v>
      </c>
    </row>
    <row r="87" spans="1:19">
      <c r="A87" t="s">
        <v>1658</v>
      </c>
      <c r="F87" s="7" t="s">
        <v>63</v>
      </c>
      <c r="H87" t="str">
        <f>map_gross!A70</f>
        <v>ExAnte_LifeCycleNet_NoRR_kWh</v>
      </c>
      <c r="I87" s="3" t="s">
        <v>629</v>
      </c>
      <c r="S87" t="b">
        <f t="shared" si="1"/>
        <v>1</v>
      </c>
    </row>
    <row r="88" spans="1:19">
      <c r="A88" t="s">
        <v>1659</v>
      </c>
      <c r="F88" s="7" t="s">
        <v>63</v>
      </c>
      <c r="H88" t="str">
        <f>map_gross!A71</f>
        <v>ExAnte_LifeCycleNet_NoRR_thm</v>
      </c>
      <c r="I88" s="3" t="s">
        <v>629</v>
      </c>
      <c r="S88" t="b">
        <f t="shared" si="1"/>
        <v>1</v>
      </c>
    </row>
    <row r="89" spans="1:19">
      <c r="A89" t="s">
        <v>2623</v>
      </c>
      <c r="F89" s="7" t="s">
        <v>63</v>
      </c>
      <c r="H89" t="str">
        <f>map_gross!A70 &amp; ", " &amp; map_clm!A600</f>
        <v>ExAnte_LifeCycleNet_NoRR_kWh, State_ExAnte_LifeCycle_Net_NoRR_kwh</v>
      </c>
      <c r="I89" s="3" t="s">
        <v>650</v>
      </c>
      <c r="J89" t="s">
        <v>627</v>
      </c>
      <c r="S89" t="b">
        <f t="shared" si="1"/>
        <v>1</v>
      </c>
    </row>
    <row r="90" spans="1:19">
      <c r="A90" t="s">
        <v>2624</v>
      </c>
      <c r="F90" s="7" t="s">
        <v>63</v>
      </c>
      <c r="H90" t="str">
        <f>map_gross!A71 &amp; ", " &amp; map_clm!A601</f>
        <v>ExAnte_LifeCycleNet_NoRR_thm, State_ExAnte_LifeCycle_Net_NoRR_thm</v>
      </c>
      <c r="I90" s="3" t="s">
        <v>650</v>
      </c>
      <c r="J90" t="s">
        <v>627</v>
      </c>
      <c r="S90" t="b">
        <f t="shared" si="1"/>
        <v>1</v>
      </c>
    </row>
    <row r="91" spans="1:19">
      <c r="S91" t="str">
        <f t="shared" si="1"/>
        <v/>
      </c>
    </row>
    <row r="92" spans="1:19">
      <c r="S92" t="str">
        <f t="shared" si="1"/>
        <v/>
      </c>
    </row>
    <row r="93" spans="1:19">
      <c r="S93" t="str">
        <f t="shared" si="1"/>
        <v/>
      </c>
    </row>
    <row r="94" spans="1:19">
      <c r="S94" t="str">
        <f t="shared" si="1"/>
        <v/>
      </c>
    </row>
    <row r="95" spans="1:19">
      <c r="S95" t="str">
        <f t="shared" si="1"/>
        <v/>
      </c>
    </row>
    <row r="96" spans="1:19">
      <c r="S96" t="str">
        <f t="shared" si="1"/>
        <v/>
      </c>
    </row>
    <row r="97" spans="19:19">
      <c r="S97" t="str">
        <f t="shared" si="1"/>
        <v/>
      </c>
    </row>
    <row r="98" spans="19:19">
      <c r="S98" t="str">
        <f t="shared" si="1"/>
        <v/>
      </c>
    </row>
    <row r="99" spans="19:19">
      <c r="S99" t="str">
        <f t="shared" si="1"/>
        <v/>
      </c>
    </row>
    <row r="100" spans="19:19">
      <c r="S100" t="str">
        <f t="shared" si="1"/>
        <v/>
      </c>
    </row>
    <row r="101" spans="19:19">
      <c r="S101" t="str">
        <f t="shared" si="1"/>
        <v/>
      </c>
    </row>
    <row r="102" spans="19:19">
      <c r="S102" t="str">
        <f t="shared" si="1"/>
        <v/>
      </c>
    </row>
    <row r="103" spans="19:19">
      <c r="S103" t="str">
        <f t="shared" si="1"/>
        <v/>
      </c>
    </row>
    <row r="104" spans="19:19">
      <c r="S104" t="str">
        <f t="shared" si="1"/>
        <v/>
      </c>
    </row>
    <row r="105" spans="19:19">
      <c r="S105" t="str">
        <f t="shared" si="1"/>
        <v/>
      </c>
    </row>
    <row r="106" spans="19:19">
      <c r="S106" t="str">
        <f t="shared" si="1"/>
        <v/>
      </c>
    </row>
    <row r="107" spans="19:19">
      <c r="S107" t="str">
        <f t="shared" ref="S107:S170" si="2">IF(NOT(ISBLANK(A107)), LEN(_xlfn.CONCAT(B107:R107))&gt;0, "")</f>
        <v/>
      </c>
    </row>
    <row r="108" spans="19:19">
      <c r="S108" t="str">
        <f t="shared" si="2"/>
        <v/>
      </c>
    </row>
    <row r="109" spans="19:19">
      <c r="S109" t="str">
        <f t="shared" si="2"/>
        <v/>
      </c>
    </row>
    <row r="110" spans="19:19">
      <c r="S110" t="str">
        <f t="shared" si="2"/>
        <v/>
      </c>
    </row>
    <row r="111" spans="19:19">
      <c r="S111" t="str">
        <f t="shared" si="2"/>
        <v/>
      </c>
    </row>
    <row r="112" spans="19:19">
      <c r="S112" t="str">
        <f t="shared" si="2"/>
        <v/>
      </c>
    </row>
    <row r="113" spans="19:19">
      <c r="S113" t="str">
        <f t="shared" si="2"/>
        <v/>
      </c>
    </row>
    <row r="114" spans="19:19">
      <c r="S114" t="str">
        <f t="shared" si="2"/>
        <v/>
      </c>
    </row>
    <row r="115" spans="19:19">
      <c r="S115" t="str">
        <f t="shared" si="2"/>
        <v/>
      </c>
    </row>
    <row r="116" spans="19:19">
      <c r="S116" t="str">
        <f t="shared" si="2"/>
        <v/>
      </c>
    </row>
    <row r="117" spans="19:19">
      <c r="S117" t="str">
        <f t="shared" si="2"/>
        <v/>
      </c>
    </row>
    <row r="118" spans="19:19">
      <c r="S118" t="str">
        <f t="shared" si="2"/>
        <v/>
      </c>
    </row>
    <row r="119" spans="19:19">
      <c r="S119" t="str">
        <f t="shared" si="2"/>
        <v/>
      </c>
    </row>
    <row r="120" spans="19:19">
      <c r="S120" t="str">
        <f t="shared" si="2"/>
        <v/>
      </c>
    </row>
    <row r="121" spans="19:19">
      <c r="S121" t="str">
        <f t="shared" si="2"/>
        <v/>
      </c>
    </row>
    <row r="122" spans="19:19">
      <c r="S122" t="str">
        <f t="shared" si="2"/>
        <v/>
      </c>
    </row>
    <row r="123" spans="19:19">
      <c r="S123" t="str">
        <f t="shared" si="2"/>
        <v/>
      </c>
    </row>
    <row r="124" spans="19:19">
      <c r="S124" t="str">
        <f t="shared" si="2"/>
        <v/>
      </c>
    </row>
    <row r="125" spans="19:19">
      <c r="S125" t="str">
        <f t="shared" si="2"/>
        <v/>
      </c>
    </row>
    <row r="126" spans="19:19">
      <c r="S126" t="str">
        <f t="shared" si="2"/>
        <v/>
      </c>
    </row>
    <row r="127" spans="19:19">
      <c r="S127" t="str">
        <f t="shared" si="2"/>
        <v/>
      </c>
    </row>
    <row r="128" spans="19:19">
      <c r="S128" t="str">
        <f t="shared" si="2"/>
        <v/>
      </c>
    </row>
    <row r="129" spans="19:19">
      <c r="S129" t="str">
        <f t="shared" si="2"/>
        <v/>
      </c>
    </row>
    <row r="130" spans="19:19">
      <c r="S130" t="str">
        <f t="shared" si="2"/>
        <v/>
      </c>
    </row>
    <row r="131" spans="19:19">
      <c r="S131" t="str">
        <f t="shared" si="2"/>
        <v/>
      </c>
    </row>
    <row r="132" spans="19:19">
      <c r="S132" t="str">
        <f t="shared" si="2"/>
        <v/>
      </c>
    </row>
    <row r="133" spans="19:19">
      <c r="S133" t="str">
        <f t="shared" si="2"/>
        <v/>
      </c>
    </row>
    <row r="134" spans="19:19">
      <c r="S134" t="str">
        <f t="shared" si="2"/>
        <v/>
      </c>
    </row>
    <row r="135" spans="19:19">
      <c r="S135" t="str">
        <f t="shared" si="2"/>
        <v/>
      </c>
    </row>
    <row r="136" spans="19:19">
      <c r="S136" t="str">
        <f t="shared" si="2"/>
        <v/>
      </c>
    </row>
    <row r="137" spans="19:19">
      <c r="S137" t="str">
        <f t="shared" si="2"/>
        <v/>
      </c>
    </row>
    <row r="138" spans="19:19">
      <c r="S138" t="str">
        <f t="shared" si="2"/>
        <v/>
      </c>
    </row>
    <row r="139" spans="19:19">
      <c r="S139" t="str">
        <f t="shared" si="2"/>
        <v/>
      </c>
    </row>
    <row r="140" spans="19:19">
      <c r="S140" t="str">
        <f t="shared" si="2"/>
        <v/>
      </c>
    </row>
    <row r="141" spans="19:19">
      <c r="S141" t="str">
        <f t="shared" si="2"/>
        <v/>
      </c>
    </row>
    <row r="142" spans="19:19">
      <c r="S142" t="str">
        <f t="shared" si="2"/>
        <v/>
      </c>
    </row>
    <row r="143" spans="19:19">
      <c r="S143" t="str">
        <f t="shared" si="2"/>
        <v/>
      </c>
    </row>
    <row r="144" spans="19:19">
      <c r="S144" t="str">
        <f t="shared" si="2"/>
        <v/>
      </c>
    </row>
    <row r="145" spans="19:19">
      <c r="S145" t="str">
        <f t="shared" si="2"/>
        <v/>
      </c>
    </row>
    <row r="146" spans="19:19">
      <c r="S146" t="str">
        <f t="shared" si="2"/>
        <v/>
      </c>
    </row>
    <row r="147" spans="19:19">
      <c r="S147" t="str">
        <f t="shared" si="2"/>
        <v/>
      </c>
    </row>
    <row r="148" spans="19:19">
      <c r="S148" t="str">
        <f t="shared" si="2"/>
        <v/>
      </c>
    </row>
    <row r="149" spans="19:19">
      <c r="S149" t="str">
        <f t="shared" si="2"/>
        <v/>
      </c>
    </row>
    <row r="150" spans="19:19">
      <c r="S150" t="str">
        <f t="shared" si="2"/>
        <v/>
      </c>
    </row>
    <row r="151" spans="19:19">
      <c r="S151" t="str">
        <f t="shared" si="2"/>
        <v/>
      </c>
    </row>
    <row r="152" spans="19:19">
      <c r="S152" t="str">
        <f t="shared" si="2"/>
        <v/>
      </c>
    </row>
    <row r="153" spans="19:19">
      <c r="S153" t="str">
        <f t="shared" si="2"/>
        <v/>
      </c>
    </row>
    <row r="154" spans="19:19">
      <c r="S154" t="str">
        <f t="shared" si="2"/>
        <v/>
      </c>
    </row>
    <row r="155" spans="19:19">
      <c r="S155" t="str">
        <f t="shared" si="2"/>
        <v/>
      </c>
    </row>
    <row r="156" spans="19:19">
      <c r="S156" t="str">
        <f t="shared" si="2"/>
        <v/>
      </c>
    </row>
    <row r="157" spans="19:19">
      <c r="S157" t="str">
        <f t="shared" si="2"/>
        <v/>
      </c>
    </row>
    <row r="158" spans="19:19">
      <c r="S158" t="str">
        <f t="shared" si="2"/>
        <v/>
      </c>
    </row>
    <row r="159" spans="19:19">
      <c r="S159" t="str">
        <f t="shared" si="2"/>
        <v/>
      </c>
    </row>
    <row r="160" spans="19:19">
      <c r="S160" t="str">
        <f t="shared" si="2"/>
        <v/>
      </c>
    </row>
    <row r="161" spans="19:19">
      <c r="S161" t="str">
        <f t="shared" si="2"/>
        <v/>
      </c>
    </row>
    <row r="162" spans="19:19">
      <c r="S162" t="str">
        <f t="shared" si="2"/>
        <v/>
      </c>
    </row>
    <row r="163" spans="19:19">
      <c r="S163" t="str">
        <f t="shared" si="2"/>
        <v/>
      </c>
    </row>
    <row r="164" spans="19:19">
      <c r="S164" t="str">
        <f t="shared" si="2"/>
        <v/>
      </c>
    </row>
    <row r="165" spans="19:19">
      <c r="S165" t="str">
        <f t="shared" si="2"/>
        <v/>
      </c>
    </row>
    <row r="166" spans="19:19">
      <c r="S166" t="str">
        <f t="shared" si="2"/>
        <v/>
      </c>
    </row>
    <row r="167" spans="19:19">
      <c r="S167" t="str">
        <f t="shared" si="2"/>
        <v/>
      </c>
    </row>
    <row r="168" spans="19:19">
      <c r="S168" t="str">
        <f t="shared" si="2"/>
        <v/>
      </c>
    </row>
    <row r="169" spans="19:19">
      <c r="S169" t="str">
        <f t="shared" si="2"/>
        <v/>
      </c>
    </row>
    <row r="170" spans="19:19">
      <c r="S170" t="str">
        <f t="shared" si="2"/>
        <v/>
      </c>
    </row>
    <row r="171" spans="19:19">
      <c r="S171" t="str">
        <f t="shared" ref="S171:S234" si="3">IF(NOT(ISBLANK(A171)), LEN(_xlfn.CONCAT(B171:R171))&gt;0, "")</f>
        <v/>
      </c>
    </row>
    <row r="172" spans="19:19">
      <c r="S172" t="str">
        <f t="shared" si="3"/>
        <v/>
      </c>
    </row>
    <row r="173" spans="19:19">
      <c r="S173" t="str">
        <f t="shared" si="3"/>
        <v/>
      </c>
    </row>
    <row r="174" spans="19:19">
      <c r="S174" t="str">
        <f t="shared" si="3"/>
        <v/>
      </c>
    </row>
    <row r="175" spans="19:19">
      <c r="S175" t="str">
        <f t="shared" si="3"/>
        <v/>
      </c>
    </row>
    <row r="176" spans="19:19">
      <c r="S176" t="str">
        <f t="shared" si="3"/>
        <v/>
      </c>
    </row>
    <row r="177" spans="19:19">
      <c r="S177" t="str">
        <f t="shared" si="3"/>
        <v/>
      </c>
    </row>
    <row r="178" spans="19:19">
      <c r="S178" t="str">
        <f t="shared" si="3"/>
        <v/>
      </c>
    </row>
    <row r="179" spans="19:19">
      <c r="S179" t="str">
        <f t="shared" si="3"/>
        <v/>
      </c>
    </row>
    <row r="180" spans="19:19">
      <c r="S180" t="str">
        <f t="shared" si="3"/>
        <v/>
      </c>
    </row>
    <row r="181" spans="19:19">
      <c r="S181" t="str">
        <f t="shared" si="3"/>
        <v/>
      </c>
    </row>
    <row r="182" spans="19:19">
      <c r="S182" t="str">
        <f t="shared" si="3"/>
        <v/>
      </c>
    </row>
    <row r="183" spans="19:19">
      <c r="S183" t="str">
        <f t="shared" si="3"/>
        <v/>
      </c>
    </row>
    <row r="184" spans="19:19">
      <c r="S184" t="str">
        <f t="shared" si="3"/>
        <v/>
      </c>
    </row>
    <row r="185" spans="19:19">
      <c r="S185" t="str">
        <f t="shared" si="3"/>
        <v/>
      </c>
    </row>
    <row r="186" spans="19:19">
      <c r="S186" t="str">
        <f t="shared" si="3"/>
        <v/>
      </c>
    </row>
    <row r="187" spans="19:19">
      <c r="S187" t="str">
        <f t="shared" si="3"/>
        <v/>
      </c>
    </row>
    <row r="188" spans="19:19">
      <c r="S188" t="str">
        <f t="shared" si="3"/>
        <v/>
      </c>
    </row>
    <row r="189" spans="19:19">
      <c r="S189" t="str">
        <f t="shared" si="3"/>
        <v/>
      </c>
    </row>
    <row r="190" spans="19:19">
      <c r="S190" t="str">
        <f t="shared" si="3"/>
        <v/>
      </c>
    </row>
    <row r="191" spans="19:19">
      <c r="S191" t="str">
        <f t="shared" si="3"/>
        <v/>
      </c>
    </row>
    <row r="192" spans="19:19">
      <c r="S192" t="str">
        <f t="shared" si="3"/>
        <v/>
      </c>
    </row>
    <row r="193" spans="19:19">
      <c r="S193" t="str">
        <f t="shared" si="3"/>
        <v/>
      </c>
    </row>
    <row r="194" spans="19:19">
      <c r="S194" t="str">
        <f t="shared" si="3"/>
        <v/>
      </c>
    </row>
    <row r="195" spans="19:19">
      <c r="S195" t="str">
        <f t="shared" si="3"/>
        <v/>
      </c>
    </row>
    <row r="196" spans="19:19">
      <c r="S196" t="str">
        <f t="shared" si="3"/>
        <v/>
      </c>
    </row>
    <row r="197" spans="19:19">
      <c r="S197" t="str">
        <f t="shared" si="3"/>
        <v/>
      </c>
    </row>
    <row r="198" spans="19:19">
      <c r="S198" t="str">
        <f t="shared" si="3"/>
        <v/>
      </c>
    </row>
    <row r="199" spans="19:19">
      <c r="S199" t="str">
        <f t="shared" si="3"/>
        <v/>
      </c>
    </row>
    <row r="200" spans="19:19">
      <c r="S200" t="str">
        <f t="shared" si="3"/>
        <v/>
      </c>
    </row>
    <row r="201" spans="19:19">
      <c r="S201" t="str">
        <f t="shared" si="3"/>
        <v/>
      </c>
    </row>
    <row r="202" spans="19:19">
      <c r="S202" t="str">
        <f t="shared" si="3"/>
        <v/>
      </c>
    </row>
    <row r="203" spans="19:19">
      <c r="S203" t="str">
        <f t="shared" si="3"/>
        <v/>
      </c>
    </row>
    <row r="204" spans="19:19">
      <c r="S204" t="str">
        <f t="shared" si="3"/>
        <v/>
      </c>
    </row>
    <row r="205" spans="19:19">
      <c r="S205" t="str">
        <f t="shared" si="3"/>
        <v/>
      </c>
    </row>
    <row r="206" spans="19:19">
      <c r="S206" t="str">
        <f t="shared" si="3"/>
        <v/>
      </c>
    </row>
    <row r="207" spans="19:19">
      <c r="S207" t="str">
        <f t="shared" si="3"/>
        <v/>
      </c>
    </row>
    <row r="208" spans="19:19">
      <c r="S208" t="str">
        <f t="shared" si="3"/>
        <v/>
      </c>
    </row>
    <row r="209" spans="19:19">
      <c r="S209" t="str">
        <f t="shared" si="3"/>
        <v/>
      </c>
    </row>
    <row r="210" spans="19:19">
      <c r="S210" t="str">
        <f t="shared" si="3"/>
        <v/>
      </c>
    </row>
    <row r="211" spans="19:19">
      <c r="S211" t="str">
        <f t="shared" si="3"/>
        <v/>
      </c>
    </row>
    <row r="212" spans="19:19">
      <c r="S212" t="str">
        <f t="shared" si="3"/>
        <v/>
      </c>
    </row>
    <row r="213" spans="19:19">
      <c r="S213" t="str">
        <f t="shared" si="3"/>
        <v/>
      </c>
    </row>
    <row r="214" spans="19:19">
      <c r="S214" t="str">
        <f t="shared" si="3"/>
        <v/>
      </c>
    </row>
    <row r="215" spans="19:19">
      <c r="S215" t="str">
        <f t="shared" si="3"/>
        <v/>
      </c>
    </row>
    <row r="216" spans="19:19">
      <c r="S216" t="str">
        <f t="shared" si="3"/>
        <v/>
      </c>
    </row>
    <row r="217" spans="19:19">
      <c r="S217" t="str">
        <f t="shared" si="3"/>
        <v/>
      </c>
    </row>
    <row r="218" spans="19:19">
      <c r="S218" t="str">
        <f t="shared" si="3"/>
        <v/>
      </c>
    </row>
    <row r="219" spans="19:19">
      <c r="S219" t="str">
        <f t="shared" si="3"/>
        <v/>
      </c>
    </row>
    <row r="220" spans="19:19">
      <c r="S220" t="str">
        <f t="shared" si="3"/>
        <v/>
      </c>
    </row>
    <row r="221" spans="19:19">
      <c r="S221" t="str">
        <f t="shared" si="3"/>
        <v/>
      </c>
    </row>
    <row r="222" spans="19:19">
      <c r="S222" t="str">
        <f t="shared" si="3"/>
        <v/>
      </c>
    </row>
    <row r="223" spans="19:19">
      <c r="S223" t="str">
        <f t="shared" si="3"/>
        <v/>
      </c>
    </row>
    <row r="224" spans="19:19">
      <c r="S224" t="str">
        <f t="shared" si="3"/>
        <v/>
      </c>
    </row>
    <row r="225" spans="19:19">
      <c r="S225" t="str">
        <f t="shared" si="3"/>
        <v/>
      </c>
    </row>
    <row r="226" spans="19:19">
      <c r="S226" t="str">
        <f t="shared" si="3"/>
        <v/>
      </c>
    </row>
    <row r="227" spans="19:19">
      <c r="S227" t="str">
        <f t="shared" si="3"/>
        <v/>
      </c>
    </row>
    <row r="228" spans="19:19">
      <c r="S228" t="str">
        <f t="shared" si="3"/>
        <v/>
      </c>
    </row>
    <row r="229" spans="19:19">
      <c r="S229" t="str">
        <f t="shared" si="3"/>
        <v/>
      </c>
    </row>
    <row r="230" spans="19:19">
      <c r="S230" t="str">
        <f t="shared" si="3"/>
        <v/>
      </c>
    </row>
    <row r="231" spans="19:19">
      <c r="S231" t="str">
        <f t="shared" si="3"/>
        <v/>
      </c>
    </row>
    <row r="232" spans="19:19">
      <c r="S232" t="str">
        <f t="shared" si="3"/>
        <v/>
      </c>
    </row>
    <row r="233" spans="19:19">
      <c r="S233" t="str">
        <f t="shared" si="3"/>
        <v/>
      </c>
    </row>
    <row r="234" spans="19:19">
      <c r="S234" t="str">
        <f t="shared" si="3"/>
        <v/>
      </c>
    </row>
    <row r="235" spans="19:19">
      <c r="S235" t="str">
        <f t="shared" ref="S235:S298" si="4">IF(NOT(ISBLANK(A235)), LEN(_xlfn.CONCAT(B235:R235))&gt;0, "")</f>
        <v/>
      </c>
    </row>
    <row r="236" spans="19:19">
      <c r="S236" t="str">
        <f t="shared" si="4"/>
        <v/>
      </c>
    </row>
    <row r="237" spans="19:19">
      <c r="S237" t="str">
        <f t="shared" si="4"/>
        <v/>
      </c>
    </row>
    <row r="238" spans="19:19">
      <c r="S238" t="str">
        <f t="shared" si="4"/>
        <v/>
      </c>
    </row>
    <row r="239" spans="19:19">
      <c r="S239" t="str">
        <f t="shared" si="4"/>
        <v/>
      </c>
    </row>
    <row r="240" spans="19:19">
      <c r="S240" t="str">
        <f t="shared" si="4"/>
        <v/>
      </c>
    </row>
    <row r="241" spans="19:19">
      <c r="S241" t="str">
        <f t="shared" si="4"/>
        <v/>
      </c>
    </row>
    <row r="242" spans="19:19">
      <c r="S242" t="str">
        <f t="shared" si="4"/>
        <v/>
      </c>
    </row>
    <row r="243" spans="19:19">
      <c r="S243" t="str">
        <f t="shared" si="4"/>
        <v/>
      </c>
    </row>
    <row r="244" spans="19:19">
      <c r="S244" t="str">
        <f t="shared" si="4"/>
        <v/>
      </c>
    </row>
    <row r="245" spans="19:19">
      <c r="S245" t="str">
        <f t="shared" si="4"/>
        <v/>
      </c>
    </row>
    <row r="246" spans="19:19">
      <c r="S246" t="str">
        <f t="shared" si="4"/>
        <v/>
      </c>
    </row>
    <row r="247" spans="19:19">
      <c r="S247" t="str">
        <f t="shared" si="4"/>
        <v/>
      </c>
    </row>
    <row r="248" spans="19:19">
      <c r="S248" t="str">
        <f t="shared" si="4"/>
        <v/>
      </c>
    </row>
    <row r="249" spans="19:19">
      <c r="S249" t="str">
        <f t="shared" si="4"/>
        <v/>
      </c>
    </row>
    <row r="250" spans="19:19">
      <c r="S250" t="str">
        <f t="shared" si="4"/>
        <v/>
      </c>
    </row>
    <row r="251" spans="19:19">
      <c r="S251" t="str">
        <f t="shared" si="4"/>
        <v/>
      </c>
    </row>
    <row r="252" spans="19:19">
      <c r="S252" t="str">
        <f t="shared" si="4"/>
        <v/>
      </c>
    </row>
    <row r="253" spans="19:19">
      <c r="S253" t="str">
        <f t="shared" si="4"/>
        <v/>
      </c>
    </row>
    <row r="254" spans="19:19">
      <c r="S254" t="str">
        <f t="shared" si="4"/>
        <v/>
      </c>
    </row>
    <row r="255" spans="19:19">
      <c r="S255" t="str">
        <f t="shared" si="4"/>
        <v/>
      </c>
    </row>
    <row r="256" spans="19:19">
      <c r="S256" t="str">
        <f t="shared" si="4"/>
        <v/>
      </c>
    </row>
    <row r="257" spans="19:19">
      <c r="S257" t="str">
        <f t="shared" si="4"/>
        <v/>
      </c>
    </row>
    <row r="258" spans="19:19">
      <c r="S258" t="str">
        <f t="shared" si="4"/>
        <v/>
      </c>
    </row>
    <row r="259" spans="19:19">
      <c r="S259" t="str">
        <f t="shared" si="4"/>
        <v/>
      </c>
    </row>
    <row r="260" spans="19:19">
      <c r="S260" t="str">
        <f t="shared" si="4"/>
        <v/>
      </c>
    </row>
    <row r="261" spans="19:19">
      <c r="S261" t="str">
        <f t="shared" si="4"/>
        <v/>
      </c>
    </row>
    <row r="262" spans="19:19">
      <c r="S262" t="str">
        <f t="shared" si="4"/>
        <v/>
      </c>
    </row>
    <row r="263" spans="19:19">
      <c r="S263" t="str">
        <f t="shared" si="4"/>
        <v/>
      </c>
    </row>
    <row r="264" spans="19:19">
      <c r="S264" t="str">
        <f t="shared" si="4"/>
        <v/>
      </c>
    </row>
    <row r="265" spans="19:19">
      <c r="S265" t="str">
        <f t="shared" si="4"/>
        <v/>
      </c>
    </row>
    <row r="266" spans="19:19">
      <c r="S266" t="str">
        <f t="shared" si="4"/>
        <v/>
      </c>
    </row>
    <row r="267" spans="19:19">
      <c r="S267" t="str">
        <f t="shared" si="4"/>
        <v/>
      </c>
    </row>
    <row r="268" spans="19:19">
      <c r="S268" t="str">
        <f t="shared" si="4"/>
        <v/>
      </c>
    </row>
    <row r="269" spans="19:19">
      <c r="S269" t="str">
        <f t="shared" si="4"/>
        <v/>
      </c>
    </row>
    <row r="270" spans="19:19">
      <c r="S270" t="str">
        <f t="shared" si="4"/>
        <v/>
      </c>
    </row>
    <row r="271" spans="19:19">
      <c r="S271" t="str">
        <f t="shared" si="4"/>
        <v/>
      </c>
    </row>
    <row r="272" spans="19:19">
      <c r="S272" t="str">
        <f t="shared" si="4"/>
        <v/>
      </c>
    </row>
    <row r="273" spans="19:19">
      <c r="S273" t="str">
        <f t="shared" si="4"/>
        <v/>
      </c>
    </row>
    <row r="274" spans="19:19">
      <c r="S274" t="str">
        <f t="shared" si="4"/>
        <v/>
      </c>
    </row>
    <row r="275" spans="19:19">
      <c r="S275" t="str">
        <f t="shared" si="4"/>
        <v/>
      </c>
    </row>
    <row r="276" spans="19:19">
      <c r="S276" t="str">
        <f t="shared" si="4"/>
        <v/>
      </c>
    </row>
    <row r="277" spans="19:19">
      <c r="S277" t="str">
        <f t="shared" si="4"/>
        <v/>
      </c>
    </row>
    <row r="278" spans="19:19">
      <c r="S278" t="str">
        <f t="shared" si="4"/>
        <v/>
      </c>
    </row>
    <row r="279" spans="19:19">
      <c r="S279" t="str">
        <f t="shared" si="4"/>
        <v/>
      </c>
    </row>
    <row r="280" spans="19:19">
      <c r="S280" t="str">
        <f t="shared" si="4"/>
        <v/>
      </c>
    </row>
    <row r="281" spans="19:19">
      <c r="S281" t="str">
        <f t="shared" si="4"/>
        <v/>
      </c>
    </row>
    <row r="282" spans="19:19">
      <c r="S282" t="str">
        <f t="shared" si="4"/>
        <v/>
      </c>
    </row>
    <row r="283" spans="19:19">
      <c r="S283" t="str">
        <f t="shared" si="4"/>
        <v/>
      </c>
    </row>
    <row r="284" spans="19:19">
      <c r="S284" t="str">
        <f t="shared" si="4"/>
        <v/>
      </c>
    </row>
    <row r="285" spans="19:19">
      <c r="S285" t="str">
        <f t="shared" si="4"/>
        <v/>
      </c>
    </row>
    <row r="286" spans="19:19">
      <c r="S286" t="str">
        <f t="shared" si="4"/>
        <v/>
      </c>
    </row>
    <row r="287" spans="19:19">
      <c r="S287" t="str">
        <f t="shared" si="4"/>
        <v/>
      </c>
    </row>
    <row r="288" spans="19:19">
      <c r="S288" t="str">
        <f t="shared" si="4"/>
        <v/>
      </c>
    </row>
    <row r="289" spans="19:19">
      <c r="S289" t="str">
        <f t="shared" si="4"/>
        <v/>
      </c>
    </row>
    <row r="290" spans="19:19">
      <c r="S290" t="str">
        <f t="shared" si="4"/>
        <v/>
      </c>
    </row>
    <row r="291" spans="19:19">
      <c r="S291" t="str">
        <f t="shared" si="4"/>
        <v/>
      </c>
    </row>
    <row r="292" spans="19:19">
      <c r="S292" t="str">
        <f t="shared" si="4"/>
        <v/>
      </c>
    </row>
    <row r="293" spans="19:19">
      <c r="S293" t="str">
        <f t="shared" si="4"/>
        <v/>
      </c>
    </row>
    <row r="294" spans="19:19">
      <c r="S294" t="str">
        <f t="shared" si="4"/>
        <v/>
      </c>
    </row>
    <row r="295" spans="19:19">
      <c r="S295" t="str">
        <f t="shared" si="4"/>
        <v/>
      </c>
    </row>
    <row r="296" spans="19:19">
      <c r="S296" t="str">
        <f t="shared" si="4"/>
        <v/>
      </c>
    </row>
    <row r="297" spans="19:19">
      <c r="S297" t="str">
        <f t="shared" si="4"/>
        <v/>
      </c>
    </row>
    <row r="298" spans="19:19">
      <c r="S298" t="str">
        <f t="shared" si="4"/>
        <v/>
      </c>
    </row>
    <row r="299" spans="19:19">
      <c r="S299" t="str">
        <f t="shared" ref="S299:S331" si="5">IF(NOT(ISBLANK(A299)), LEN(_xlfn.CONCAT(B299:R299))&gt;0, "")</f>
        <v/>
      </c>
    </row>
    <row r="300" spans="19:19">
      <c r="S300" t="str">
        <f t="shared" si="5"/>
        <v/>
      </c>
    </row>
    <row r="301" spans="19:19">
      <c r="S301" t="str">
        <f t="shared" si="5"/>
        <v/>
      </c>
    </row>
    <row r="302" spans="19:19">
      <c r="S302" t="str">
        <f t="shared" si="5"/>
        <v/>
      </c>
    </row>
    <row r="303" spans="19:19">
      <c r="S303" t="str">
        <f t="shared" si="5"/>
        <v/>
      </c>
    </row>
    <row r="304" spans="19:19">
      <c r="S304" t="str">
        <f t="shared" si="5"/>
        <v/>
      </c>
    </row>
    <row r="305" spans="19:19">
      <c r="S305" t="str">
        <f t="shared" si="5"/>
        <v/>
      </c>
    </row>
    <row r="306" spans="19:19">
      <c r="S306" t="str">
        <f t="shared" si="5"/>
        <v/>
      </c>
    </row>
    <row r="307" spans="19:19">
      <c r="S307" t="str">
        <f t="shared" si="5"/>
        <v/>
      </c>
    </row>
    <row r="308" spans="19:19">
      <c r="S308" t="str">
        <f t="shared" si="5"/>
        <v/>
      </c>
    </row>
    <row r="309" spans="19:19">
      <c r="S309" t="str">
        <f t="shared" si="5"/>
        <v/>
      </c>
    </row>
    <row r="310" spans="19:19">
      <c r="S310" t="str">
        <f t="shared" si="5"/>
        <v/>
      </c>
    </row>
    <row r="311" spans="19:19">
      <c r="S311" t="str">
        <f t="shared" si="5"/>
        <v/>
      </c>
    </row>
    <row r="312" spans="19:19">
      <c r="S312" t="str">
        <f t="shared" si="5"/>
        <v/>
      </c>
    </row>
    <row r="313" spans="19:19">
      <c r="S313" t="str">
        <f t="shared" si="5"/>
        <v/>
      </c>
    </row>
    <row r="314" spans="19:19">
      <c r="S314" t="str">
        <f t="shared" si="5"/>
        <v/>
      </c>
    </row>
    <row r="315" spans="19:19">
      <c r="S315" t="str">
        <f t="shared" si="5"/>
        <v/>
      </c>
    </row>
    <row r="316" spans="19:19">
      <c r="S316" t="str">
        <f t="shared" si="5"/>
        <v/>
      </c>
    </row>
    <row r="317" spans="19:19">
      <c r="S317" t="str">
        <f t="shared" si="5"/>
        <v/>
      </c>
    </row>
    <row r="318" spans="19:19">
      <c r="S318" t="str">
        <f t="shared" si="5"/>
        <v/>
      </c>
    </row>
    <row r="319" spans="19:19">
      <c r="S319" t="str">
        <f t="shared" si="5"/>
        <v/>
      </c>
    </row>
    <row r="320" spans="19:19">
      <c r="S320" t="str">
        <f t="shared" si="5"/>
        <v/>
      </c>
    </row>
    <row r="321" spans="19:19">
      <c r="S321" t="str">
        <f t="shared" si="5"/>
        <v/>
      </c>
    </row>
    <row r="322" spans="19:19">
      <c r="S322" t="str">
        <f t="shared" si="5"/>
        <v/>
      </c>
    </row>
    <row r="323" spans="19:19">
      <c r="S323" t="str">
        <f t="shared" si="5"/>
        <v/>
      </c>
    </row>
    <row r="324" spans="19:19">
      <c r="S324" t="str">
        <f t="shared" si="5"/>
        <v/>
      </c>
    </row>
    <row r="325" spans="19:19">
      <c r="S325" t="str">
        <f t="shared" si="5"/>
        <v/>
      </c>
    </row>
    <row r="326" spans="19:19">
      <c r="S326" t="str">
        <f t="shared" si="5"/>
        <v/>
      </c>
    </row>
    <row r="327" spans="19:19">
      <c r="S327" t="str">
        <f t="shared" si="5"/>
        <v/>
      </c>
    </row>
    <row r="328" spans="19:19">
      <c r="S328" t="str">
        <f t="shared" si="5"/>
        <v/>
      </c>
    </row>
    <row r="329" spans="19:19">
      <c r="S329" t="str">
        <f t="shared" si="5"/>
        <v/>
      </c>
    </row>
    <row r="330" spans="19:19">
      <c r="S330" t="str">
        <f t="shared" si="5"/>
        <v/>
      </c>
    </row>
    <row r="331" spans="19:19">
      <c r="S331" t="str">
        <f t="shared" si="5"/>
        <v/>
      </c>
    </row>
  </sheetData>
  <autoFilter ref="A1:S91" xr:uid="{9A85016D-2486-49FB-82D2-834B6A762544}"/>
  <conditionalFormatting sqref="A65">
    <cfRule type="expression" dxfId="19" priority="847">
      <formula>NOT(S65)</formula>
    </cfRule>
    <cfRule type="duplicateValues" dxfId="18" priority="848"/>
  </conditionalFormatting>
  <conditionalFormatting sqref="B1:B1044">
    <cfRule type="duplicateValues" dxfId="17" priority="851"/>
  </conditionalFormatting>
  <conditionalFormatting sqref="A46:A64 A66:A77 A1:A33 A91:A1044">
    <cfRule type="expression" dxfId="16" priority="1523">
      <formula>NOT(S1)</formula>
    </cfRule>
    <cfRule type="duplicateValues" dxfId="15" priority="152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C183-08DB-477E-B377-83725D8665F9}">
  <sheetPr codeName="Sheet8"/>
  <dimension ref="A1:AE267"/>
  <sheetViews>
    <sheetView zoomScale="90" zoomScaleNormal="9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S137" sqref="S137"/>
    </sheetView>
  </sheetViews>
  <sheetFormatPr defaultColWidth="8.85546875" defaultRowHeight="15" outlineLevelCol="1"/>
  <cols>
    <col min="1" max="1" width="41.7109375" customWidth="1"/>
    <col min="2" max="2" width="36.28515625" style="30" customWidth="1"/>
    <col min="3" max="5" width="15" hidden="1" customWidth="1" outlineLevel="1"/>
    <col min="6" max="6" width="5.85546875" customWidth="1" collapsed="1"/>
    <col min="7" max="7" width="5.85546875" customWidth="1"/>
    <col min="8" max="8" width="7.28515625" customWidth="1"/>
    <col min="9" max="9" width="9.7109375" customWidth="1"/>
    <col min="10" max="10" width="15.28515625" customWidth="1"/>
    <col min="11" max="11" width="32.42578125" hidden="1" customWidth="1" outlineLevel="1"/>
    <col min="12" max="12" width="38.140625" hidden="1" customWidth="1" outlineLevel="1"/>
    <col min="13" max="13" width="31.140625" hidden="1" customWidth="1" outlineLevel="1"/>
    <col min="14" max="15" width="12.42578125" hidden="1" customWidth="1" outlineLevel="1"/>
    <col min="16" max="16" width="30.5703125" hidden="1" customWidth="1" outlineLevel="1"/>
    <col min="17" max="17" width="8.28515625" hidden="1" customWidth="1" outlineLevel="1"/>
    <col min="18" max="18" width="10.42578125" customWidth="1" collapsed="1"/>
    <col min="19" max="19" width="163.7109375" customWidth="1"/>
    <col min="20" max="20" width="42.5703125" customWidth="1" outlineLevel="1"/>
    <col min="21" max="21" width="39.42578125" customWidth="1" outlineLevel="1"/>
    <col min="22" max="22" width="25" customWidth="1" outlineLevel="1"/>
    <col min="23" max="23" width="14.42578125" customWidth="1"/>
    <col min="24" max="24" width="10.140625" customWidth="1"/>
    <col min="25" max="26" width="9.7109375" customWidth="1"/>
    <col min="27" max="27" width="29.7109375" customWidth="1"/>
    <col min="28" max="28" width="22.42578125" customWidth="1"/>
    <col min="29" max="29" width="31.42578125" customWidth="1"/>
  </cols>
  <sheetData>
    <row r="1" spans="1:30">
      <c r="A1" s="6" t="str">
        <f>"out_" &amp; SourceDef!A49</f>
        <v>out_atr_output_raw</v>
      </c>
      <c r="B1" s="30" t="s">
        <v>1718</v>
      </c>
      <c r="C1" s="11" t="str">
        <f>"src_" &amp; SourceDef!A48</f>
        <v>src_atr_source</v>
      </c>
      <c r="D1" s="11" t="str">
        <f>"src_" &amp; SourceDef!A11</f>
        <v>src_ClaimPop</v>
      </c>
      <c r="E1" s="11" t="str">
        <f>"src_" &amp; SourceDef!A20</f>
        <v>src_domainpop</v>
      </c>
      <c r="F1" s="6" t="s">
        <v>652</v>
      </c>
      <c r="G1" s="6" t="s">
        <v>657</v>
      </c>
      <c r="H1" t="s">
        <v>0</v>
      </c>
      <c r="I1" t="s">
        <v>616</v>
      </c>
      <c r="J1" t="s">
        <v>602</v>
      </c>
      <c r="K1" t="s">
        <v>610</v>
      </c>
      <c r="L1" t="s">
        <v>611</v>
      </c>
      <c r="M1" t="s">
        <v>612</v>
      </c>
      <c r="N1" t="s">
        <v>624</v>
      </c>
      <c r="O1" t="s">
        <v>628</v>
      </c>
      <c r="P1" t="s">
        <v>677</v>
      </c>
      <c r="Q1" t="s">
        <v>678</v>
      </c>
      <c r="R1" t="s">
        <v>613</v>
      </c>
      <c r="S1" t="s">
        <v>617</v>
      </c>
      <c r="T1" t="s">
        <v>1</v>
      </c>
      <c r="U1" t="s">
        <v>2</v>
      </c>
      <c r="V1" t="s">
        <v>3</v>
      </c>
      <c r="W1" t="s">
        <v>595</v>
      </c>
      <c r="X1" t="s">
        <v>4</v>
      </c>
      <c r="Y1" t="s">
        <v>5</v>
      </c>
      <c r="Z1" t="s">
        <v>720</v>
      </c>
      <c r="AA1" t="s">
        <v>6</v>
      </c>
      <c r="AB1" t="s">
        <v>7</v>
      </c>
      <c r="AC1" t="s">
        <v>8</v>
      </c>
      <c r="AD1" t="s">
        <v>2169</v>
      </c>
    </row>
    <row r="2" spans="1:30">
      <c r="A2" s="5" t="str">
        <f>IF(ISBLANK(C2), D2, C2)</f>
        <v>ClaimID</v>
      </c>
      <c r="C2" t="s">
        <v>9</v>
      </c>
      <c r="D2" t="s">
        <v>9</v>
      </c>
      <c r="Y2" t="b">
        <f t="shared" ref="Y2:Y61" si="0">IF(NOT(ISBLANK(A2)), LEN(_xlfn.CONCAT(C2:X2))&gt;0, "")</f>
        <v>1</v>
      </c>
      <c r="Z2" t="b">
        <f t="shared" ref="Z2:Z61" si="1">AND(ISNUMBER(SEARCH("kw",_xlfn.CONCAT(I2:X2))), ISNUMBER(SEARCH("thm",_xlfn.CONCAT(I2:X2))))</f>
        <v>0</v>
      </c>
    </row>
    <row r="3" spans="1:30">
      <c r="A3" s="5" t="str">
        <f>C3</f>
        <v>ClaimYearQuarter</v>
      </c>
      <c r="C3" t="s">
        <v>10</v>
      </c>
      <c r="G3" t="s">
        <v>658</v>
      </c>
      <c r="Y3" t="b">
        <f t="shared" si="0"/>
        <v>1</v>
      </c>
      <c r="Z3" t="b">
        <f t="shared" si="1"/>
        <v>0</v>
      </c>
    </row>
    <row r="4" spans="1:30">
      <c r="A4" s="5" t="str">
        <f t="shared" ref="A4:A63" si="2">C4</f>
        <v>PA</v>
      </c>
      <c r="C4" t="s">
        <v>11</v>
      </c>
      <c r="G4" t="s">
        <v>658</v>
      </c>
      <c r="Y4" t="b">
        <f t="shared" si="0"/>
        <v>1</v>
      </c>
      <c r="Z4" t="b">
        <f t="shared" si="1"/>
        <v>0</v>
      </c>
    </row>
    <row r="5" spans="1:30">
      <c r="A5" s="5" t="str">
        <f t="shared" si="2"/>
        <v>PrgID</v>
      </c>
      <c r="C5" t="s">
        <v>12</v>
      </c>
      <c r="G5" t="s">
        <v>658</v>
      </c>
      <c r="Y5" t="b">
        <f t="shared" si="0"/>
        <v>1</v>
      </c>
      <c r="Z5" t="b">
        <f t="shared" si="1"/>
        <v>0</v>
      </c>
    </row>
    <row r="6" spans="1:30">
      <c r="A6" s="5" t="str">
        <f t="shared" si="2"/>
        <v>ProgramName</v>
      </c>
      <c r="C6" t="s">
        <v>13</v>
      </c>
      <c r="G6" t="s">
        <v>658</v>
      </c>
      <c r="Y6" t="b">
        <f t="shared" si="0"/>
        <v>1</v>
      </c>
      <c r="Z6" t="b">
        <f t="shared" si="1"/>
        <v>0</v>
      </c>
    </row>
    <row r="7" spans="1:30">
      <c r="A7" s="5" t="str">
        <f t="shared" si="2"/>
        <v>RoadmapID</v>
      </c>
      <c r="C7" t="s">
        <v>2486</v>
      </c>
      <c r="G7" t="s">
        <v>658</v>
      </c>
      <c r="Y7" t="b">
        <f t="shared" si="0"/>
        <v>1</v>
      </c>
      <c r="Z7" t="b">
        <f t="shared" si="1"/>
        <v>0</v>
      </c>
    </row>
    <row r="8" spans="1:30">
      <c r="A8" s="5" t="str">
        <f t="shared" si="2"/>
        <v>MeasureGroup</v>
      </c>
      <c r="C8" t="s">
        <v>2487</v>
      </c>
      <c r="G8" t="s">
        <v>658</v>
      </c>
      <c r="Y8" t="b">
        <f t="shared" si="0"/>
        <v>1</v>
      </c>
      <c r="Z8" t="b">
        <f t="shared" si="1"/>
        <v>0</v>
      </c>
    </row>
    <row r="9" spans="1:30">
      <c r="A9" s="5" t="str">
        <f t="shared" si="2"/>
        <v>MeasCode</v>
      </c>
      <c r="C9" t="s">
        <v>14</v>
      </c>
      <c r="G9" t="s">
        <v>658</v>
      </c>
      <c r="Y9" t="b">
        <f t="shared" si="0"/>
        <v>1</v>
      </c>
      <c r="Z9" t="b">
        <f t="shared" si="1"/>
        <v>0</v>
      </c>
    </row>
    <row r="10" spans="1:30">
      <c r="A10" s="5" t="str">
        <f t="shared" si="2"/>
        <v>MeasDescription</v>
      </c>
      <c r="C10" t="s">
        <v>15</v>
      </c>
      <c r="G10" t="s">
        <v>658</v>
      </c>
      <c r="Y10" t="b">
        <f t="shared" si="0"/>
        <v>1</v>
      </c>
      <c r="Z10" t="b">
        <f t="shared" si="1"/>
        <v>0</v>
      </c>
    </row>
    <row r="11" spans="1:30">
      <c r="A11" s="5" t="str">
        <f t="shared" si="2"/>
        <v>MeasAppType</v>
      </c>
      <c r="C11" t="s">
        <v>16</v>
      </c>
      <c r="Y11" t="b">
        <f t="shared" si="0"/>
        <v>1</v>
      </c>
      <c r="Z11" t="b">
        <f t="shared" si="1"/>
        <v>0</v>
      </c>
    </row>
    <row r="12" spans="1:30">
      <c r="A12" s="5" t="str">
        <f t="shared" si="2"/>
        <v>DeliveryType</v>
      </c>
      <c r="C12" t="s">
        <v>17</v>
      </c>
      <c r="G12" t="s">
        <v>658</v>
      </c>
      <c r="Y12" t="b">
        <f t="shared" si="0"/>
        <v>1</v>
      </c>
      <c r="Z12" t="b">
        <f t="shared" si="1"/>
        <v>0</v>
      </c>
    </row>
    <row r="13" spans="1:30">
      <c r="A13" s="5" t="str">
        <f t="shared" si="2"/>
        <v>Residential_Flag</v>
      </c>
      <c r="C13" t="s">
        <v>134</v>
      </c>
      <c r="G13" t="s">
        <v>658</v>
      </c>
      <c r="Y13" t="b">
        <f t="shared" si="0"/>
        <v>1</v>
      </c>
      <c r="Z13" t="b">
        <f t="shared" si="1"/>
        <v>0</v>
      </c>
    </row>
    <row r="14" spans="1:30">
      <c r="A14" s="5" t="str">
        <f t="shared" si="2"/>
        <v>DeemedFlag</v>
      </c>
      <c r="C14" t="s">
        <v>2488</v>
      </c>
      <c r="G14" t="s">
        <v>658</v>
      </c>
      <c r="Y14" t="b">
        <f t="shared" si="0"/>
        <v>1</v>
      </c>
      <c r="Z14" t="b">
        <f t="shared" si="1"/>
        <v>0</v>
      </c>
    </row>
    <row r="15" spans="1:30">
      <c r="A15" s="5" t="str">
        <f t="shared" si="2"/>
        <v>Upstream_Flag</v>
      </c>
      <c r="C15" t="s">
        <v>18</v>
      </c>
      <c r="G15" t="s">
        <v>658</v>
      </c>
      <c r="Y15" t="b">
        <f t="shared" si="0"/>
        <v>1</v>
      </c>
      <c r="Z15" t="b">
        <f t="shared" si="1"/>
        <v>0</v>
      </c>
    </row>
    <row r="16" spans="1:30">
      <c r="A16" s="5" t="str">
        <f t="shared" si="2"/>
        <v>EUC_Flag</v>
      </c>
      <c r="C16" t="s">
        <v>19</v>
      </c>
      <c r="G16" t="s">
        <v>658</v>
      </c>
      <c r="Y16" t="b">
        <f t="shared" si="0"/>
        <v>1</v>
      </c>
      <c r="Z16" t="b">
        <f t="shared" si="1"/>
        <v>0</v>
      </c>
    </row>
    <row r="17" spans="1:27">
      <c r="A17" s="5" t="str">
        <f t="shared" si="2"/>
        <v>LGP_Flag</v>
      </c>
      <c r="C17" t="s">
        <v>20</v>
      </c>
      <c r="G17" t="s">
        <v>658</v>
      </c>
      <c r="Y17" t="b">
        <f t="shared" si="0"/>
        <v>1</v>
      </c>
      <c r="Z17" t="b">
        <f t="shared" si="1"/>
        <v>0</v>
      </c>
    </row>
    <row r="18" spans="1:27">
      <c r="A18" s="5" t="str">
        <f t="shared" si="2"/>
        <v>REN_Flag</v>
      </c>
      <c r="C18" t="s">
        <v>21</v>
      </c>
      <c r="G18" t="s">
        <v>658</v>
      </c>
      <c r="Y18" t="b">
        <f t="shared" si="0"/>
        <v>1</v>
      </c>
      <c r="Z18" t="b">
        <f t="shared" si="1"/>
        <v>0</v>
      </c>
    </row>
    <row r="19" spans="1:27">
      <c r="A19" s="5" t="str">
        <f t="shared" si="2"/>
        <v>OBF_Flag</v>
      </c>
      <c r="C19" t="s">
        <v>22</v>
      </c>
      <c r="G19" t="s">
        <v>658</v>
      </c>
      <c r="Y19" t="b">
        <f t="shared" si="0"/>
        <v>1</v>
      </c>
      <c r="Z19" t="b">
        <f t="shared" si="1"/>
        <v>0</v>
      </c>
      <c r="AA19" s="1"/>
    </row>
    <row r="20" spans="1:27">
      <c r="A20" s="5" t="str">
        <f t="shared" si="2"/>
        <v>ESPI_Group</v>
      </c>
      <c r="C20" t="s">
        <v>2489</v>
      </c>
      <c r="G20" t="s">
        <v>658</v>
      </c>
      <c r="Y20" t="b">
        <f t="shared" si="0"/>
        <v>1</v>
      </c>
      <c r="Z20" t="b">
        <f t="shared" si="1"/>
        <v>0</v>
      </c>
    </row>
    <row r="21" spans="1:27">
      <c r="A21" s="5" t="str">
        <f t="shared" si="2"/>
        <v>ESPI_Category</v>
      </c>
      <c r="C21" t="s">
        <v>2490</v>
      </c>
      <c r="G21" t="s">
        <v>658</v>
      </c>
      <c r="Y21" t="b">
        <f t="shared" si="0"/>
        <v>1</v>
      </c>
      <c r="Z21" t="b">
        <f t="shared" si="1"/>
        <v>0</v>
      </c>
    </row>
    <row r="22" spans="1:27">
      <c r="A22" s="5" t="str">
        <f t="shared" si="2"/>
        <v>UncertainMeasure</v>
      </c>
      <c r="C22" t="s">
        <v>2491</v>
      </c>
      <c r="G22" t="s">
        <v>658</v>
      </c>
      <c r="Y22" t="b">
        <f t="shared" si="0"/>
        <v>1</v>
      </c>
      <c r="Z22" t="b">
        <f t="shared" si="1"/>
        <v>0</v>
      </c>
    </row>
    <row r="23" spans="1:27">
      <c r="A23" s="5" t="str">
        <f t="shared" si="2"/>
        <v>NTG_ID</v>
      </c>
      <c r="C23" t="s">
        <v>23</v>
      </c>
      <c r="G23" t="s">
        <v>658</v>
      </c>
      <c r="Y23" t="b">
        <f t="shared" si="0"/>
        <v>1</v>
      </c>
      <c r="Z23" t="b">
        <f t="shared" si="1"/>
        <v>0</v>
      </c>
    </row>
    <row r="24" spans="1:27">
      <c r="A24" s="5" t="str">
        <f t="shared" si="2"/>
        <v>InstallationDate</v>
      </c>
      <c r="C24" t="s">
        <v>24</v>
      </c>
      <c r="Y24" t="b">
        <f t="shared" si="0"/>
        <v>1</v>
      </c>
      <c r="Z24" t="b">
        <f t="shared" si="1"/>
        <v>0</v>
      </c>
    </row>
    <row r="25" spans="1:27">
      <c r="A25" s="5" t="str">
        <f t="shared" si="2"/>
        <v>PaidDate</v>
      </c>
      <c r="C25" t="s">
        <v>25</v>
      </c>
      <c r="G25" t="s">
        <v>658</v>
      </c>
      <c r="Y25" t="b">
        <f t="shared" si="0"/>
        <v>1</v>
      </c>
      <c r="Z25" t="b">
        <f t="shared" si="1"/>
        <v>0</v>
      </c>
    </row>
    <row r="26" spans="1:27">
      <c r="A26" s="5" t="str">
        <f t="shared" si="2"/>
        <v>ApplicationDate</v>
      </c>
      <c r="C26" t="s">
        <v>26</v>
      </c>
      <c r="G26" t="s">
        <v>658</v>
      </c>
      <c r="Y26" t="b">
        <f t="shared" si="0"/>
        <v>1</v>
      </c>
      <c r="Z26" t="b">
        <f t="shared" si="1"/>
        <v>0</v>
      </c>
    </row>
    <row r="27" spans="1:27">
      <c r="A27" s="5" t="str">
        <f t="shared" si="2"/>
        <v>ER_IOUReported</v>
      </c>
      <c r="C27" t="s">
        <v>2492</v>
      </c>
      <c r="Y27" t="b">
        <f t="shared" si="0"/>
        <v>1</v>
      </c>
      <c r="Z27" t="b">
        <f t="shared" si="1"/>
        <v>0</v>
      </c>
    </row>
    <row r="28" spans="1:27">
      <c r="A28" s="5" t="str">
        <f t="shared" si="2"/>
        <v>NormUnit</v>
      </c>
      <c r="C28" t="s">
        <v>27</v>
      </c>
      <c r="G28" t="s">
        <v>658</v>
      </c>
      <c r="Y28" t="b">
        <f t="shared" si="0"/>
        <v>1</v>
      </c>
      <c r="Z28" t="b">
        <f t="shared" si="1"/>
        <v>0</v>
      </c>
    </row>
    <row r="29" spans="1:27">
      <c r="A29" s="5" t="str">
        <f t="shared" si="2"/>
        <v>MarketEffectsBenefits</v>
      </c>
      <c r="C29" t="s">
        <v>28</v>
      </c>
      <c r="Y29" t="b">
        <f t="shared" ref="Y29:Y30" si="3">IF(NOT(ISBLANK(A29)), LEN(_xlfn.CONCAT(C29:X29))&gt;0, "")</f>
        <v>1</v>
      </c>
      <c r="Z29" t="b">
        <f t="shared" ref="Z29:Z30" si="4">AND(ISNUMBER(SEARCH("kw",_xlfn.CONCAT(I29:X29))), ISNUMBER(SEARCH("thm",_xlfn.CONCAT(I29:X29))))</f>
        <v>0</v>
      </c>
    </row>
    <row r="30" spans="1:27" ht="30">
      <c r="A30" s="5" t="str">
        <f>C29 &amp; "_filled"</f>
        <v>MarketEffectsBenefits_filled</v>
      </c>
      <c r="B30" s="30" t="s">
        <v>2645</v>
      </c>
      <c r="S30" t="str">
        <f>"( " &amp; A29 &amp; " .notnull()), ( " &amp; A29 &amp; " ), 0.05"</f>
        <v>( MarketEffectsBenefits .notnull()), ( MarketEffectsBenefits ), 0.05</v>
      </c>
      <c r="Y30" t="b">
        <f t="shared" si="3"/>
        <v>1</v>
      </c>
      <c r="Z30" t="b">
        <f t="shared" si="4"/>
        <v>0</v>
      </c>
    </row>
    <row r="31" spans="1:27">
      <c r="A31" s="5" t="str">
        <f t="shared" si="2"/>
        <v>NumUnits</v>
      </c>
      <c r="C31" t="s">
        <v>29</v>
      </c>
      <c r="Y31" t="b">
        <f t="shared" si="0"/>
        <v>1</v>
      </c>
      <c r="Z31" t="b">
        <f t="shared" si="1"/>
        <v>0</v>
      </c>
    </row>
    <row r="32" spans="1:27">
      <c r="A32" s="5" t="str">
        <f t="shared" si="2"/>
        <v>UnitkW1stBaseline</v>
      </c>
      <c r="C32" t="s">
        <v>30</v>
      </c>
      <c r="Y32" t="b">
        <f t="shared" si="0"/>
        <v>1</v>
      </c>
      <c r="Z32" t="b">
        <f t="shared" si="1"/>
        <v>0</v>
      </c>
    </row>
    <row r="33" spans="1:26">
      <c r="A33" s="5" t="str">
        <f t="shared" si="2"/>
        <v>UnitkWh1stBaseline</v>
      </c>
      <c r="C33" t="s">
        <v>31</v>
      </c>
      <c r="Y33" t="b">
        <f t="shared" si="0"/>
        <v>1</v>
      </c>
      <c r="Z33" t="b">
        <f t="shared" si="1"/>
        <v>0</v>
      </c>
    </row>
    <row r="34" spans="1:26">
      <c r="A34" s="5" t="str">
        <f t="shared" si="2"/>
        <v>UnitTherm1stBaseline</v>
      </c>
      <c r="C34" t="s">
        <v>32</v>
      </c>
      <c r="Y34" t="b">
        <f t="shared" si="0"/>
        <v>1</v>
      </c>
      <c r="Z34" t="b">
        <f t="shared" si="1"/>
        <v>0</v>
      </c>
    </row>
    <row r="35" spans="1:26">
      <c r="A35" s="5" t="str">
        <f t="shared" si="2"/>
        <v>UnitkW2ndBaseline</v>
      </c>
      <c r="C35" t="s">
        <v>33</v>
      </c>
      <c r="Y35" t="b">
        <f t="shared" si="0"/>
        <v>1</v>
      </c>
      <c r="Z35" t="b">
        <f t="shared" si="1"/>
        <v>0</v>
      </c>
    </row>
    <row r="36" spans="1:26">
      <c r="A36" s="5" t="str">
        <f t="shared" si="2"/>
        <v>UnitkWh2ndBaseline</v>
      </c>
      <c r="C36" t="s">
        <v>34</v>
      </c>
      <c r="Y36" t="b">
        <f t="shared" si="0"/>
        <v>1</v>
      </c>
      <c r="Z36" t="b">
        <f t="shared" si="1"/>
        <v>0</v>
      </c>
    </row>
    <row r="37" spans="1:26">
      <c r="A37" s="5" t="str">
        <f t="shared" si="2"/>
        <v>UnitTherm2ndBaseline</v>
      </c>
      <c r="C37" t="s">
        <v>35</v>
      </c>
      <c r="Y37" t="b">
        <f t="shared" si="0"/>
        <v>1</v>
      </c>
      <c r="Z37" t="b">
        <f t="shared" si="1"/>
        <v>0</v>
      </c>
    </row>
    <row r="38" spans="1:26">
      <c r="A38" s="5" t="str">
        <f t="shared" si="2"/>
        <v>InstallationRatekW</v>
      </c>
      <c r="C38" t="s">
        <v>36</v>
      </c>
      <c r="Y38" t="b">
        <f t="shared" si="0"/>
        <v>1</v>
      </c>
      <c r="Z38" t="b">
        <f t="shared" si="1"/>
        <v>0</v>
      </c>
    </row>
    <row r="39" spans="1:26">
      <c r="A39" s="5" t="str">
        <f t="shared" si="2"/>
        <v>InstallationRatekWh</v>
      </c>
      <c r="C39" t="s">
        <v>37</v>
      </c>
      <c r="Y39" t="b">
        <f t="shared" si="0"/>
        <v>1</v>
      </c>
      <c r="Z39" t="b">
        <f t="shared" si="1"/>
        <v>0</v>
      </c>
    </row>
    <row r="40" spans="1:26">
      <c r="A40" s="5" t="str">
        <f t="shared" si="2"/>
        <v>InstallationRateTherm</v>
      </c>
      <c r="C40" t="s">
        <v>38</v>
      </c>
      <c r="Y40" t="b">
        <f t="shared" si="0"/>
        <v>1</v>
      </c>
      <c r="Z40" t="b">
        <f t="shared" si="1"/>
        <v>0</v>
      </c>
    </row>
    <row r="41" spans="1:26">
      <c r="A41" s="5" t="str">
        <f t="shared" si="2"/>
        <v>RealizationRatekW</v>
      </c>
      <c r="C41" t="s">
        <v>39</v>
      </c>
      <c r="Y41" t="b">
        <f t="shared" si="0"/>
        <v>1</v>
      </c>
      <c r="Z41" t="b">
        <f t="shared" si="1"/>
        <v>0</v>
      </c>
    </row>
    <row r="42" spans="1:26">
      <c r="A42" s="5" t="str">
        <f t="shared" si="2"/>
        <v>RealizationRatekWh</v>
      </c>
      <c r="C42" t="s">
        <v>40</v>
      </c>
      <c r="Y42" t="b">
        <f t="shared" si="0"/>
        <v>1</v>
      </c>
      <c r="Z42" t="b">
        <f t="shared" si="1"/>
        <v>0</v>
      </c>
    </row>
    <row r="43" spans="1:26">
      <c r="A43" s="5" t="str">
        <f t="shared" si="2"/>
        <v>RealizationRateTherm</v>
      </c>
      <c r="C43" t="s">
        <v>41</v>
      </c>
      <c r="Y43" t="b">
        <f t="shared" si="0"/>
        <v>1</v>
      </c>
      <c r="Z43" t="b">
        <f t="shared" si="1"/>
        <v>0</v>
      </c>
    </row>
    <row r="44" spans="1:26">
      <c r="A44" s="5" t="str">
        <f t="shared" si="2"/>
        <v>NTGRkW</v>
      </c>
      <c r="C44" t="s">
        <v>42</v>
      </c>
      <c r="Y44" t="b">
        <f t="shared" si="0"/>
        <v>1</v>
      </c>
      <c r="Z44" t="b">
        <f t="shared" si="1"/>
        <v>0</v>
      </c>
    </row>
    <row r="45" spans="1:26">
      <c r="A45" s="5" t="str">
        <f t="shared" si="2"/>
        <v>NTGRkWh</v>
      </c>
      <c r="C45" t="s">
        <v>43</v>
      </c>
      <c r="Y45" t="b">
        <f t="shared" si="0"/>
        <v>1</v>
      </c>
      <c r="Z45" t="b">
        <f t="shared" si="1"/>
        <v>0</v>
      </c>
    </row>
    <row r="46" spans="1:26">
      <c r="A46" s="5" t="str">
        <f t="shared" si="2"/>
        <v>NTGRTherm</v>
      </c>
      <c r="C46" t="s">
        <v>44</v>
      </c>
      <c r="Y46" t="b">
        <f t="shared" si="0"/>
        <v>1</v>
      </c>
      <c r="Z46" t="b">
        <f t="shared" si="1"/>
        <v>0</v>
      </c>
    </row>
    <row r="47" spans="1:26">
      <c r="A47" s="5" t="str">
        <f t="shared" si="2"/>
        <v>NTGRCost</v>
      </c>
      <c r="C47" t="s">
        <v>45</v>
      </c>
      <c r="Y47" t="b">
        <f t="shared" si="0"/>
        <v>1</v>
      </c>
      <c r="Z47" t="b">
        <f t="shared" si="1"/>
        <v>0</v>
      </c>
    </row>
    <row r="48" spans="1:26">
      <c r="A48" s="5" t="str">
        <f t="shared" si="2"/>
        <v>EUL_Yrs</v>
      </c>
      <c r="C48" t="s">
        <v>46</v>
      </c>
      <c r="Y48" t="b">
        <f t="shared" si="0"/>
        <v>1</v>
      </c>
      <c r="Z48" t="b">
        <f t="shared" si="1"/>
        <v>0</v>
      </c>
    </row>
    <row r="49" spans="1:26">
      <c r="A49" s="5" t="str">
        <f t="shared" si="2"/>
        <v>RUL_Yrs</v>
      </c>
      <c r="C49" t="s">
        <v>47</v>
      </c>
      <c r="Y49" t="b">
        <f t="shared" si="0"/>
        <v>1</v>
      </c>
      <c r="Z49" t="b">
        <f t="shared" si="1"/>
        <v>0</v>
      </c>
    </row>
    <row r="50" spans="1:26">
      <c r="A50" s="5" t="str">
        <f t="shared" si="2"/>
        <v>ExAnteFirstYearGrosskW</v>
      </c>
      <c r="C50" t="s">
        <v>48</v>
      </c>
      <c r="Y50" t="b">
        <f t="shared" si="0"/>
        <v>1</v>
      </c>
      <c r="Z50" t="b">
        <f t="shared" si="1"/>
        <v>0</v>
      </c>
    </row>
    <row r="51" spans="1:26">
      <c r="A51" s="5" t="str">
        <f t="shared" si="2"/>
        <v>ExAnteFirstYearGrosskWh</v>
      </c>
      <c r="C51" t="s">
        <v>49</v>
      </c>
      <c r="Y51" t="b">
        <f t="shared" si="0"/>
        <v>1</v>
      </c>
      <c r="Z51" t="b">
        <f t="shared" si="1"/>
        <v>0</v>
      </c>
    </row>
    <row r="52" spans="1:26">
      <c r="A52" s="5" t="str">
        <f t="shared" si="2"/>
        <v>ExAnteFirstYearGrossTherm</v>
      </c>
      <c r="C52" t="s">
        <v>50</v>
      </c>
      <c r="Y52" t="b">
        <f t="shared" si="0"/>
        <v>1</v>
      </c>
      <c r="Z52" t="b">
        <f t="shared" si="1"/>
        <v>0</v>
      </c>
    </row>
    <row r="53" spans="1:26">
      <c r="A53" s="5" t="str">
        <f t="shared" si="2"/>
        <v>ExAnteFirstYearNetkW</v>
      </c>
      <c r="C53" t="s">
        <v>51</v>
      </c>
      <c r="Y53" t="b">
        <f t="shared" si="0"/>
        <v>1</v>
      </c>
      <c r="Z53" t="b">
        <f t="shared" si="1"/>
        <v>0</v>
      </c>
    </row>
    <row r="54" spans="1:26">
      <c r="A54" s="5" t="str">
        <f t="shared" si="2"/>
        <v>ExAnteFirstYearNetkWh</v>
      </c>
      <c r="C54" t="s">
        <v>52</v>
      </c>
      <c r="Y54" t="b">
        <f t="shared" si="0"/>
        <v>1</v>
      </c>
      <c r="Z54" t="b">
        <f t="shared" si="1"/>
        <v>0</v>
      </c>
    </row>
    <row r="55" spans="1:26">
      <c r="A55" s="5" t="str">
        <f t="shared" si="2"/>
        <v>ExAnteFirstYearNetTherm</v>
      </c>
      <c r="C55" t="s">
        <v>53</v>
      </c>
      <c r="Y55" t="b">
        <f t="shared" si="0"/>
        <v>1</v>
      </c>
      <c r="Z55" t="b">
        <f t="shared" si="1"/>
        <v>0</v>
      </c>
    </row>
    <row r="56" spans="1:26">
      <c r="A56" s="5" t="str">
        <f t="shared" si="2"/>
        <v>ExAnteLifecycleGrosskW</v>
      </c>
      <c r="C56" t="s">
        <v>54</v>
      </c>
      <c r="Y56" t="b">
        <f t="shared" si="0"/>
        <v>1</v>
      </c>
      <c r="Z56" t="b">
        <f t="shared" si="1"/>
        <v>0</v>
      </c>
    </row>
    <row r="57" spans="1:26">
      <c r="A57" s="5" t="str">
        <f t="shared" si="2"/>
        <v>ExAnteLifecycleGrosskWh</v>
      </c>
      <c r="C57" t="s">
        <v>55</v>
      </c>
      <c r="Y57" t="b">
        <f t="shared" si="0"/>
        <v>1</v>
      </c>
      <c r="Z57" t="b">
        <f t="shared" si="1"/>
        <v>0</v>
      </c>
    </row>
    <row r="58" spans="1:26">
      <c r="A58" s="5" t="str">
        <f t="shared" si="2"/>
        <v>ExAnteLifecycleGrossTherm</v>
      </c>
      <c r="C58" t="s">
        <v>56</v>
      </c>
      <c r="Y58" t="b">
        <f t="shared" si="0"/>
        <v>1</v>
      </c>
      <c r="Z58" t="b">
        <f t="shared" si="1"/>
        <v>0</v>
      </c>
    </row>
    <row r="59" spans="1:26">
      <c r="A59" s="5" t="str">
        <f t="shared" si="2"/>
        <v>ExAnteLifecycleNetkW</v>
      </c>
      <c r="C59" t="s">
        <v>57</v>
      </c>
      <c r="Y59" t="b">
        <f t="shared" si="0"/>
        <v>1</v>
      </c>
      <c r="Z59" t="b">
        <f t="shared" si="1"/>
        <v>0</v>
      </c>
    </row>
    <row r="60" spans="1:26">
      <c r="A60" s="5" t="str">
        <f t="shared" si="2"/>
        <v>ExAnteLifecycleNetkWh</v>
      </c>
      <c r="C60" t="s">
        <v>58</v>
      </c>
      <c r="Y60" t="b">
        <f t="shared" si="0"/>
        <v>1</v>
      </c>
      <c r="Z60" t="b">
        <f t="shared" si="1"/>
        <v>0</v>
      </c>
    </row>
    <row r="61" spans="1:26">
      <c r="A61" s="5" t="str">
        <f t="shared" si="2"/>
        <v>ExAnteLifecycleNetTherm</v>
      </c>
      <c r="C61" t="s">
        <v>59</v>
      </c>
      <c r="Y61" t="b">
        <f t="shared" si="0"/>
        <v>1</v>
      </c>
      <c r="Z61" t="b">
        <f t="shared" si="1"/>
        <v>0</v>
      </c>
    </row>
    <row r="62" spans="1:26">
      <c r="A62" s="5" t="str">
        <f t="shared" si="2"/>
        <v>AppendixOrder</v>
      </c>
      <c r="C62" t="s">
        <v>2530</v>
      </c>
      <c r="Y62" t="b">
        <f t="shared" ref="Y62:Y94" si="5">IF(NOT(ISBLANK(A62)), LEN(_xlfn.CONCAT(C62:X62))&gt;0, "")</f>
        <v>1</v>
      </c>
      <c r="Z62" t="b">
        <f t="shared" ref="Z62:Z94" si="6">AND(ISNUMBER(SEARCH("kw",_xlfn.CONCAT(I62:X62))), ISNUMBER(SEARCH("thm",_xlfn.CONCAT(I62:X62))))</f>
        <v>0</v>
      </c>
    </row>
    <row r="63" spans="1:26">
      <c r="A63" s="5" t="str">
        <f t="shared" si="2"/>
        <v>EvalReportName</v>
      </c>
      <c r="C63" t="s">
        <v>2493</v>
      </c>
      <c r="Y63" t="b">
        <f t="shared" si="5"/>
        <v>1</v>
      </c>
      <c r="Z63" t="b">
        <f t="shared" si="6"/>
        <v>0</v>
      </c>
    </row>
    <row r="64" spans="1:26">
      <c r="A64" s="5" t="s">
        <v>596</v>
      </c>
      <c r="G64" t="s">
        <v>658</v>
      </c>
      <c r="J64" t="str">
        <f>A32 &amp; " * " &amp; $A$31</f>
        <v>UnitkW1stBaseline * NumUnits</v>
      </c>
    </row>
    <row r="65" spans="1:26">
      <c r="A65" s="5" t="s">
        <v>597</v>
      </c>
      <c r="G65" t="s">
        <v>658</v>
      </c>
      <c r="J65" t="str">
        <f t="shared" ref="J65:J69" si="7">A33 &amp; " * " &amp; $A$31</f>
        <v>UnitkWh1stBaseline * NumUnits</v>
      </c>
    </row>
    <row r="66" spans="1:26">
      <c r="A66" s="5" t="s">
        <v>598</v>
      </c>
      <c r="G66" t="s">
        <v>658</v>
      </c>
      <c r="J66" t="str">
        <f t="shared" si="7"/>
        <v>UnitTherm1stBaseline * NumUnits</v>
      </c>
    </row>
    <row r="67" spans="1:26">
      <c r="A67" s="5" t="s">
        <v>599</v>
      </c>
      <c r="G67" t="s">
        <v>658</v>
      </c>
      <c r="J67" t="str">
        <f t="shared" si="7"/>
        <v>UnitkW2ndBaseline * NumUnits</v>
      </c>
    </row>
    <row r="68" spans="1:26">
      <c r="A68" s="5" t="s">
        <v>600</v>
      </c>
      <c r="G68" t="s">
        <v>658</v>
      </c>
      <c r="J68" t="str">
        <f t="shared" si="7"/>
        <v>UnitkWh2ndBaseline * NumUnits</v>
      </c>
    </row>
    <row r="69" spans="1:26">
      <c r="A69" s="5" t="s">
        <v>601</v>
      </c>
      <c r="G69" t="s">
        <v>658</v>
      </c>
      <c r="J69" t="str">
        <f t="shared" si="7"/>
        <v>UnitTherm2ndBaseline * NumUnits</v>
      </c>
    </row>
    <row r="70" spans="1:26">
      <c r="A70" s="5" t="str">
        <f>D70</f>
        <v>domain</v>
      </c>
      <c r="B70" s="30" t="s">
        <v>2646</v>
      </c>
      <c r="D70" t="s">
        <v>181</v>
      </c>
      <c r="E70" t="s">
        <v>181</v>
      </c>
      <c r="Y70" t="b">
        <f>IF(NOT(ISBLANK(A70)), LEN(_xlfn.CONCAT(C70:X70))&gt;0, "")</f>
        <v>1</v>
      </c>
      <c r="Z70" t="b">
        <f>AND(ISNUMBER(SEARCH("kw",_xlfn.CONCAT(I70:X70))), ISNUMBER(SEARCH("thm",_xlfn.CONCAT(I70:X70))))</f>
        <v>0</v>
      </c>
    </row>
    <row r="71" spans="1:26" ht="30">
      <c r="A71" s="5" t="str">
        <f t="shared" ref="A71:A73" si="8">E71</f>
        <v>dom_eval_RR_kW_AG</v>
      </c>
      <c r="B71" s="30" t="s">
        <v>2647</v>
      </c>
      <c r="E71" t="s">
        <v>1818</v>
      </c>
    </row>
    <row r="72" spans="1:26" ht="30">
      <c r="A72" s="5" t="str">
        <f t="shared" si="8"/>
        <v>dom_eval_RR_kWh_AG</v>
      </c>
      <c r="B72" s="30" t="s">
        <v>2647</v>
      </c>
      <c r="E72" t="s">
        <v>1817</v>
      </c>
    </row>
    <row r="73" spans="1:26" ht="30">
      <c r="A73" s="5" t="str">
        <f t="shared" si="8"/>
        <v>dom_eval_RR_thm_AG</v>
      </c>
      <c r="B73" s="30" t="s">
        <v>2647</v>
      </c>
      <c r="E73" t="s">
        <v>1827</v>
      </c>
    </row>
    <row r="74" spans="1:26" ht="30">
      <c r="A74" s="5" t="str">
        <f>E74</f>
        <v>dom_eval_RR_kW_LG</v>
      </c>
      <c r="B74" s="30" t="s">
        <v>2648</v>
      </c>
      <c r="E74" t="s">
        <v>1833</v>
      </c>
    </row>
    <row r="75" spans="1:26" ht="30">
      <c r="A75" s="5" t="str">
        <f>E75</f>
        <v>dom_eval_RR_kWh_LG</v>
      </c>
      <c r="B75" s="30" t="s">
        <v>2648</v>
      </c>
      <c r="E75" t="s">
        <v>1832</v>
      </c>
    </row>
    <row r="76" spans="1:26" ht="30">
      <c r="A76" s="5" t="str">
        <f>E76</f>
        <v>dom_eval_RR_thm_LG</v>
      </c>
      <c r="B76" s="30" t="s">
        <v>2648</v>
      </c>
      <c r="E76" t="s">
        <v>1842</v>
      </c>
    </row>
    <row r="77" spans="1:26" ht="30">
      <c r="A77" s="5" t="str">
        <f t="shared" ref="A77:A81" si="9">E77</f>
        <v>dom_mean_eval_NTGR_kW_LN</v>
      </c>
      <c r="B77" s="30" t="s">
        <v>2649</v>
      </c>
      <c r="E77" t="s">
        <v>2576</v>
      </c>
    </row>
    <row r="78" spans="1:26" ht="30">
      <c r="A78" s="5" t="str">
        <f t="shared" si="9"/>
        <v>dom_mean_eval_NTGR_kWh_LN</v>
      </c>
      <c r="B78" s="30" t="s">
        <v>2649</v>
      </c>
      <c r="E78" t="s">
        <v>2575</v>
      </c>
    </row>
    <row r="79" spans="1:26" ht="30">
      <c r="A79" s="5" t="str">
        <f t="shared" si="9"/>
        <v>dom_mean_eval_NTGR_thm_LN</v>
      </c>
      <c r="B79" s="30" t="s">
        <v>2649</v>
      </c>
      <c r="E79" t="s">
        <v>2577</v>
      </c>
    </row>
    <row r="80" spans="1:26" ht="30">
      <c r="A80" s="5" t="str">
        <f t="shared" si="9"/>
        <v>dom_eval_EUL_RR_kWh</v>
      </c>
      <c r="B80" s="30" t="s">
        <v>2650</v>
      </c>
      <c r="E80" t="s">
        <v>2389</v>
      </c>
    </row>
    <row r="81" spans="1:26" ht="30">
      <c r="A81" s="5" t="str">
        <f t="shared" si="9"/>
        <v>dom_eval_EUL_RR_thm</v>
      </c>
      <c r="B81" s="30" t="s">
        <v>2650</v>
      </c>
      <c r="E81" t="s">
        <v>2390</v>
      </c>
    </row>
    <row r="82" spans="1:26" ht="30">
      <c r="A82" s="5" t="str">
        <f>D82</f>
        <v>study_ExPost_Base1_svgs_kw</v>
      </c>
      <c r="B82" s="30" t="s">
        <v>2651</v>
      </c>
      <c r="D82" t="s">
        <v>2602</v>
      </c>
      <c r="Y82" t="b">
        <f t="shared" si="5"/>
        <v>1</v>
      </c>
      <c r="Z82" t="b">
        <f t="shared" si="6"/>
        <v>0</v>
      </c>
    </row>
    <row r="83" spans="1:26" ht="30">
      <c r="A83" s="5" t="str">
        <f t="shared" ref="A83:A100" si="10">D83</f>
        <v>study_ExPost_Base1_svgs_kwh</v>
      </c>
      <c r="B83" s="30" t="s">
        <v>2651</v>
      </c>
      <c r="D83" t="s">
        <v>2603</v>
      </c>
      <c r="Y83" t="b">
        <f t="shared" si="5"/>
        <v>1</v>
      </c>
      <c r="Z83" t="b">
        <f t="shared" si="6"/>
        <v>0</v>
      </c>
    </row>
    <row r="84" spans="1:26" ht="30">
      <c r="A84" s="5" t="str">
        <f t="shared" si="10"/>
        <v>study_ExPost_Base1_svgs_thm</v>
      </c>
      <c r="B84" s="30" t="s">
        <v>2651</v>
      </c>
      <c r="D84" t="s">
        <v>2604</v>
      </c>
      <c r="Y84" t="b">
        <f t="shared" si="5"/>
        <v>1</v>
      </c>
      <c r="Z84" t="b">
        <f t="shared" si="6"/>
        <v>0</v>
      </c>
    </row>
    <row r="85" spans="1:26" ht="30">
      <c r="A85" s="5" t="str">
        <f t="shared" si="10"/>
        <v>study_ExPost_Base2_svgs_kw</v>
      </c>
      <c r="B85" s="30" t="s">
        <v>2652</v>
      </c>
      <c r="D85" t="s">
        <v>2605</v>
      </c>
      <c r="Y85" t="b">
        <f t="shared" si="5"/>
        <v>1</v>
      </c>
      <c r="Z85" t="b">
        <f t="shared" si="6"/>
        <v>0</v>
      </c>
    </row>
    <row r="86" spans="1:26" ht="30">
      <c r="A86" s="5" t="str">
        <f t="shared" si="10"/>
        <v>study_ExPost_Base2_svgs_kwh</v>
      </c>
      <c r="B86" s="30" t="s">
        <v>2652</v>
      </c>
      <c r="D86" t="s">
        <v>2606</v>
      </c>
      <c r="Y86" t="b">
        <f t="shared" si="5"/>
        <v>1</v>
      </c>
      <c r="Z86" t="b">
        <f t="shared" si="6"/>
        <v>0</v>
      </c>
    </row>
    <row r="87" spans="1:26" ht="30">
      <c r="A87" s="5" t="str">
        <f t="shared" si="10"/>
        <v>study_ExPost_Base2_svgs_thm</v>
      </c>
      <c r="B87" s="30" t="s">
        <v>2652</v>
      </c>
      <c r="D87" t="s">
        <v>2607</v>
      </c>
      <c r="Y87" t="b">
        <f t="shared" si="5"/>
        <v>1</v>
      </c>
      <c r="Z87" t="b">
        <f t="shared" si="6"/>
        <v>0</v>
      </c>
    </row>
    <row r="88" spans="1:26" ht="30">
      <c r="A88" s="5" t="s">
        <v>581</v>
      </c>
      <c r="B88" s="30" t="s">
        <v>2653</v>
      </c>
      <c r="S88" t="str">
        <f>"( " &amp; $A$96 &amp; " ==True ), " &amp; A48 &amp; " * " &amp; A80 &amp; "; ( " &amp; $A$97 &amp; " ==True ), " &amp; A48 &amp; " * " &amp; $A$81 &amp; ", np.nan"</f>
        <v>( Frame_Electric ==True ), EUL_Yrs * dom_eval_EUL_RR_kWh; ( Frame_Gas ==True ), EUL_Yrs * dom_eval_EUL_RR_thm, np.nan</v>
      </c>
      <c r="Y88" t="b">
        <f t="shared" si="5"/>
        <v>1</v>
      </c>
      <c r="Z88" t="b">
        <f t="shared" si="6"/>
        <v>1</v>
      </c>
    </row>
    <row r="89" spans="1:26">
      <c r="A89" s="5" t="s">
        <v>582</v>
      </c>
      <c r="B89" s="30" t="s">
        <v>2618</v>
      </c>
      <c r="S89" t="str">
        <f>"( " &amp; $A$96 &amp; " ==True ), " &amp; A49 &amp; " * " &amp; A81 &amp; "; ( " &amp; $A$97 &amp; " ==True ), " &amp; A49 &amp; " * " &amp; $A$81 &amp; ", np.nan"</f>
        <v>( Frame_Electric ==True ), RUL_Yrs * dom_eval_EUL_RR_thm; ( Frame_Gas ==True ), RUL_Yrs * dom_eval_EUL_RR_thm, np.nan</v>
      </c>
      <c r="Y89" t="b">
        <f t="shared" si="5"/>
        <v>1</v>
      </c>
      <c r="Z89" t="b">
        <f t="shared" si="6"/>
        <v>0</v>
      </c>
    </row>
    <row r="90" spans="1:26">
      <c r="A90" s="5" t="s">
        <v>2637</v>
      </c>
      <c r="S90" t="str">
        <f>"( " &amp; A2 &amp; " =='SCE-2018-Q4-0113253' ) | ( " &amp; A2 &amp; " =='SCE-2018-Q3-0000887' ) | ( " &amp; A2 &amp; " =='SCE-2018-Q3-0001181' ), 1, ( " &amp; A49 &amp; " )"</f>
        <v>( ClaimID =='SCE-2018-Q4-0113253' ) | ( ClaimID =='SCE-2018-Q3-0000887' ) | ( ClaimID =='SCE-2018-Q3-0001181' ), 1, ( RUL_Yrs )</v>
      </c>
    </row>
    <row r="91" spans="1:26">
      <c r="A91" s="5"/>
    </row>
    <row r="92" spans="1:26">
      <c r="A92" s="5" t="s">
        <v>603</v>
      </c>
      <c r="I92" t="str">
        <f>A48</f>
        <v>EUL_Yrs</v>
      </c>
      <c r="S92" t="str">
        <f>A88&amp; " .notnull(), ( " &amp; A88 &amp; " ), ( " &amp; A48 &amp; " )"</f>
        <v>EvalEUL .notnull(), ( EvalEUL ), ( EUL_Yrs )</v>
      </c>
      <c r="Y92" t="b">
        <f>IF(NOT(ISBLANK(A92)), LEN(_xlfn.CONCAT(C92:X92))&gt;0, "")</f>
        <v>1</v>
      </c>
      <c r="Z92" t="b">
        <f>AND(ISNUMBER(SEARCH("kw",_xlfn.CONCAT(I92:X92))), ISNUMBER(SEARCH("thm",_xlfn.CONCAT(I92:X92))))</f>
        <v>0</v>
      </c>
    </row>
    <row r="93" spans="1:26">
      <c r="A93" s="5" t="s">
        <v>604</v>
      </c>
      <c r="I93" t="str">
        <f>A90</f>
        <v>rulspecial</v>
      </c>
      <c r="S93" t="str">
        <f>A89&amp; " .notnull(), ( " &amp; A89 &amp; " ), ( " &amp; A49 &amp; " )"</f>
        <v>EvalRUL .notnull(), ( EvalRUL ), ( RUL_Yrs )</v>
      </c>
      <c r="Y93" t="b">
        <f>IF(NOT(ISBLANK(A93)), LEN(_xlfn.CONCAT(C93:X93))&gt;0, "")</f>
        <v>1</v>
      </c>
      <c r="Z93" t="b">
        <f>AND(ISNUMBER(SEARCH("kw",_xlfn.CONCAT(I93:X93))), ISNUMBER(SEARCH("thm",_xlfn.CONCAT(I93:X93))))</f>
        <v>0</v>
      </c>
    </row>
    <row r="94" spans="1:26">
      <c r="A94" s="5" t="str">
        <f t="shared" si="10"/>
        <v>EvalMeasAppType</v>
      </c>
      <c r="D94" t="s">
        <v>605</v>
      </c>
      <c r="G94" t="s">
        <v>658</v>
      </c>
      <c r="Y94" t="b">
        <f t="shared" si="5"/>
        <v>1</v>
      </c>
      <c r="Z94" t="b">
        <f t="shared" si="6"/>
        <v>0</v>
      </c>
    </row>
    <row r="95" spans="1:26">
      <c r="A95" s="5" t="str">
        <f t="shared" si="10"/>
        <v>InstallDeadline_MV</v>
      </c>
      <c r="D95" t="s">
        <v>234</v>
      </c>
      <c r="Y95" t="b">
        <f t="shared" ref="Y95:Y100" si="11">IF(NOT(ISBLANK(A95)), LEN(_xlfn.CONCAT(C95:X95))&gt;0, "")</f>
        <v>1</v>
      </c>
      <c r="Z95" t="b">
        <f t="shared" ref="Z95:Z100" si="12">AND(ISNUMBER(SEARCH("kw",_xlfn.CONCAT(I95:X95))), ISNUMBER(SEARCH("thm",_xlfn.CONCAT(I95:X95))))</f>
        <v>0</v>
      </c>
    </row>
    <row r="96" spans="1:26">
      <c r="A96" s="5" t="str">
        <f t="shared" si="10"/>
        <v>Frame_Electric</v>
      </c>
      <c r="D96" t="s">
        <v>1771</v>
      </c>
      <c r="Y96" t="b">
        <f t="shared" si="11"/>
        <v>1</v>
      </c>
      <c r="Z96" t="b">
        <f t="shared" si="12"/>
        <v>0</v>
      </c>
    </row>
    <row r="97" spans="1:26">
      <c r="A97" s="5" t="str">
        <f t="shared" si="10"/>
        <v>Frame_Gas</v>
      </c>
      <c r="D97" t="s">
        <v>1772</v>
      </c>
      <c r="Y97" t="b">
        <f t="shared" si="11"/>
        <v>1</v>
      </c>
      <c r="Z97" t="b">
        <f t="shared" si="12"/>
        <v>0</v>
      </c>
    </row>
    <row r="98" spans="1:26">
      <c r="A98" s="5" t="str">
        <f t="shared" si="10"/>
        <v>GrossDisposition</v>
      </c>
      <c r="D98" t="s">
        <v>1553</v>
      </c>
      <c r="Y98" t="b">
        <f t="shared" si="11"/>
        <v>1</v>
      </c>
      <c r="Z98" t="b">
        <f t="shared" si="12"/>
        <v>0</v>
      </c>
    </row>
    <row r="99" spans="1:26">
      <c r="A99" s="5" t="str">
        <f t="shared" si="10"/>
        <v>NetDisposition</v>
      </c>
      <c r="D99" t="s">
        <v>1552</v>
      </c>
      <c r="Y99" t="b">
        <f t="shared" si="11"/>
        <v>1</v>
      </c>
      <c r="Z99" t="b">
        <f t="shared" si="12"/>
        <v>0</v>
      </c>
    </row>
    <row r="100" spans="1:26">
      <c r="A100" s="5" t="str">
        <f t="shared" si="10"/>
        <v>SampleID</v>
      </c>
      <c r="D100" t="s">
        <v>63</v>
      </c>
      <c r="Y100" t="b">
        <f t="shared" si="11"/>
        <v>1</v>
      </c>
      <c r="Z100" t="b">
        <f t="shared" si="12"/>
        <v>0</v>
      </c>
    </row>
    <row r="101" spans="1:26" ht="16.5" customHeight="1">
      <c r="A101" s="5" t="str">
        <f>D101</f>
        <v>SBW_ProjID</v>
      </c>
      <c r="D101" t="s">
        <v>180</v>
      </c>
      <c r="Y101" t="b">
        <f t="shared" ref="Y101:Y192" si="13">IF(NOT(ISBLANK(A101)), LEN(_xlfn.CONCAT(C101:X101))&gt;0, "")</f>
        <v>1</v>
      </c>
      <c r="Z101" t="b">
        <f t="shared" ref="Z101:Z192" si="14">AND(ISNUMBER(SEARCH("kw",_xlfn.CONCAT(I101:X101))), ISNUMBER(SEARCH("thm",_xlfn.CONCAT(I101:X101))))</f>
        <v>0</v>
      </c>
    </row>
    <row r="102" spans="1:26" ht="16.5" customHeight="1">
      <c r="A102" s="5" t="str">
        <f t="shared" ref="A102:A104" si="15">D102</f>
        <v>study_ExPost_Annualized_Gross_kw</v>
      </c>
      <c r="D102" t="s">
        <v>2584</v>
      </c>
      <c r="Y102" t="b">
        <f t="shared" ref="Y102:Y105" si="16">IF(NOT(ISBLANK(A102)), LEN(_xlfn.CONCAT(C102:X102))&gt;0, "")</f>
        <v>1</v>
      </c>
      <c r="Z102" t="b">
        <f t="shared" ref="Z102:Z105" si="17">AND(ISNUMBER(SEARCH("kw",_xlfn.CONCAT(I102:X102))), ISNUMBER(SEARCH("thm",_xlfn.CONCAT(I102:X102))))</f>
        <v>0</v>
      </c>
    </row>
    <row r="103" spans="1:26" ht="16.5" customHeight="1">
      <c r="A103" s="5" t="str">
        <f t="shared" si="15"/>
        <v>study_ExPost_Annualized_Gross_kwh</v>
      </c>
      <c r="D103" t="s">
        <v>2585</v>
      </c>
      <c r="Y103" t="b">
        <f t="shared" si="16"/>
        <v>1</v>
      </c>
      <c r="Z103" t="b">
        <f t="shared" si="17"/>
        <v>0</v>
      </c>
    </row>
    <row r="104" spans="1:26" ht="16.5" customHeight="1">
      <c r="A104" s="5" t="str">
        <f t="shared" si="15"/>
        <v>study_ExPost_Annualized_Gross_thm</v>
      </c>
      <c r="D104" t="s">
        <v>2586</v>
      </c>
      <c r="Y104" t="b">
        <f t="shared" si="16"/>
        <v>1</v>
      </c>
      <c r="Z104" t="b">
        <f t="shared" si="17"/>
        <v>0</v>
      </c>
    </row>
    <row r="105" spans="1:26">
      <c r="A105" s="5" t="str">
        <f>D105 &amp; "_raw"</f>
        <v>study_ExPost_Lifecycle_Gross_kw_raw</v>
      </c>
      <c r="D105" t="s">
        <v>2593</v>
      </c>
      <c r="Y105" t="b">
        <f t="shared" si="16"/>
        <v>1</v>
      </c>
      <c r="Z105" t="b">
        <f t="shared" si="17"/>
        <v>0</v>
      </c>
    </row>
    <row r="106" spans="1:26">
      <c r="A106" s="5" t="str">
        <f>D106 &amp; "_raw"</f>
        <v>study_ExPost_Lifecycle_Gross_kwh_raw</v>
      </c>
      <c r="D106" t="s">
        <v>2594</v>
      </c>
      <c r="Y106" t="b">
        <f t="shared" si="13"/>
        <v>1</v>
      </c>
      <c r="Z106" t="b">
        <f t="shared" si="14"/>
        <v>0</v>
      </c>
    </row>
    <row r="107" spans="1:26">
      <c r="A107" s="5" t="str">
        <f>D107 &amp; "_raw"</f>
        <v>study_ExPost_Lifecycle_Gross_thm_raw</v>
      </c>
      <c r="D107" t="s">
        <v>2595</v>
      </c>
      <c r="Y107" t="b">
        <f t="shared" si="13"/>
        <v>1</v>
      </c>
      <c r="Z107" t="b">
        <f t="shared" si="14"/>
        <v>0</v>
      </c>
    </row>
    <row r="108" spans="1:26">
      <c r="A108" s="5" t="str">
        <f t="shared" ref="A108:A110" si="18">D108</f>
        <v>study_ExPost_FirstYear_Gross_kw</v>
      </c>
      <c r="D108" t="s">
        <v>2740</v>
      </c>
    </row>
    <row r="109" spans="1:26">
      <c r="A109" s="5" t="str">
        <f t="shared" si="18"/>
        <v>study_ExPost_FirstYear_Gross_kwh</v>
      </c>
      <c r="D109" t="s">
        <v>2741</v>
      </c>
    </row>
    <row r="110" spans="1:26">
      <c r="A110" s="5" t="str">
        <f t="shared" si="18"/>
        <v>study_ExPost_FirstYear_Gross_thm</v>
      </c>
      <c r="D110" t="s">
        <v>2742</v>
      </c>
    </row>
    <row r="111" spans="1:26">
      <c r="A111" s="5" t="str">
        <f t="shared" ref="A111:A116" si="19">D111</f>
        <v>study_ExPost_Annualized_Net_kw</v>
      </c>
      <c r="D111" t="s">
        <v>2596</v>
      </c>
    </row>
    <row r="112" spans="1:26">
      <c r="A112" s="5" t="str">
        <f t="shared" si="19"/>
        <v>study_ExPost_Annualized_Net_kwh</v>
      </c>
      <c r="D112" t="s">
        <v>2597</v>
      </c>
    </row>
    <row r="113" spans="1:30">
      <c r="A113" s="5" t="str">
        <f t="shared" si="19"/>
        <v>study_ExPost_Annualized_Net_thm</v>
      </c>
      <c r="D113" t="s">
        <v>2598</v>
      </c>
    </row>
    <row r="114" spans="1:30">
      <c r="A114" s="5" t="str">
        <f t="shared" si="19"/>
        <v>study_ExPost_Lifecycle_Net_kw</v>
      </c>
      <c r="D114" t="s">
        <v>2599</v>
      </c>
    </row>
    <row r="115" spans="1:30">
      <c r="A115" s="5" t="str">
        <f t="shared" si="19"/>
        <v>study_ExPost_Lifecycle_Net_kwh</v>
      </c>
      <c r="D115" t="s">
        <v>2600</v>
      </c>
    </row>
    <row r="116" spans="1:30">
      <c r="A116" s="5" t="str">
        <f t="shared" si="19"/>
        <v>study_ExPost_Lifecycle_Net_thm</v>
      </c>
      <c r="D116" t="s">
        <v>2601</v>
      </c>
    </row>
    <row r="117" spans="1:30">
      <c r="A117" s="5" t="str">
        <f t="shared" ref="A117:A119" si="20">D117</f>
        <v>dom_LC_NTGR_kw</v>
      </c>
      <c r="D117" t="s">
        <v>2590</v>
      </c>
      <c r="Y117" t="b">
        <f t="shared" si="13"/>
        <v>1</v>
      </c>
      <c r="Z117" t="b">
        <f t="shared" si="14"/>
        <v>0</v>
      </c>
    </row>
    <row r="118" spans="1:30">
      <c r="A118" s="5" t="str">
        <f t="shared" si="20"/>
        <v>dom_LC_NTGR_kwh</v>
      </c>
      <c r="D118" t="s">
        <v>2591</v>
      </c>
      <c r="Y118" t="b">
        <f t="shared" si="13"/>
        <v>1</v>
      </c>
      <c r="Z118" t="b">
        <f t="shared" si="14"/>
        <v>0</v>
      </c>
    </row>
    <row r="119" spans="1:30">
      <c r="A119" s="5" t="str">
        <f t="shared" si="20"/>
        <v>dom_LC_NTGR_thm</v>
      </c>
      <c r="D119" t="s">
        <v>2592</v>
      </c>
      <c r="Y119" t="b">
        <f t="shared" si="13"/>
        <v>1</v>
      </c>
      <c r="Z119" t="b">
        <f t="shared" si="14"/>
        <v>0</v>
      </c>
    </row>
    <row r="120" spans="1:30">
      <c r="A120" s="5" t="s">
        <v>2548</v>
      </c>
      <c r="J120" t="s">
        <v>2549</v>
      </c>
      <c r="Y120" t="b">
        <f t="shared" si="13"/>
        <v>1</v>
      </c>
      <c r="Z120" t="b">
        <f t="shared" si="14"/>
        <v>0</v>
      </c>
    </row>
    <row r="121" spans="1:30" ht="60">
      <c r="A121" s="5" t="s">
        <v>2498</v>
      </c>
      <c r="B121" s="29" t="s">
        <v>2531</v>
      </c>
      <c r="J121" t="str">
        <f>"( " &amp; A31 &amp; " )"</f>
        <v>( NumUnits )</v>
      </c>
      <c r="S121" t="str">
        <f>"( pd.DatetimeIndex( " &amp; A24 &amp; " ).year == 2018 ) | ( " &amp; A95 &amp; " =='Yes' ) , ( " &amp; A31 &amp; " ), 0"</f>
        <v>( pd.DatetimeIndex( InstallationDate ).year == 2018 ) | ( InstallDeadline_MV =='Yes' ) , ( NumUnits ), 0</v>
      </c>
      <c r="Y121" t="b">
        <f>IF(NOT(ISBLANK(A121)), LEN(_xlfn.CONCAT(C121:X121))&gt;0, "")</f>
        <v>1</v>
      </c>
      <c r="Z121" t="b">
        <f>AND(ISNUMBER(SEARCH("kw",_xlfn.CONCAT(I121:X121))), ISNUMBER(SEARCH("thm",_xlfn.CONCAT(I121:X121))))</f>
        <v>0</v>
      </c>
      <c r="AD121">
        <v>24</v>
      </c>
    </row>
    <row r="122" spans="1:30">
      <c r="A122" s="5" t="s">
        <v>2636</v>
      </c>
      <c r="B122" s="29"/>
      <c r="J122" t="str">
        <f>"( pd.DatetimeIndex( " &amp; A24 &amp; " ).year != 2018 ) &amp; ( " &amp; A120 &amp; " !=True ) &amp; ( " &amp; A96 &amp; " .notnull() )"</f>
        <v>( pd.DatetimeIndex( InstallationDate ).year != 2018 ) &amp; ( MV_ok !=True ) &amp; ( Frame_Electric .notnull() )</v>
      </c>
      <c r="Y122" t="b">
        <f>IF(NOT(ISBLANK(A122)), LEN(_xlfn.CONCAT(C122:X122))&gt;0, "")</f>
        <v>1</v>
      </c>
      <c r="Z122" t="b">
        <f>AND(ISNUMBER(SEARCH("kw",_xlfn.CONCAT(I122:X122))), ISNUMBER(SEARCH("thm",_xlfn.CONCAT(I122:X122))))</f>
        <v>0</v>
      </c>
    </row>
    <row r="123" spans="1:30">
      <c r="A123" s="5" t="s">
        <v>2609</v>
      </c>
      <c r="B123" s="29"/>
      <c r="J123" t="str">
        <f t="shared" ref="J123:J128" si="21">A82 &amp; " / " &amp; $A$121</f>
        <v>study_ExPost_Base1_svgs_kw / EvalNumUnits</v>
      </c>
      <c r="S123" t="str">
        <f>"( " &amp; $A$96 &amp; " ==True ), " &amp; A82 &amp; " / " &amp; $A$121 &amp; ", 0"</f>
        <v>( Frame_Electric ==True ), study_ExPost_Base1_svgs_kw / EvalNumUnits, 0</v>
      </c>
      <c r="Y123" t="b">
        <f t="shared" ref="Y123:Y137" si="22">IF(NOT(ISBLANK(A123)), LEN(_xlfn.CONCAT(C123:X123))&gt;0, "")</f>
        <v>1</v>
      </c>
      <c r="Z123" t="b">
        <f t="shared" ref="Z123:Z137" si="23">AND(ISNUMBER(SEARCH("kw",_xlfn.CONCAT(I123:X123))), ISNUMBER(SEARCH("thm",_xlfn.CONCAT(I123:X123))))</f>
        <v>0</v>
      </c>
    </row>
    <row r="124" spans="1:30">
      <c r="A124" s="5" t="s">
        <v>2610</v>
      </c>
      <c r="B124" s="29"/>
      <c r="J124" t="str">
        <f t="shared" si="21"/>
        <v>study_ExPost_Base1_svgs_kwh / EvalNumUnits</v>
      </c>
      <c r="S124" t="str">
        <f>"( " &amp; $A$96 &amp; " ==True ), " &amp; A83 &amp; " / " &amp; $A$121 &amp; ", 0"</f>
        <v>( Frame_Electric ==True ), study_ExPost_Base1_svgs_kwh / EvalNumUnits, 0</v>
      </c>
      <c r="Y124" t="b">
        <f t="shared" si="22"/>
        <v>1</v>
      </c>
      <c r="Z124" t="b">
        <f t="shared" si="23"/>
        <v>0</v>
      </c>
    </row>
    <row r="125" spans="1:30">
      <c r="A125" s="5" t="s">
        <v>2611</v>
      </c>
      <c r="B125" s="29"/>
      <c r="J125" t="str">
        <f t="shared" si="21"/>
        <v>study_ExPost_Base1_svgs_thm / EvalNumUnits</v>
      </c>
      <c r="S125" t="str">
        <f>"( " &amp; $A$97 &amp; " ==True ), " &amp; A84 &amp; " / " &amp; $A$121 &amp; ", 0"</f>
        <v>( Frame_Gas ==True ), study_ExPost_Base1_svgs_thm / EvalNumUnits, 0</v>
      </c>
      <c r="Y125" t="b">
        <f t="shared" si="22"/>
        <v>1</v>
      </c>
      <c r="Z125" t="b">
        <f t="shared" si="23"/>
        <v>0</v>
      </c>
    </row>
    <row r="126" spans="1:30">
      <c r="A126" s="5" t="s">
        <v>2612</v>
      </c>
      <c r="B126" s="29"/>
      <c r="J126" t="str">
        <f t="shared" si="21"/>
        <v>study_ExPost_Base2_svgs_kw / EvalNumUnits</v>
      </c>
      <c r="S126" t="str">
        <f>"( " &amp; $A$96 &amp; " ==True ), " &amp; A85 &amp; " / " &amp; $A$121 &amp; ", 0"</f>
        <v>( Frame_Electric ==True ), study_ExPost_Base2_svgs_kw / EvalNumUnits, 0</v>
      </c>
      <c r="Y126" t="b">
        <f t="shared" si="22"/>
        <v>1</v>
      </c>
      <c r="Z126" t="b">
        <f t="shared" si="23"/>
        <v>0</v>
      </c>
    </row>
    <row r="127" spans="1:30">
      <c r="A127" s="5" t="s">
        <v>2613</v>
      </c>
      <c r="B127" s="29"/>
      <c r="J127" t="str">
        <f t="shared" si="21"/>
        <v>study_ExPost_Base2_svgs_kwh / EvalNumUnits</v>
      </c>
      <c r="S127" t="str">
        <f>"( " &amp; $A$96 &amp; " ==True ), " &amp; A86 &amp; " / " &amp; $A$121 &amp; ", 0"</f>
        <v>( Frame_Electric ==True ), study_ExPost_Base2_svgs_kwh / EvalNumUnits, 0</v>
      </c>
      <c r="Y127" t="b">
        <f t="shared" si="22"/>
        <v>1</v>
      </c>
      <c r="Z127" t="b">
        <f t="shared" si="23"/>
        <v>0</v>
      </c>
    </row>
    <row r="128" spans="1:30">
      <c r="A128" s="5" t="s">
        <v>2614</v>
      </c>
      <c r="B128" s="29"/>
      <c r="J128" t="str">
        <f t="shared" si="21"/>
        <v>study_ExPost_Base2_svgs_thm / EvalNumUnits</v>
      </c>
      <c r="S128" t="str">
        <f>"( " &amp; $A$97 &amp; " ==True ), " &amp; A87 &amp; " / " &amp; $A$121 &amp; ", 0"</f>
        <v>( Frame_Gas ==True ), study_ExPost_Base2_svgs_thm / EvalNumUnits, 0</v>
      </c>
      <c r="Y128" t="b">
        <f t="shared" si="22"/>
        <v>1</v>
      </c>
      <c r="Z128" t="b">
        <f t="shared" si="23"/>
        <v>0</v>
      </c>
    </row>
    <row r="129" spans="1:31">
      <c r="A129" s="5" t="s">
        <v>2638</v>
      </c>
      <c r="B129" s="29"/>
      <c r="S129" t="str">
        <f>"( " &amp; A2 &amp; " =='SCE-2018-Q4-0113253' ) | ( " &amp; A2 &amp; " =='SCE-2018-Q3-0000887' ) | ( " &amp; A2 &amp; " =='SCE-2018-Q3-0001181' ), 100, ( " &amp; A127&amp; " )"</f>
        <v>( ClaimID =='SCE-2018-Q4-0113253' ) | ( ClaimID =='SCE-2018-Q3-0000887' ) | ( ClaimID =='SCE-2018-Q3-0001181' ), 100, ( EvalUnitkWh2ndBaseline_raw )</v>
      </c>
    </row>
    <row r="130" spans="1:31" ht="30">
      <c r="A130" s="5" t="str">
        <f xml:space="preserve"> A141 &amp; "_cleaned"</f>
        <v>EvalUnitkW1stBaseline_cleaned</v>
      </c>
      <c r="B130" s="30" t="s">
        <v>2615</v>
      </c>
      <c r="S130" t="str">
        <f>"( " &amp; A123 &amp; " .isin([np.inf, -np.inf, np.isnan])) | ( " &amp; A123 &amp; " .isnull()) , 0, ( " &amp; A123 &amp; " )"</f>
        <v>( EvalUnitkW1stBaseline_raw .isin([np.inf, -np.inf, np.isnan])) | ( EvalUnitkW1stBaseline_raw .isnull()) , 0, ( EvalUnitkW1stBaseline_raw )</v>
      </c>
      <c r="Y130" t="b">
        <f t="shared" si="22"/>
        <v>1</v>
      </c>
      <c r="Z130" t="b">
        <f t="shared" si="23"/>
        <v>0</v>
      </c>
    </row>
    <row r="131" spans="1:31" ht="30">
      <c r="A131" s="5" t="str">
        <f t="shared" ref="A131:A135" si="24" xml:space="preserve"> A142 &amp; "_cleaned"</f>
        <v>EvalUnitkWh1stBaseline_cleaned</v>
      </c>
      <c r="B131" s="30" t="s">
        <v>2615</v>
      </c>
      <c r="S131" t="str">
        <f>"( " &amp; A124 &amp; " .isin([np.inf, -np.inf, np.isnan])) | ( " &amp; A124 &amp; " .isnull()) , 0, ( " &amp; A124 &amp; " )"</f>
        <v>( EvalUnitkWh1stBaseline_raw .isin([np.inf, -np.inf, np.isnan])) | ( EvalUnitkWh1stBaseline_raw .isnull()) , 0, ( EvalUnitkWh1stBaseline_raw )</v>
      </c>
      <c r="Y131" t="b">
        <f t="shared" si="22"/>
        <v>1</v>
      </c>
      <c r="Z131" t="b">
        <f t="shared" si="23"/>
        <v>0</v>
      </c>
    </row>
    <row r="132" spans="1:31" ht="30">
      <c r="A132" s="5" t="str">
        <f t="shared" si="24"/>
        <v>EvalUnitTherm1stBaseline_cleaned</v>
      </c>
      <c r="B132" s="30" t="s">
        <v>2615</v>
      </c>
      <c r="S132" t="str">
        <f>"( " &amp; A125 &amp; " .isin([np.inf, -np.inf, np.isnan])) | ( " &amp; A125 &amp; " .isnull()) , 0, ( " &amp; A125 &amp; " )"</f>
        <v>( EvalUnitTherm1stBaseline_raw .isin([np.inf, -np.inf, np.isnan])) | ( EvalUnitTherm1stBaseline_raw .isnull()) , 0, ( EvalUnitTherm1stBaseline_raw )</v>
      </c>
      <c r="Y132" t="b">
        <f t="shared" si="22"/>
        <v>1</v>
      </c>
      <c r="Z132" t="b">
        <f t="shared" si="23"/>
        <v>0</v>
      </c>
    </row>
    <row r="133" spans="1:31" ht="30">
      <c r="A133" s="5" t="str">
        <f t="shared" si="24"/>
        <v>EvalUnitkW2ndBaseline_cleaned</v>
      </c>
      <c r="B133" s="30" t="s">
        <v>2615</v>
      </c>
      <c r="S133" t="str">
        <f>"( " &amp; A126 &amp; " .isin([np.inf, -np.inf, np.isnan])) | ( " &amp; A126 &amp; " .isnull()) , 0, ( " &amp; A126 &amp; " )"</f>
        <v>( EvalUnitkW2ndBaseline_raw .isin([np.inf, -np.inf, np.isnan])) | ( EvalUnitkW2ndBaseline_raw .isnull()) , 0, ( EvalUnitkW2ndBaseline_raw )</v>
      </c>
      <c r="Y133" t="b">
        <f t="shared" si="22"/>
        <v>1</v>
      </c>
      <c r="Z133" t="b">
        <f t="shared" si="23"/>
        <v>0</v>
      </c>
    </row>
    <row r="134" spans="1:31" ht="30">
      <c r="A134" s="5" t="str">
        <f t="shared" si="24"/>
        <v>EvalUnitkWh2ndBaseline_cleaned</v>
      </c>
      <c r="B134" s="30" t="s">
        <v>2615</v>
      </c>
      <c r="S134" t="str">
        <f>"( " &amp; A129 &amp; " .isin([np.inf, -np.inf, np.isnan])) | ( " &amp; A129 &amp; " .isnull()) , 0, ( " &amp; A129 &amp; " )"</f>
        <v>( EvalUnitkWh2ndBaseline_special .isin([np.inf, -np.inf, np.isnan])) | ( EvalUnitkWh2ndBaseline_special .isnull()) , 0, ( EvalUnitkWh2ndBaseline_special )</v>
      </c>
      <c r="Y134" t="b">
        <f t="shared" si="22"/>
        <v>1</v>
      </c>
      <c r="Z134" t="b">
        <f t="shared" si="23"/>
        <v>0</v>
      </c>
    </row>
    <row r="135" spans="1:31" ht="30">
      <c r="A135" s="5" t="str">
        <f t="shared" si="24"/>
        <v>EvalUnitTherm2ndBaseline_cleaned</v>
      </c>
      <c r="B135" s="30" t="s">
        <v>2615</v>
      </c>
      <c r="S135" t="str">
        <f>"( " &amp; A128 &amp; " .isin([np.inf, -np.inf, np.isnan])) | ( " &amp; A128 &amp; " .isnull()) , 0, ( " &amp; A128 &amp; " )"</f>
        <v>( EvalUnitTherm2ndBaseline_raw .isin([np.inf, -np.inf, np.isnan])) | ( EvalUnitTherm2ndBaseline_raw .isnull()) , 0, ( EvalUnitTherm2ndBaseline_raw )</v>
      </c>
      <c r="Y135" t="b">
        <f t="shared" si="22"/>
        <v>1</v>
      </c>
      <c r="Z135" t="b">
        <f t="shared" si="23"/>
        <v>0</v>
      </c>
    </row>
    <row r="136" spans="1:31">
      <c r="A136" s="5"/>
    </row>
    <row r="137" spans="1:31" ht="60">
      <c r="A137" s="5" t="s">
        <v>2494</v>
      </c>
      <c r="B137" s="29" t="s">
        <v>2550</v>
      </c>
      <c r="S137" t="str">
        <f>"( " &amp;$A$96 &amp; " ==True ) &amp; ( " &amp;$A$97 &amp; " ==True ), ( " &amp; A70 &amp; " + '-Both' ); ( " &amp;$A$96 &amp; " ==True ), ( " &amp; A70 &amp; " + '-Electric' ); ( " &amp;$A$97 &amp; " ==True ), ( " &amp; A70 &amp; " + '-Gas' ), 'None'"</f>
        <v>( Frame_Electric ==True ) &amp; ( Frame_Gas ==True ), ( domain + '-Both' ); ( Frame_Electric ==True ), ( domain + '-Electric' ); ( Frame_Gas ==True ), ( domain + '-Gas' ), 'None'</v>
      </c>
      <c r="Y137" t="b">
        <f t="shared" si="22"/>
        <v>1</v>
      </c>
      <c r="Z137" t="b">
        <f t="shared" si="23"/>
        <v>0</v>
      </c>
      <c r="AE137" t="str">
        <f>"( " &amp;$A$96 &amp; " .notna() ), ( " &amp; A70 &amp; " ), 'None'"</f>
        <v>( Frame_Electric .notna() ), ( domain ), 'None'</v>
      </c>
    </row>
    <row r="138" spans="1:31" ht="30">
      <c r="A138" s="5" t="s">
        <v>2495</v>
      </c>
      <c r="B138" s="29" t="s">
        <v>2608</v>
      </c>
      <c r="S138" t="str">
        <f>"( " &amp;$A$137 &amp; " =='None' ), 1,0"</f>
        <v>( EvalStdReportGroup =='None' ), 1,0</v>
      </c>
      <c r="Y138" t="b">
        <f t="shared" si="13"/>
        <v>1</v>
      </c>
      <c r="Z138" t="b">
        <f t="shared" si="14"/>
        <v>0</v>
      </c>
    </row>
    <row r="139" spans="1:31" ht="30">
      <c r="A139" s="5" t="s">
        <v>2496</v>
      </c>
      <c r="B139" s="29" t="s">
        <v>2608</v>
      </c>
      <c r="S139" t="str">
        <f>"( " &amp;$A$137 &amp; " =='None' ), 1,0"</f>
        <v>( EvalStdReportGroup =='None' ), 1,0</v>
      </c>
      <c r="Y139" t="b">
        <f t="shared" si="13"/>
        <v>1</v>
      </c>
      <c r="Z139" t="b">
        <f t="shared" si="14"/>
        <v>0</v>
      </c>
    </row>
    <row r="140" spans="1:31" ht="60">
      <c r="A140" s="5" t="s">
        <v>2497</v>
      </c>
      <c r="B140" s="29" t="s">
        <v>2551</v>
      </c>
      <c r="S140" t="str">
        <f>$A$137 &amp; " =='None', ( " &amp;  A27 &amp; " ); " &amp; A11 &amp; " =='ER', 1, 0"</f>
        <v>EvalStdReportGroup =='None', ( ER_IOUReported ); MeasAppType =='ER', 1, 0</v>
      </c>
      <c r="Y140" t="b">
        <f t="shared" si="13"/>
        <v>1</v>
      </c>
      <c r="Z140" t="b">
        <f t="shared" si="14"/>
        <v>0</v>
      </c>
    </row>
    <row r="141" spans="1:31" ht="30">
      <c r="A141" s="5" t="s">
        <v>2499</v>
      </c>
      <c r="B141" s="29" t="s">
        <v>2616</v>
      </c>
      <c r="S141" s="3" t="str">
        <f t="shared" ref="S141:S146" si="25">"( " &amp; $A$96 &amp; " ==True ), ( " &amp; A130 &amp; " ), ( " &amp; A32 &amp; " )"</f>
        <v>( Frame_Electric ==True ), ( EvalUnitkW1stBaseline_cleaned ), ( UnitkW1stBaseline )</v>
      </c>
      <c r="Y141" t="b">
        <f t="shared" si="13"/>
        <v>1</v>
      </c>
      <c r="Z141" t="b">
        <f t="shared" si="14"/>
        <v>0</v>
      </c>
      <c r="AD141">
        <v>24</v>
      </c>
      <c r="AE141" s="31" t="str">
        <f>"( " &amp; $A$96 &amp; " ==True ), " &amp; A32 &amp; " * " &amp; A74 &amp; ", ( " &amp; A32 &amp; " )"</f>
        <v>( Frame_Electric ==True ), UnitkW1stBaseline * dom_eval_RR_kW_LG, ( UnitkW1stBaseline )</v>
      </c>
    </row>
    <row r="142" spans="1:31" ht="30">
      <c r="A142" s="5" t="s">
        <v>2500</v>
      </c>
      <c r="B142" s="29" t="s">
        <v>2616</v>
      </c>
      <c r="S142" s="3" t="str">
        <f t="shared" si="25"/>
        <v>( Frame_Electric ==True ), ( EvalUnitkWh1stBaseline_cleaned ), ( UnitkWh1stBaseline )</v>
      </c>
      <c r="Y142" t="b">
        <f t="shared" si="13"/>
        <v>1</v>
      </c>
      <c r="Z142" t="b">
        <f t="shared" si="14"/>
        <v>0</v>
      </c>
      <c r="AD142">
        <v>24</v>
      </c>
    </row>
    <row r="143" spans="1:31" ht="30">
      <c r="A143" s="5" t="s">
        <v>2501</v>
      </c>
      <c r="B143" s="29" t="s">
        <v>2616</v>
      </c>
      <c r="S143" s="3" t="str">
        <f t="shared" si="25"/>
        <v>( Frame_Electric ==True ), ( EvalUnitTherm1stBaseline_cleaned ), ( UnitTherm1stBaseline )</v>
      </c>
      <c r="Y143" t="b">
        <f t="shared" si="13"/>
        <v>1</v>
      </c>
      <c r="Z143" t="b">
        <f t="shared" si="14"/>
        <v>0</v>
      </c>
      <c r="AD143">
        <v>24</v>
      </c>
    </row>
    <row r="144" spans="1:31" ht="30">
      <c r="A144" s="5" t="s">
        <v>2502</v>
      </c>
      <c r="B144" s="29" t="s">
        <v>2616</v>
      </c>
      <c r="S144" s="3" t="str">
        <f t="shared" si="25"/>
        <v>( Frame_Electric ==True ), ( EvalUnitkW2ndBaseline_cleaned ), ( UnitkW2ndBaseline )</v>
      </c>
      <c r="Y144" t="b">
        <f t="shared" si="13"/>
        <v>1</v>
      </c>
      <c r="Z144" t="b">
        <f t="shared" si="14"/>
        <v>0</v>
      </c>
      <c r="AD144">
        <v>24</v>
      </c>
    </row>
    <row r="145" spans="1:30" ht="30">
      <c r="A145" s="5" t="s">
        <v>2503</v>
      </c>
      <c r="B145" s="29" t="s">
        <v>2616</v>
      </c>
      <c r="S145" s="3" t="str">
        <f t="shared" si="25"/>
        <v>( Frame_Electric ==True ), ( EvalUnitkWh2ndBaseline_cleaned ), ( UnitkWh2ndBaseline )</v>
      </c>
      <c r="Y145" t="b">
        <f t="shared" si="13"/>
        <v>1</v>
      </c>
      <c r="Z145" t="b">
        <f t="shared" si="14"/>
        <v>0</v>
      </c>
      <c r="AD145">
        <v>24</v>
      </c>
    </row>
    <row r="146" spans="1:30" ht="30">
      <c r="A146" s="5" t="s">
        <v>2504</v>
      </c>
      <c r="B146" s="29" t="s">
        <v>2616</v>
      </c>
      <c r="S146" s="3" t="str">
        <f t="shared" si="25"/>
        <v>( Frame_Electric ==True ), ( EvalUnitTherm2ndBaseline_cleaned ), ( UnitTherm2ndBaseline )</v>
      </c>
      <c r="Y146" t="b">
        <f t="shared" si="13"/>
        <v>1</v>
      </c>
      <c r="Z146" t="b">
        <f t="shared" si="14"/>
        <v>0</v>
      </c>
    </row>
    <row r="147" spans="1:30" ht="30">
      <c r="A147" s="5" t="s">
        <v>2505</v>
      </c>
      <c r="B147" s="30" t="s">
        <v>2532</v>
      </c>
      <c r="I147" t="str">
        <f>A38</f>
        <v>InstallationRatekW</v>
      </c>
      <c r="Y147" t="b">
        <f t="shared" si="13"/>
        <v>1</v>
      </c>
      <c r="Z147" t="b">
        <f t="shared" si="14"/>
        <v>0</v>
      </c>
    </row>
    <row r="148" spans="1:30" ht="30">
      <c r="A148" s="5" t="s">
        <v>2506</v>
      </c>
      <c r="B148" s="30" t="s">
        <v>2532</v>
      </c>
      <c r="I148" t="str">
        <f>A39</f>
        <v>InstallationRatekWh</v>
      </c>
      <c r="Y148" t="b">
        <f t="shared" si="13"/>
        <v>1</v>
      </c>
      <c r="Z148" t="b">
        <f t="shared" si="14"/>
        <v>0</v>
      </c>
    </row>
    <row r="149" spans="1:30" ht="30">
      <c r="A149" s="5" t="s">
        <v>2507</v>
      </c>
      <c r="B149" s="30" t="s">
        <v>2532</v>
      </c>
      <c r="I149" t="str">
        <f>A40</f>
        <v>InstallationRateTherm</v>
      </c>
      <c r="Y149" t="b">
        <f t="shared" si="13"/>
        <v>1</v>
      </c>
      <c r="Z149" t="b">
        <f t="shared" si="14"/>
        <v>0</v>
      </c>
    </row>
    <row r="150" spans="1:30" ht="30">
      <c r="A150" s="5" t="s">
        <v>2552</v>
      </c>
      <c r="B150" s="29" t="s">
        <v>2555</v>
      </c>
      <c r="S150" t="str">
        <f>$A$137 &amp; " =='None', ( " &amp; A41 &amp; " ), " &amp; A108 &amp; " / ( " &amp; $A$31 &amp; " * " &amp; A141 &amp; " )"</f>
        <v>EvalStdReportGroup =='None', ( RealizationRatekW ), study_ExPost_FirstYear_Gross_kw / ( NumUnits * EvalUnitkW1stBaseline )</v>
      </c>
      <c r="Y150" t="b">
        <f t="shared" si="13"/>
        <v>1</v>
      </c>
      <c r="Z150" t="b">
        <f t="shared" si="14"/>
        <v>0</v>
      </c>
    </row>
    <row r="151" spans="1:30" ht="30">
      <c r="A151" s="5" t="s">
        <v>2553</v>
      </c>
      <c r="B151" s="29" t="s">
        <v>2555</v>
      </c>
      <c r="S151" t="str">
        <f>$A$137 &amp; " =='None', ( " &amp; A42 &amp; " ), " &amp; A109 &amp; " / ( " &amp; $A$31 &amp; " * " &amp; A142 &amp; " )"</f>
        <v>EvalStdReportGroup =='None', ( RealizationRatekWh ), study_ExPost_FirstYear_Gross_kwh / ( NumUnits * EvalUnitkWh1stBaseline )</v>
      </c>
      <c r="Y151" t="b">
        <f t="shared" si="13"/>
        <v>1</v>
      </c>
      <c r="Z151" t="b">
        <f t="shared" si="14"/>
        <v>0</v>
      </c>
    </row>
    <row r="152" spans="1:30" ht="30">
      <c r="A152" s="5" t="s">
        <v>2554</v>
      </c>
      <c r="B152" s="29" t="s">
        <v>2555</v>
      </c>
      <c r="S152" t="str">
        <f>$A$137 &amp; " =='None', ( " &amp; A43 &amp; " ), " &amp; A110 &amp; " / ( " &amp; $A$31 &amp; " * " &amp; A143 &amp; " )"</f>
        <v>EvalStdReportGroup =='None', ( RealizationRateTherm ), study_ExPost_FirstYear_Gross_thm / ( NumUnits * EvalUnitTherm1stBaseline )</v>
      </c>
      <c r="Y152" t="b">
        <f t="shared" si="13"/>
        <v>1</v>
      </c>
      <c r="Z152" t="b">
        <f t="shared" si="14"/>
        <v>0</v>
      </c>
    </row>
    <row r="153" spans="1:30">
      <c r="A153" s="5" t="s">
        <v>2508</v>
      </c>
      <c r="B153" s="30" t="s">
        <v>2617</v>
      </c>
      <c r="S153" t="str">
        <f>"( " &amp; A150 &amp; " .isin([np.inf, -np.inf, np.isnan])) | ( " &amp; A150 &amp; " .isnull()) , 0, ( " &amp; A150 &amp; " )"</f>
        <v>( EvalRRFirstYearkW_raw .isin([np.inf, -np.inf, np.isnan])) | ( EvalRRFirstYearkW_raw .isnull()) , 0, ( EvalRRFirstYearkW_raw )</v>
      </c>
      <c r="Y153" t="b">
        <f t="shared" ref="Y153:Y155" si="26">IF(NOT(ISBLANK(A153)), LEN(_xlfn.CONCAT(C153:X153))&gt;0, "")</f>
        <v>1</v>
      </c>
      <c r="Z153" t="b">
        <f t="shared" ref="Z153:Z155" si="27">AND(ISNUMBER(SEARCH("kw",_xlfn.CONCAT(I153:X153))), ISNUMBER(SEARCH("thm",_xlfn.CONCAT(I153:X153))))</f>
        <v>0</v>
      </c>
    </row>
    <row r="154" spans="1:30">
      <c r="A154" s="5" t="s">
        <v>2509</v>
      </c>
      <c r="B154" s="30" t="s">
        <v>2617</v>
      </c>
      <c r="S154" t="str">
        <f>"( " &amp; A151 &amp; " .isin([np.inf, -np.inf, np.isnan])) | ( " &amp; A151 &amp; " .isnull()) , 0, ( " &amp; A151 &amp; " )"</f>
        <v>( EvalRRFirstYearkWh_raw .isin([np.inf, -np.inf, np.isnan])) | ( EvalRRFirstYearkWh_raw .isnull()) , 0, ( EvalRRFirstYearkWh_raw )</v>
      </c>
      <c r="Y154" t="b">
        <f t="shared" si="26"/>
        <v>1</v>
      </c>
      <c r="Z154" t="b">
        <f t="shared" si="27"/>
        <v>0</v>
      </c>
    </row>
    <row r="155" spans="1:30">
      <c r="A155" s="5" t="s">
        <v>2510</v>
      </c>
      <c r="B155" s="30" t="s">
        <v>2617</v>
      </c>
      <c r="S155" t="str">
        <f>"( " &amp; A152 &amp; " .isin([np.inf, -np.inf, np.isnan])) | ( " &amp; A152 &amp; " .isnull()) , 0, ( " &amp; A152 &amp; " )"</f>
        <v>( EvalRRFirstYearTherm_raw .isin([np.inf, -np.inf, np.isnan])) | ( EvalRRFirstYearTherm_raw .isnull()) , 0, ( EvalRRFirstYearTherm_raw )</v>
      </c>
      <c r="Y155" t="b">
        <f t="shared" si="26"/>
        <v>1</v>
      </c>
      <c r="Z155" t="b">
        <f t="shared" si="27"/>
        <v>0</v>
      </c>
    </row>
    <row r="156" spans="1:30" ht="60">
      <c r="A156" s="5" t="s">
        <v>2556</v>
      </c>
      <c r="B156" s="30" t="s">
        <v>2532</v>
      </c>
      <c r="S156" s="28" t="str">
        <f>"( " &amp; A$137 &amp; " =='None' ), ( " &amp; A41 &amp; " ); " &amp; $A$140 &amp; " ==1, ( " &amp; T156&amp; " ), ( " &amp; U156 &amp; " )"</f>
        <v>( EvalStdReportGroup =='None' ), ( RealizationRatekW ); ER_EvalExPost ==1, ( study_ExPost_Lifecycle_Gross_kw_raw / ( NumUnits * ( ( EvalUnitkW1stBaseline * EvalRUL_Yrs ) + ( EvalUnitkW2ndBaseline * ( EvalEUL_Yrs - EvalRUL_Yrs ) ) ) ) ), ( study_ExPost_Lifecycle_Gross_kw_raw / ( NumUnits * ( EvalUnitkW1stBaseline * EvalEUL_Yrs ) ) )</v>
      </c>
      <c r="T156" s="28" t="str">
        <f>A105 &amp; " / ( " &amp; $A$31 &amp; " * ( ( " &amp; A141  &amp; " * " &amp; $A$93 &amp; " ) + ( " &amp; A144 &amp; " * ( " &amp; $A$92 &amp; " - " &amp; $A$93 &amp; " ) ) ) )"</f>
        <v>study_ExPost_Lifecycle_Gross_kw_raw / ( NumUnits * ( ( EvalUnitkW1stBaseline * EvalRUL_Yrs ) + ( EvalUnitkW2ndBaseline * ( EvalEUL_Yrs - EvalRUL_Yrs ) ) ) )</v>
      </c>
      <c r="U156" s="28" t="str">
        <f>A105 &amp; " / ( " &amp; $A$31 &amp; " * ( " &amp; A141  &amp; " * " &amp; $A$92 &amp; " ) )"</f>
        <v>study_ExPost_Lifecycle_Gross_kw_raw / ( NumUnits * ( EvalUnitkW1stBaseline * EvalEUL_Yrs ) )</v>
      </c>
      <c r="Y156" t="b">
        <f t="shared" ref="Y156:Y158" si="28">IF(NOT(ISBLANK(A156)), LEN(_xlfn.CONCAT(C156:X156))&gt;0, "")</f>
        <v>1</v>
      </c>
      <c r="Z156" t="b">
        <f t="shared" ref="Z156:Z158" si="29">AND(ISNUMBER(SEARCH("kw",_xlfn.CONCAT(I156:X156))), ISNUMBER(SEARCH("thm",_xlfn.CONCAT(I156:X156))))</f>
        <v>0</v>
      </c>
      <c r="AB156" t="str">
        <f>"( " &amp; A$137 &amp; " =='None' ) | ( " &amp; A96 &amp; " !=True ), ( " &amp; A41 &amp; " ); " &amp; $A$140 &amp; " ==1, ( " &amp; T156&amp; " ), ( " &amp; U156 &amp; " )"</f>
        <v>( EvalStdReportGroup =='None' ) | ( Frame_Electric !=True ), ( RealizationRatekW ); ER_EvalExPost ==1, ( study_ExPost_Lifecycle_Gross_kw_raw / ( NumUnits * ( ( EvalUnitkW1stBaseline * EvalRUL_Yrs ) + ( EvalUnitkW2ndBaseline * ( EvalEUL_Yrs - EvalRUL_Yrs ) ) ) ) ), ( study_ExPost_Lifecycle_Gross_kw_raw / ( NumUnits * ( EvalUnitkW1stBaseline * EvalEUL_Yrs ) ) )</v>
      </c>
    </row>
    <row r="157" spans="1:30" ht="60">
      <c r="A157" s="5" t="s">
        <v>2557</v>
      </c>
      <c r="B157" s="30" t="s">
        <v>2532</v>
      </c>
      <c r="S157" s="28" t="str">
        <f>"( " &amp; A$137 &amp; " =='None' ), ( " &amp; A42 &amp; " ); " &amp; $A$140 &amp; " ==1, ( " &amp; T157&amp; " ), ( " &amp; U157 &amp; " )"</f>
        <v>( EvalStdReportGroup =='None' ), ( RealizationRatekWh ); ER_EvalExPost ==1, ( study_ExPost_Lifecycle_Gross_kwh_raw / ( NumUnits * ( ( EvalUnitkWh1stBaseline * EvalRUL_Yrs ) + ( EvalUnitkWh2ndBaseline * ( EvalEUL_Yrs - EvalRUL_Yrs ) ) ) ) ), ( study_ExPost_Lifecycle_Gross_kwh_raw / ( NumUnits * ( EvalUnitkWh1stBaseline * EvalEUL_Yrs ) ) )</v>
      </c>
      <c r="T157" s="28" t="str">
        <f>A106 &amp; " / ( " &amp; $A$31 &amp; " * ( ( " &amp; A142  &amp; " * " &amp; $A$93 &amp; " ) + ( " &amp; A145 &amp; " * ( " &amp; $A$92 &amp; " - " &amp; $A$93 &amp; " ) ) ) )"</f>
        <v>study_ExPost_Lifecycle_Gross_kwh_raw / ( NumUnits * ( ( EvalUnitkWh1stBaseline * EvalRUL_Yrs ) + ( EvalUnitkWh2ndBaseline * ( EvalEUL_Yrs - EvalRUL_Yrs ) ) ) )</v>
      </c>
      <c r="U157" s="28" t="str">
        <f>A106 &amp; " / ( " &amp; $A$31 &amp; " * ( " &amp; A142  &amp; " * " &amp; $A$92 &amp; " ) )"</f>
        <v>study_ExPost_Lifecycle_Gross_kwh_raw / ( NumUnits * ( EvalUnitkWh1stBaseline * EvalEUL_Yrs ) )</v>
      </c>
      <c r="Y157" t="b">
        <f t="shared" si="28"/>
        <v>1</v>
      </c>
      <c r="Z157" t="b">
        <f t="shared" si="29"/>
        <v>0</v>
      </c>
    </row>
    <row r="158" spans="1:30" ht="60">
      <c r="A158" s="5" t="s">
        <v>2558</v>
      </c>
      <c r="B158" s="30" t="s">
        <v>2532</v>
      </c>
      <c r="S158" s="28" t="str">
        <f>"( " &amp; A$137 &amp; " =='None' ), ( " &amp; A43 &amp; " ); " &amp; $A$140 &amp; " ==1, ( " &amp; T158&amp; " ), ( " &amp; U158 &amp; " )"</f>
        <v>( EvalStdReportGroup =='None' ), ( RealizationRateTherm ); ER_EvalExPost ==1, ( study_ExPost_Lifecycle_Gross_thm_raw / ( NumUnits * ( ( EvalUnitTherm1stBaseline * EvalRUL_Yrs ) + ( EvalUnitTherm2ndBaseline * ( EvalEUL_Yrs - EvalRUL_Yrs ) ) ) ) ), ( study_ExPost_Lifecycle_Gross_thm_raw / ( NumUnits * ( EvalUnitTherm1stBaseline * EvalEUL_Yrs ) ) )</v>
      </c>
      <c r="T158" s="28" t="str">
        <f>A107 &amp; " / ( " &amp; $A$31 &amp; " * ( ( " &amp; A143  &amp; " * " &amp; $A$93 &amp; " ) + ( " &amp; A146 &amp; " * ( " &amp; $A$92 &amp; " - " &amp; $A$93 &amp; " ) ) ) )"</f>
        <v>study_ExPost_Lifecycle_Gross_thm_raw / ( NumUnits * ( ( EvalUnitTherm1stBaseline * EvalRUL_Yrs ) + ( EvalUnitTherm2ndBaseline * ( EvalEUL_Yrs - EvalRUL_Yrs ) ) ) )</v>
      </c>
      <c r="U158" s="28" t="str">
        <f>A107 &amp; " / ( " &amp; $A$31 &amp; " * ( " &amp; A143  &amp; " * " &amp; $A$92 &amp; " ) )"</f>
        <v>study_ExPost_Lifecycle_Gross_thm_raw / ( NumUnits * ( EvalUnitTherm1stBaseline * EvalEUL_Yrs ) )</v>
      </c>
      <c r="Y158" t="b">
        <f t="shared" si="28"/>
        <v>1</v>
      </c>
      <c r="Z158" t="b">
        <f t="shared" si="29"/>
        <v>0</v>
      </c>
    </row>
    <row r="159" spans="1:30">
      <c r="A159" s="5" t="s">
        <v>2511</v>
      </c>
      <c r="B159" s="30" t="s">
        <v>2617</v>
      </c>
      <c r="S159" t="str">
        <f>"( " &amp; A156 &amp; " .isin([np.inf, -np.inf, np.isnan])) | ( " &amp; A156 &amp; " .isnull()) , 0, ( " &amp; A156 &amp; " )"</f>
        <v>( EvalRRLifecyclekW_raw .isin([np.inf, -np.inf, np.isnan])) | ( EvalRRLifecyclekW_raw .isnull()) , 0, ( EvalRRLifecyclekW_raw )</v>
      </c>
      <c r="Y159" t="b">
        <f t="shared" si="13"/>
        <v>1</v>
      </c>
      <c r="Z159" t="b">
        <f t="shared" si="14"/>
        <v>0</v>
      </c>
    </row>
    <row r="160" spans="1:30">
      <c r="A160" s="5" t="s">
        <v>2512</v>
      </c>
      <c r="B160" s="30" t="s">
        <v>2617</v>
      </c>
      <c r="S160" t="str">
        <f>"( " &amp; A157 &amp; " .isin([np.inf, -np.inf, np.isnan])) | ( " &amp; A157 &amp; " .isnull()) , 0, ( " &amp; A157 &amp; " )"</f>
        <v>( EvalRRLifecyclekWh_raw .isin([np.inf, -np.inf, np.isnan])) | ( EvalRRLifecyclekWh_raw .isnull()) , 0, ( EvalRRLifecyclekWh_raw )</v>
      </c>
      <c r="Y160" t="b">
        <f t="shared" si="13"/>
        <v>1</v>
      </c>
      <c r="Z160" t="b">
        <f t="shared" si="14"/>
        <v>0</v>
      </c>
    </row>
    <row r="161" spans="1:26">
      <c r="A161" s="5" t="s">
        <v>2513</v>
      </c>
      <c r="B161" s="30" t="s">
        <v>2617</v>
      </c>
      <c r="S161" t="str">
        <f>"( " &amp; A158 &amp; " .isin([np.inf, -np.inf, np.isnan])) | ( " &amp; A158 &amp; " .isnull()) , 0, ( " &amp; A158 &amp; " )"</f>
        <v>( EvalRRLifecycleTherm_raw .isin([np.inf, -np.inf, np.isnan])) | ( EvalRRLifecycleTherm_raw .isnull()) , 0, ( EvalRRLifecycleTherm_raw )</v>
      </c>
      <c r="Y161" t="b">
        <f t="shared" si="13"/>
        <v>1</v>
      </c>
      <c r="Z161" t="b">
        <f t="shared" si="14"/>
        <v>0</v>
      </c>
    </row>
    <row r="162" spans="1:26" ht="65.25" customHeight="1">
      <c r="A162" s="5" t="s">
        <v>2524</v>
      </c>
      <c r="B162" s="30" t="s">
        <v>2539</v>
      </c>
      <c r="S162" t="str">
        <f>"( " &amp; V162 &amp;" ), ( " &amp; T162 &amp; " ), ( " &amp; U162 &amp; " )"</f>
        <v>( ER_EvalExPost == 1 ), ( EvalRRLifecyclekW * EvalNumUnits * ( ( EvalUnitkW1stBaseline * EvalRUL_Yrs ) + ( EvalUnitkW2ndBaseline * ( EvalEUL_Yrs - EvalRUL_Yrs ) ) ) ), ( EvalRRLifecyclekW * EvalNumUnits * ( EvalUnitkW1stBaseline * EvalEUL_Yrs )  )</v>
      </c>
      <c r="T162" s="28" t="str">
        <f>A159 &amp; " * " &amp; $A$121 &amp; " * ( ( " &amp; A141  &amp; " * " &amp; $A$93 &amp; " ) + ( " &amp; A144 &amp; " * ( " &amp; $A$92 &amp; " - " &amp; $A$93 &amp; " ) ) )"</f>
        <v>EvalRRLifecyclekW * EvalNumUnits * ( ( EvalUnitkW1stBaseline * EvalRUL_Yrs ) + ( EvalUnitkW2ndBaseline * ( EvalEUL_Yrs - EvalRUL_Yrs ) ) )</v>
      </c>
      <c r="U162" s="28" t="str">
        <f>A159 &amp; " * " &amp; $A$121 &amp; " * ( " &amp; A141  &amp; " * " &amp; $A$92 &amp; " ) "</f>
        <v xml:space="preserve">EvalRRLifecyclekW * EvalNumUnits * ( EvalUnitkW1stBaseline * EvalEUL_Yrs ) </v>
      </c>
      <c r="V162" t="str">
        <f>$A$140 &amp; " == 1"</f>
        <v>ER_EvalExPost == 1</v>
      </c>
      <c r="Y162" t="b">
        <f>IF(NOT(ISBLANK(A162)), LEN(_xlfn.CONCAT(C162:X162))&gt;0, "")</f>
        <v>1</v>
      </c>
      <c r="Z162" t="b">
        <f>AND(ISNUMBER(SEARCH("kw",_xlfn.CONCAT(I162:X162))), ISNUMBER(SEARCH("thm",_xlfn.CONCAT(I162:X162))))</f>
        <v>0</v>
      </c>
    </row>
    <row r="163" spans="1:26" ht="69.75" customHeight="1">
      <c r="A163" s="5" t="s">
        <v>2525</v>
      </c>
      <c r="B163" s="30" t="s">
        <v>2540</v>
      </c>
      <c r="S163" t="str">
        <f>"( " &amp; V163 &amp;" ), ( " &amp; T163 &amp; " ), ( " &amp; U163 &amp; " )"</f>
        <v>( ER_EvalExPost == 1 ), ( EvalRRLifecyclekWh * EvalNumUnits * ( ( EvalUnitkWh1stBaseline * EvalRUL_Yrs ) + ( EvalUnitkWh2ndBaseline * ( EvalEUL_Yrs - EvalRUL_Yrs ) ) ) ), ( EvalRRLifecyclekWh * EvalNumUnits * ( EvalUnitkWh1stBaseline * EvalEUL_Yrs )  )</v>
      </c>
      <c r="T163" s="28" t="str">
        <f>A160 &amp; " * " &amp; $A$121 &amp; " * ( ( " &amp; A142  &amp; " * " &amp; $A$93 &amp; " ) + ( " &amp; A145 &amp; " * ( " &amp; $A$92 &amp; " - " &amp; $A$93 &amp; " ) ) )"</f>
        <v>EvalRRLifecyclekWh * EvalNumUnits * ( ( EvalUnitkWh1stBaseline * EvalRUL_Yrs ) + ( EvalUnitkWh2ndBaseline * ( EvalEUL_Yrs - EvalRUL_Yrs ) ) )</v>
      </c>
      <c r="U163" s="28" t="str">
        <f>A160 &amp; " * " &amp; $A$121 &amp; " * ( " &amp; A142  &amp; " * " &amp; $A$92 &amp; " ) "</f>
        <v xml:space="preserve">EvalRRLifecyclekWh * EvalNumUnits * ( EvalUnitkWh1stBaseline * EvalEUL_Yrs ) </v>
      </c>
      <c r="V163" t="str">
        <f t="shared" ref="V163:V164" si="30">$A$140 &amp; " == 1"</f>
        <v>ER_EvalExPost == 1</v>
      </c>
      <c r="Y163" t="b">
        <f>IF(NOT(ISBLANK(A163)), LEN(_xlfn.CONCAT(C163:X163))&gt;0, "")</f>
        <v>1</v>
      </c>
      <c r="Z163" t="b">
        <f>AND(ISNUMBER(SEARCH("kw",_xlfn.CONCAT(I163:X163))), ISNUMBER(SEARCH("thm",_xlfn.CONCAT(I163:X163))))</f>
        <v>0</v>
      </c>
    </row>
    <row r="164" spans="1:26" ht="52.5" customHeight="1">
      <c r="A164" s="5" t="s">
        <v>2526</v>
      </c>
      <c r="B164" s="30" t="s">
        <v>2541</v>
      </c>
      <c r="S164" t="str">
        <f>"( " &amp; V164 &amp;" ), ( " &amp; T164 &amp; " ), ( " &amp; U164 &amp; " )"</f>
        <v>( ER_EvalExPost == 1 ), ( EvalRRLifecycleTherm * EvalNumUnits * ( ( EvalUnitTherm1stBaseline * EvalRUL_Yrs ) + ( EvalUnitTherm2ndBaseline * ( EvalEUL_Yrs - EvalRUL_Yrs ) ) ) ), ( EvalRRLifecycleTherm * EvalNumUnits * ( EvalUnitTherm1stBaseline * EvalEUL_Yrs )  )</v>
      </c>
      <c r="T164" s="28" t="str">
        <f>A161 &amp; " * " &amp; $A$121 &amp; " * ( ( " &amp; A143  &amp; " * " &amp; $A$93 &amp; " ) + ( " &amp; A146 &amp; " * ( " &amp; $A$92 &amp; " - " &amp; $A$93 &amp; " ) ) )"</f>
        <v>EvalRRLifecycleTherm * EvalNumUnits * ( ( EvalUnitTherm1stBaseline * EvalRUL_Yrs ) + ( EvalUnitTherm2ndBaseline * ( EvalEUL_Yrs - EvalRUL_Yrs ) ) )</v>
      </c>
      <c r="U164" s="28" t="str">
        <f>A161 &amp; " * " &amp; $A$121 &amp; " * ( " &amp; A143  &amp; " * " &amp; $A$92 &amp; " ) "</f>
        <v xml:space="preserve">EvalRRLifecycleTherm * EvalNumUnits * ( EvalUnitTherm1stBaseline * EvalEUL_Yrs ) </v>
      </c>
      <c r="V164" t="str">
        <f t="shared" si="30"/>
        <v>ER_EvalExPost == 1</v>
      </c>
      <c r="Y164" t="b">
        <f>IF(NOT(ISBLANK(A164)), LEN(_xlfn.CONCAT(C164:X164))&gt;0, "")</f>
        <v>1</v>
      </c>
      <c r="Z164" t="b">
        <f>AND(ISNUMBER(SEARCH("kw",_xlfn.CONCAT(I164:X164))), ISNUMBER(SEARCH("thm",_xlfn.CONCAT(I164:X164))))</f>
        <v>0</v>
      </c>
    </row>
    <row r="165" spans="1:26" ht="30">
      <c r="A165" s="5" t="str">
        <f>A168 &amp; "_raw"</f>
        <v>EvalNTGRkW_raw</v>
      </c>
      <c r="B165" s="30" t="s">
        <v>2619</v>
      </c>
      <c r="S165" t="str">
        <f>A$137 &amp; " =='None',  ( " &amp; A44 &amp; " ), ( " &amp; A117 &amp; " )"</f>
        <v>EvalStdReportGroup =='None',  ( NTGRkW ), ( dom_LC_NTGR_kw )</v>
      </c>
      <c r="T165" s="28"/>
      <c r="U165" s="28"/>
      <c r="Y165" t="b">
        <f t="shared" ref="Y165:Y167" si="31">IF(NOT(ISBLANK(A165)), LEN(_xlfn.CONCAT(C165:X165))&gt;0, "")</f>
        <v>1</v>
      </c>
      <c r="Z165" t="b">
        <f t="shared" ref="Z165:Z167" si="32">AND(ISNUMBER(SEARCH("kw",_xlfn.CONCAT(I165:X165))), ISNUMBER(SEARCH("thm",_xlfn.CONCAT(I165:X165))))</f>
        <v>0</v>
      </c>
    </row>
    <row r="166" spans="1:26" ht="30">
      <c r="A166" s="5" t="str">
        <f>A169 &amp; "_raw"</f>
        <v>EvalNTGRkWh_raw</v>
      </c>
      <c r="B166" s="30" t="s">
        <v>2619</v>
      </c>
      <c r="S166" t="str">
        <f>A$137 &amp; " =='None',  ( " &amp; A45 &amp; " ), ( " &amp; A118 &amp; " )"</f>
        <v>EvalStdReportGroup =='None',  ( NTGRkWh ), ( dom_LC_NTGR_kwh )</v>
      </c>
      <c r="T166" s="28"/>
      <c r="U166" s="28"/>
      <c r="Y166" t="b">
        <f t="shared" si="31"/>
        <v>1</v>
      </c>
      <c r="Z166" t="b">
        <f t="shared" si="32"/>
        <v>0</v>
      </c>
    </row>
    <row r="167" spans="1:26" ht="30">
      <c r="A167" s="5" t="str">
        <f>A170 &amp; "_raw"</f>
        <v>EvalNTGRTherm_raw</v>
      </c>
      <c r="B167" s="30" t="s">
        <v>2619</v>
      </c>
      <c r="S167" t="str">
        <f>A$137 &amp; " =='None',  ( " &amp; A46 &amp; " ), ( " &amp; A119 &amp; " )"</f>
        <v>EvalStdReportGroup =='None',  ( NTGRTherm ), ( dom_LC_NTGR_thm )</v>
      </c>
      <c r="T167" s="28"/>
      <c r="U167" s="28"/>
      <c r="Y167" t="b">
        <f t="shared" si="31"/>
        <v>1</v>
      </c>
      <c r="Z167" t="b">
        <f t="shared" si="32"/>
        <v>0</v>
      </c>
    </row>
    <row r="168" spans="1:26" ht="30">
      <c r="A168" s="5" t="s">
        <v>2514</v>
      </c>
      <c r="B168" s="30" t="s">
        <v>2619</v>
      </c>
      <c r="S168" t="str">
        <f>"( " &amp; A165 &amp; " .isin([np.inf, -np.inf, np.isnan])) | ( " &amp; A165 &amp; " .isnull()) , 0, ( " &amp; A165 &amp; " )"</f>
        <v>( EvalNTGRkW_raw .isin([np.inf, -np.inf, np.isnan])) | ( EvalNTGRkW_raw .isnull()) , 0, ( EvalNTGRkW_raw )</v>
      </c>
      <c r="Y168" t="b">
        <f t="shared" si="13"/>
        <v>1</v>
      </c>
      <c r="Z168" t="b">
        <f t="shared" si="14"/>
        <v>0</v>
      </c>
    </row>
    <row r="169" spans="1:26" ht="30">
      <c r="A169" s="5" t="s">
        <v>2515</v>
      </c>
      <c r="B169" s="30" t="s">
        <v>2619</v>
      </c>
      <c r="S169" t="str">
        <f t="shared" ref="S169:S170" si="33">"( " &amp; A166 &amp; " .isin([np.inf, -np.inf, np.isnan])) | ( " &amp; A166 &amp; " .isnull()) , 0, ( " &amp; A166 &amp; " )"</f>
        <v>( EvalNTGRkWh_raw .isin([np.inf, -np.inf, np.isnan])) | ( EvalNTGRkWh_raw .isnull()) , 0, ( EvalNTGRkWh_raw )</v>
      </c>
      <c r="Y169" t="b">
        <f t="shared" si="13"/>
        <v>1</v>
      </c>
      <c r="Z169" t="b">
        <f t="shared" si="14"/>
        <v>0</v>
      </c>
    </row>
    <row r="170" spans="1:26" ht="30">
      <c r="A170" s="5" t="s">
        <v>2516</v>
      </c>
      <c r="B170" s="30" t="s">
        <v>2619</v>
      </c>
      <c r="S170" t="str">
        <f t="shared" si="33"/>
        <v>( EvalNTGRTherm_raw .isin([np.inf, -np.inf, np.isnan])) | ( EvalNTGRTherm_raw .isnull()) , 0, ( EvalNTGRTherm_raw )</v>
      </c>
      <c r="Y170" t="b">
        <f t="shared" si="13"/>
        <v>1</v>
      </c>
      <c r="Z170" t="b">
        <f t="shared" si="14"/>
        <v>0</v>
      </c>
    </row>
    <row r="171" spans="1:26" ht="30">
      <c r="A171" s="5" t="s">
        <v>2517</v>
      </c>
      <c r="B171" s="30" t="s">
        <v>2532</v>
      </c>
      <c r="S171" t="str">
        <f>"( " &amp; A96 &amp; " ==True ) &amp; ( " &amp; A97 &amp; " ==True ), ( ( " &amp; A118 &amp; " + " &amp;  A119 &amp; " ) / 2 ); " &amp; A96 &amp; " ==True, ( " &amp; A118 &amp; " ); " &amp; A97 &amp; " ==True, ( " &amp; A119 &amp; " ), ( " &amp; A47 &amp; " )"</f>
        <v>( Frame_Electric ==True ) &amp; ( Frame_Gas ==True ), ( ( dom_LC_NTGR_kwh + dom_LC_NTGR_thm ) / 2 ); Frame_Electric ==True, ( dom_LC_NTGR_kwh ); Frame_Gas ==True, ( dom_LC_NTGR_thm ), ( NTGRCost )</v>
      </c>
      <c r="Y171" t="b">
        <f t="shared" si="13"/>
        <v>1</v>
      </c>
      <c r="Z171" t="b">
        <f t="shared" si="14"/>
        <v>1</v>
      </c>
    </row>
    <row r="172" spans="1:26" ht="14.25" customHeight="1">
      <c r="A172" s="5" t="s">
        <v>2518</v>
      </c>
      <c r="B172" s="30" t="s">
        <v>2533</v>
      </c>
      <c r="J172" t="str">
        <f>$A$121 &amp; " * " &amp; A141 &amp; " * " &amp; A153</f>
        <v>EvalNumUnits * EvalUnitkW1stBaseline * EvalRRFirstYearkW</v>
      </c>
      <c r="Y172" t="b">
        <f t="shared" si="13"/>
        <v>1</v>
      </c>
      <c r="Z172" t="b">
        <f t="shared" si="14"/>
        <v>0</v>
      </c>
    </row>
    <row r="173" spans="1:26" ht="14.25" customHeight="1">
      <c r="A173" s="5" t="s">
        <v>2519</v>
      </c>
      <c r="B173" s="30" t="s">
        <v>2534</v>
      </c>
      <c r="J173" t="str">
        <f>$A$121 &amp; " * " &amp; A142 &amp; " * " &amp; A154</f>
        <v>EvalNumUnits * EvalUnitkWh1stBaseline * EvalRRFirstYearkWh</v>
      </c>
      <c r="Y173" t="b">
        <f t="shared" si="13"/>
        <v>1</v>
      </c>
      <c r="Z173" t="b">
        <f t="shared" si="14"/>
        <v>0</v>
      </c>
    </row>
    <row r="174" spans="1:26" ht="14.25" customHeight="1">
      <c r="A174" s="5" t="s">
        <v>2520</v>
      </c>
      <c r="B174" s="30" t="s">
        <v>2535</v>
      </c>
      <c r="J174" t="str">
        <f>$A$121 &amp; " * " &amp; A143 &amp; " * " &amp; A155</f>
        <v>EvalNumUnits * EvalUnitTherm1stBaseline * EvalRRFirstYearTherm</v>
      </c>
      <c r="Y174" t="b">
        <f t="shared" si="13"/>
        <v>1</v>
      </c>
      <c r="Z174" t="b">
        <f t="shared" si="14"/>
        <v>0</v>
      </c>
    </row>
    <row r="175" spans="1:26" ht="14.25" customHeight="1">
      <c r="A175" s="5" t="s">
        <v>2521</v>
      </c>
      <c r="B175" s="30" t="s">
        <v>2536</v>
      </c>
      <c r="J175" t="str">
        <f>A172 &amp; " * ( " &amp; A168 &amp; " + " &amp; $A$30 &amp; " )"</f>
        <v>EvalExPostFirstYearGrosskW * ( EvalNTGRkW + MarketEffectsBenefits_filled )</v>
      </c>
      <c r="Y175" t="b">
        <f t="shared" si="13"/>
        <v>1</v>
      </c>
      <c r="Z175" t="b">
        <f t="shared" si="14"/>
        <v>0</v>
      </c>
    </row>
    <row r="176" spans="1:26" ht="14.25" customHeight="1">
      <c r="A176" s="5" t="s">
        <v>2522</v>
      </c>
      <c r="B176" s="30" t="s">
        <v>2537</v>
      </c>
      <c r="J176" t="str">
        <f>A173 &amp; " * ( " &amp; A169 &amp; " + " &amp; $A$30 &amp; " )"</f>
        <v>EvalExPostFirstYearGrosskWh * ( EvalNTGRkWh + MarketEffectsBenefits_filled )</v>
      </c>
      <c r="Y176" t="b">
        <f t="shared" si="13"/>
        <v>1</v>
      </c>
      <c r="Z176" t="b">
        <f t="shared" si="14"/>
        <v>0</v>
      </c>
    </row>
    <row r="177" spans="1:29" ht="14.25" customHeight="1">
      <c r="A177" s="5" t="s">
        <v>2523</v>
      </c>
      <c r="B177" s="30" t="s">
        <v>2538</v>
      </c>
      <c r="J177" t="str">
        <f>A174 &amp; " * ( " &amp; A170 &amp; " + " &amp; $A$30 &amp; " )"</f>
        <v>EvalExPostFirstYearGrossTherm * ( EvalNTGRTherm + MarketEffectsBenefits_filled )</v>
      </c>
      <c r="Y177" t="b">
        <f t="shared" si="13"/>
        <v>1</v>
      </c>
      <c r="Z177" t="b">
        <f t="shared" si="14"/>
        <v>0</v>
      </c>
    </row>
    <row r="178" spans="1:29" ht="14.25" customHeight="1">
      <c r="A178" s="5" t="s">
        <v>2527</v>
      </c>
      <c r="B178" s="30" t="s">
        <v>2542</v>
      </c>
      <c r="J178" t="str">
        <f>A162 &amp; " * ( " &amp; A168 &amp; " + " &amp; $A$30 &amp; " )"</f>
        <v>EvalExPostLifecycleGrosskW * ( EvalNTGRkW + MarketEffectsBenefits_filled )</v>
      </c>
      <c r="Y178" t="b">
        <f t="shared" si="13"/>
        <v>1</v>
      </c>
      <c r="Z178" t="b">
        <f t="shared" si="14"/>
        <v>0</v>
      </c>
    </row>
    <row r="179" spans="1:29" ht="14.25" customHeight="1">
      <c r="A179" s="5" t="s">
        <v>2528</v>
      </c>
      <c r="B179" s="30" t="s">
        <v>2543</v>
      </c>
      <c r="J179" t="str">
        <f>A163 &amp; " * ( " &amp; A169 &amp; " + " &amp; $A$30 &amp; " )"</f>
        <v>EvalExPostLifecycleGrosskWh * ( EvalNTGRkWh + MarketEffectsBenefits_filled )</v>
      </c>
      <c r="Y179" t="b">
        <f t="shared" si="13"/>
        <v>1</v>
      </c>
      <c r="Z179" t="b">
        <f t="shared" si="14"/>
        <v>0</v>
      </c>
    </row>
    <row r="180" spans="1:29" ht="14.25" customHeight="1">
      <c r="A180" s="5" t="s">
        <v>2529</v>
      </c>
      <c r="B180" s="30" t="s">
        <v>2544</v>
      </c>
      <c r="J180" t="str">
        <f>A164 &amp; " * ( " &amp; A170 &amp; " + " &amp; $A$30 &amp; " )"</f>
        <v>EvalExPostLifecycleGrossTherm * ( EvalNTGRTherm + MarketEffectsBenefits_filled )</v>
      </c>
      <c r="U180" s="3"/>
      <c r="Y180" t="b">
        <f t="shared" si="13"/>
        <v>1</v>
      </c>
      <c r="Z180" t="b">
        <f t="shared" si="14"/>
        <v>0</v>
      </c>
      <c r="AC180" s="3"/>
    </row>
    <row r="181" spans="1:29">
      <c r="A181" s="5" t="str">
        <f>A175 &amp; "_noMEB"</f>
        <v>EvalExPostFirstYearNetkW_noMEB</v>
      </c>
      <c r="J181" t="str">
        <f>A172 &amp; " * " &amp; A168</f>
        <v>EvalExPostFirstYearGrosskW * EvalNTGRkW</v>
      </c>
      <c r="U181" s="3"/>
      <c r="Y181" t="b">
        <f t="shared" si="13"/>
        <v>1</v>
      </c>
      <c r="Z181" t="b">
        <f t="shared" si="14"/>
        <v>0</v>
      </c>
      <c r="AC181" s="3"/>
    </row>
    <row r="182" spans="1:29">
      <c r="A182" s="5" t="str">
        <f t="shared" ref="A182:A186" si="34">A176 &amp; "_noMEB"</f>
        <v>EvalExPostFirstYearNetkWh_noMEB</v>
      </c>
      <c r="J182" t="str">
        <f>A173 &amp; " * " &amp; A169</f>
        <v>EvalExPostFirstYearGrosskWh * EvalNTGRkWh</v>
      </c>
      <c r="U182" s="3"/>
      <c r="Y182" t="b">
        <f t="shared" si="13"/>
        <v>1</v>
      </c>
      <c r="Z182" t="b">
        <f t="shared" si="14"/>
        <v>0</v>
      </c>
      <c r="AC182" s="3"/>
    </row>
    <row r="183" spans="1:29">
      <c r="A183" s="5" t="str">
        <f t="shared" si="34"/>
        <v>EvalExPostFirstYearNetTherm_noMEB</v>
      </c>
      <c r="J183" t="str">
        <f>A174 &amp; " * " &amp; A170</f>
        <v>EvalExPostFirstYearGrossTherm * EvalNTGRTherm</v>
      </c>
      <c r="Y183" t="b">
        <f t="shared" si="13"/>
        <v>1</v>
      </c>
      <c r="Z183" t="b">
        <f t="shared" si="14"/>
        <v>0</v>
      </c>
    </row>
    <row r="184" spans="1:29">
      <c r="A184" s="5" t="str">
        <f t="shared" si="34"/>
        <v>EvalExPostLifecycleNetkW_noMEB</v>
      </c>
      <c r="J184" t="str">
        <f>A162 &amp; " * " &amp; A168</f>
        <v>EvalExPostLifecycleGrosskW * EvalNTGRkW</v>
      </c>
      <c r="Y184" t="b">
        <f t="shared" si="13"/>
        <v>1</v>
      </c>
      <c r="Z184" t="b">
        <f t="shared" si="14"/>
        <v>0</v>
      </c>
    </row>
    <row r="185" spans="1:29">
      <c r="A185" s="5" t="str">
        <f t="shared" si="34"/>
        <v>EvalExPostLifecycleNetkWh_noMEB</v>
      </c>
      <c r="J185" t="str">
        <f>A163 &amp; " * " &amp; A169</f>
        <v>EvalExPostLifecycleGrosskWh * EvalNTGRkWh</v>
      </c>
      <c r="Y185" t="b">
        <f t="shared" si="13"/>
        <v>1</v>
      </c>
      <c r="Z185" t="b">
        <f t="shared" si="14"/>
        <v>0</v>
      </c>
    </row>
    <row r="186" spans="1:29">
      <c r="A186" s="5" t="str">
        <f t="shared" si="34"/>
        <v>EvalExPostLifecycleNetTherm_noMEB</v>
      </c>
      <c r="J186" t="str">
        <f>A164 &amp; " * " &amp; A170</f>
        <v>EvalExPostLifecycleGrossTherm * EvalNTGRTherm</v>
      </c>
      <c r="Y186" t="b">
        <f t="shared" si="13"/>
        <v>1</v>
      </c>
      <c r="Z186" t="b">
        <f t="shared" si="14"/>
        <v>0</v>
      </c>
    </row>
    <row r="187" spans="1:29">
      <c r="A187" s="5" t="s">
        <v>2620</v>
      </c>
      <c r="G187" t="s">
        <v>658</v>
      </c>
      <c r="I187" t="str">
        <f>A186</f>
        <v>EvalExPostLifecycleNetTherm_noMEB</v>
      </c>
      <c r="Y187" t="b">
        <f t="shared" si="13"/>
        <v>1</v>
      </c>
      <c r="Z187" t="b">
        <f t="shared" si="14"/>
        <v>0</v>
      </c>
    </row>
    <row r="188" spans="1:29">
      <c r="A188" s="5"/>
      <c r="Y188" t="str">
        <f t="shared" si="13"/>
        <v/>
      </c>
      <c r="Z188" t="b">
        <f t="shared" si="14"/>
        <v>0</v>
      </c>
    </row>
    <row r="189" spans="1:29">
      <c r="A189" s="5"/>
      <c r="Y189" t="str">
        <f t="shared" si="13"/>
        <v/>
      </c>
      <c r="Z189" t="b">
        <f t="shared" si="14"/>
        <v>0</v>
      </c>
      <c r="AC189" s="4"/>
    </row>
    <row r="190" spans="1:29">
      <c r="A190" s="5"/>
      <c r="Y190" t="str">
        <f t="shared" si="13"/>
        <v/>
      </c>
      <c r="Z190" t="b">
        <f t="shared" si="14"/>
        <v>0</v>
      </c>
      <c r="AC190" s="4"/>
    </row>
    <row r="191" spans="1:29">
      <c r="A191" s="5"/>
      <c r="Y191" t="str">
        <f t="shared" si="13"/>
        <v/>
      </c>
      <c r="Z191" t="b">
        <f t="shared" si="14"/>
        <v>0</v>
      </c>
    </row>
    <row r="192" spans="1:29">
      <c r="A192" s="5"/>
      <c r="Y192" t="str">
        <f t="shared" si="13"/>
        <v/>
      </c>
      <c r="Z192" t="b">
        <f t="shared" si="14"/>
        <v>0</v>
      </c>
      <c r="AA192" s="3"/>
    </row>
    <row r="193" spans="1:26">
      <c r="A193" s="5"/>
      <c r="Y193" t="str">
        <f t="shared" ref="Y193:Y237" si="35">IF(NOT(ISBLANK(A193)), LEN(_xlfn.CONCAT(C193:X193))&gt;0, "")</f>
        <v/>
      </c>
      <c r="Z193" t="b">
        <f t="shared" ref="Z193:Z237" si="36">AND(ISNUMBER(SEARCH("kw",_xlfn.CONCAT(I193:X193))), ISNUMBER(SEARCH("thm",_xlfn.CONCAT(I193:X193))))</f>
        <v>0</v>
      </c>
    </row>
    <row r="194" spans="1:26">
      <c r="A194" s="5"/>
      <c r="Y194" t="str">
        <f t="shared" si="35"/>
        <v/>
      </c>
      <c r="Z194" t="b">
        <f t="shared" si="36"/>
        <v>0</v>
      </c>
    </row>
    <row r="195" spans="1:26">
      <c r="A195" s="5"/>
      <c r="Y195" t="str">
        <f t="shared" si="35"/>
        <v/>
      </c>
      <c r="Z195" t="b">
        <f t="shared" si="36"/>
        <v>0</v>
      </c>
    </row>
    <row r="196" spans="1:26">
      <c r="A196" s="5"/>
      <c r="Y196" t="str">
        <f t="shared" si="35"/>
        <v/>
      </c>
      <c r="Z196" t="b">
        <f t="shared" si="36"/>
        <v>0</v>
      </c>
    </row>
    <row r="197" spans="1:26">
      <c r="A197" s="5"/>
      <c r="Y197" t="str">
        <f t="shared" si="35"/>
        <v/>
      </c>
      <c r="Z197" t="b">
        <f t="shared" si="36"/>
        <v>0</v>
      </c>
    </row>
    <row r="198" spans="1:26">
      <c r="A198" s="5"/>
      <c r="Y198" t="str">
        <f t="shared" si="35"/>
        <v/>
      </c>
      <c r="Z198" t="b">
        <f t="shared" si="36"/>
        <v>0</v>
      </c>
    </row>
    <row r="199" spans="1:26">
      <c r="A199" s="5"/>
      <c r="Y199" t="str">
        <f t="shared" si="35"/>
        <v/>
      </c>
      <c r="Z199" t="b">
        <f t="shared" si="36"/>
        <v>0</v>
      </c>
    </row>
    <row r="200" spans="1:26">
      <c r="A200" s="5"/>
      <c r="Y200" t="str">
        <f t="shared" si="35"/>
        <v/>
      </c>
      <c r="Z200" t="b">
        <f t="shared" si="36"/>
        <v>0</v>
      </c>
    </row>
    <row r="201" spans="1:26">
      <c r="A201" s="5"/>
      <c r="Y201" t="str">
        <f t="shared" si="35"/>
        <v/>
      </c>
      <c r="Z201" t="b">
        <f t="shared" si="36"/>
        <v>0</v>
      </c>
    </row>
    <row r="202" spans="1:26">
      <c r="A202" s="5"/>
      <c r="Y202" t="str">
        <f t="shared" si="35"/>
        <v/>
      </c>
      <c r="Z202" t="b">
        <f t="shared" si="36"/>
        <v>0</v>
      </c>
    </row>
    <row r="203" spans="1:26">
      <c r="A203" s="5"/>
      <c r="Y203" t="str">
        <f t="shared" si="35"/>
        <v/>
      </c>
      <c r="Z203" t="b">
        <f t="shared" si="36"/>
        <v>0</v>
      </c>
    </row>
    <row r="204" spans="1:26">
      <c r="A204" s="5"/>
      <c r="Y204" t="str">
        <f t="shared" si="35"/>
        <v/>
      </c>
      <c r="Z204" t="b">
        <f t="shared" si="36"/>
        <v>0</v>
      </c>
    </row>
    <row r="205" spans="1:26">
      <c r="A205" s="5"/>
      <c r="Y205" t="str">
        <f t="shared" si="35"/>
        <v/>
      </c>
      <c r="Z205" t="b">
        <f t="shared" si="36"/>
        <v>0</v>
      </c>
    </row>
    <row r="206" spans="1:26">
      <c r="A206" s="5"/>
      <c r="Y206" t="str">
        <f t="shared" si="35"/>
        <v/>
      </c>
      <c r="Z206" t="b">
        <f t="shared" si="36"/>
        <v>0</v>
      </c>
    </row>
    <row r="207" spans="1:26">
      <c r="A207" s="5"/>
      <c r="Y207" t="str">
        <f t="shared" si="35"/>
        <v/>
      </c>
      <c r="Z207" t="b">
        <f t="shared" si="36"/>
        <v>0</v>
      </c>
    </row>
    <row r="208" spans="1:26">
      <c r="A208" s="5"/>
      <c r="Y208" t="str">
        <f t="shared" si="35"/>
        <v/>
      </c>
      <c r="Z208" t="b">
        <f t="shared" si="36"/>
        <v>0</v>
      </c>
    </row>
    <row r="209" spans="1:26">
      <c r="A209" s="5"/>
      <c r="Y209" t="str">
        <f t="shared" si="35"/>
        <v/>
      </c>
      <c r="Z209" t="b">
        <f t="shared" si="36"/>
        <v>0</v>
      </c>
    </row>
    <row r="210" spans="1:26">
      <c r="A210" s="5"/>
      <c r="Y210" t="str">
        <f t="shared" si="35"/>
        <v/>
      </c>
      <c r="Z210" t="b">
        <f t="shared" si="36"/>
        <v>0</v>
      </c>
    </row>
    <row r="211" spans="1:26">
      <c r="A211" s="5"/>
      <c r="Y211" t="str">
        <f t="shared" si="35"/>
        <v/>
      </c>
      <c r="Z211" t="b">
        <f t="shared" si="36"/>
        <v>0</v>
      </c>
    </row>
    <row r="212" spans="1:26">
      <c r="A212" s="5"/>
      <c r="Y212" t="str">
        <f t="shared" si="35"/>
        <v/>
      </c>
      <c r="Z212" t="b">
        <f t="shared" si="36"/>
        <v>0</v>
      </c>
    </row>
    <row r="213" spans="1:26">
      <c r="A213" s="5"/>
      <c r="Y213" t="str">
        <f t="shared" si="35"/>
        <v/>
      </c>
      <c r="Z213" t="b">
        <f t="shared" si="36"/>
        <v>0</v>
      </c>
    </row>
    <row r="214" spans="1:26">
      <c r="A214" s="5"/>
      <c r="Y214" t="str">
        <f t="shared" si="35"/>
        <v/>
      </c>
      <c r="Z214" t="b">
        <f t="shared" si="36"/>
        <v>0</v>
      </c>
    </row>
    <row r="215" spans="1:26">
      <c r="A215" s="5"/>
      <c r="Y215" t="str">
        <f t="shared" si="35"/>
        <v/>
      </c>
      <c r="Z215" t="b">
        <f t="shared" si="36"/>
        <v>0</v>
      </c>
    </row>
    <row r="216" spans="1:26">
      <c r="A216" s="5"/>
      <c r="Y216" t="str">
        <f t="shared" si="35"/>
        <v/>
      </c>
      <c r="Z216" t="b">
        <f t="shared" si="36"/>
        <v>0</v>
      </c>
    </row>
    <row r="217" spans="1:26">
      <c r="A217" s="5"/>
      <c r="Y217" t="str">
        <f t="shared" si="35"/>
        <v/>
      </c>
      <c r="Z217" t="b">
        <f t="shared" si="36"/>
        <v>0</v>
      </c>
    </row>
    <row r="218" spans="1:26">
      <c r="A218" s="5"/>
      <c r="Y218" t="str">
        <f t="shared" si="35"/>
        <v/>
      </c>
      <c r="Z218" t="b">
        <f t="shared" si="36"/>
        <v>0</v>
      </c>
    </row>
    <row r="219" spans="1:26">
      <c r="A219" s="5"/>
      <c r="Y219" t="str">
        <f t="shared" si="35"/>
        <v/>
      </c>
      <c r="Z219" t="b">
        <f t="shared" si="36"/>
        <v>0</v>
      </c>
    </row>
    <row r="220" spans="1:26">
      <c r="A220" s="5"/>
      <c r="Y220" t="str">
        <f t="shared" si="35"/>
        <v/>
      </c>
      <c r="Z220" t="b">
        <f t="shared" si="36"/>
        <v>0</v>
      </c>
    </row>
    <row r="221" spans="1:26">
      <c r="A221" s="5"/>
      <c r="Y221" t="str">
        <f t="shared" si="35"/>
        <v/>
      </c>
      <c r="Z221" t="b">
        <f t="shared" si="36"/>
        <v>0</v>
      </c>
    </row>
    <row r="222" spans="1:26">
      <c r="A222" s="5"/>
      <c r="Y222" t="str">
        <f t="shared" si="35"/>
        <v/>
      </c>
      <c r="Z222" t="b">
        <f t="shared" si="36"/>
        <v>0</v>
      </c>
    </row>
    <row r="223" spans="1:26">
      <c r="A223" s="5"/>
      <c r="Y223" t="str">
        <f t="shared" si="35"/>
        <v/>
      </c>
      <c r="Z223" t="b">
        <f t="shared" si="36"/>
        <v>0</v>
      </c>
    </row>
    <row r="224" spans="1:26">
      <c r="A224" s="5"/>
      <c r="Y224" t="str">
        <f t="shared" si="35"/>
        <v/>
      </c>
      <c r="Z224" t="b">
        <f t="shared" si="36"/>
        <v>0</v>
      </c>
    </row>
    <row r="225" spans="1:26">
      <c r="A225" s="5"/>
      <c r="Y225" t="str">
        <f t="shared" si="35"/>
        <v/>
      </c>
      <c r="Z225" t="b">
        <f t="shared" si="36"/>
        <v>0</v>
      </c>
    </row>
    <row r="226" spans="1:26">
      <c r="A226" s="5"/>
      <c r="Y226" t="str">
        <f t="shared" si="35"/>
        <v/>
      </c>
      <c r="Z226" t="b">
        <f t="shared" si="36"/>
        <v>0</v>
      </c>
    </row>
    <row r="227" spans="1:26">
      <c r="A227" s="5"/>
      <c r="Y227" t="str">
        <f t="shared" si="35"/>
        <v/>
      </c>
      <c r="Z227" t="b">
        <f t="shared" si="36"/>
        <v>0</v>
      </c>
    </row>
    <row r="228" spans="1:26">
      <c r="A228" s="5"/>
      <c r="Y228" t="str">
        <f t="shared" si="35"/>
        <v/>
      </c>
      <c r="Z228" t="b">
        <f t="shared" si="36"/>
        <v>0</v>
      </c>
    </row>
    <row r="229" spans="1:26">
      <c r="A229" s="5"/>
      <c r="Y229" t="str">
        <f t="shared" si="35"/>
        <v/>
      </c>
      <c r="Z229" t="b">
        <f t="shared" si="36"/>
        <v>0</v>
      </c>
    </row>
    <row r="230" spans="1:26">
      <c r="A230" s="5"/>
      <c r="Y230" t="str">
        <f t="shared" si="35"/>
        <v/>
      </c>
      <c r="Z230" t="b">
        <f t="shared" si="36"/>
        <v>0</v>
      </c>
    </row>
    <row r="231" spans="1:26">
      <c r="A231" s="5"/>
      <c r="Y231" t="str">
        <f t="shared" si="35"/>
        <v/>
      </c>
      <c r="Z231" t="b">
        <f t="shared" si="36"/>
        <v>0</v>
      </c>
    </row>
    <row r="232" spans="1:26">
      <c r="A232" s="5"/>
      <c r="Y232" t="str">
        <f t="shared" si="35"/>
        <v/>
      </c>
      <c r="Z232" t="b">
        <f t="shared" si="36"/>
        <v>0</v>
      </c>
    </row>
    <row r="233" spans="1:26">
      <c r="A233" s="5"/>
      <c r="Y233" t="str">
        <f t="shared" si="35"/>
        <v/>
      </c>
      <c r="Z233" t="b">
        <f t="shared" si="36"/>
        <v>0</v>
      </c>
    </row>
    <row r="234" spans="1:26">
      <c r="A234" s="5"/>
      <c r="Y234" t="str">
        <f t="shared" si="35"/>
        <v/>
      </c>
      <c r="Z234" t="b">
        <f t="shared" si="36"/>
        <v>0</v>
      </c>
    </row>
    <row r="235" spans="1:26">
      <c r="A235" s="5"/>
      <c r="Y235" t="str">
        <f t="shared" si="35"/>
        <v/>
      </c>
      <c r="Z235" t="b">
        <f t="shared" si="36"/>
        <v>0</v>
      </c>
    </row>
    <row r="236" spans="1:26">
      <c r="A236" s="5"/>
      <c r="Y236" t="str">
        <f t="shared" si="35"/>
        <v/>
      </c>
      <c r="Z236" t="b">
        <f t="shared" si="36"/>
        <v>0</v>
      </c>
    </row>
    <row r="237" spans="1:26">
      <c r="A237" s="5"/>
      <c r="Y237" t="str">
        <f t="shared" si="35"/>
        <v/>
      </c>
      <c r="Z237" t="b">
        <f t="shared" si="36"/>
        <v>0</v>
      </c>
    </row>
    <row r="238" spans="1:26">
      <c r="A238" s="5"/>
      <c r="Y238" t="str">
        <f t="shared" ref="Y238:Y267" si="37">IF(NOT(ISBLANK(A238)), LEN(_xlfn.CONCAT(C238:X238))&gt;0, "")</f>
        <v/>
      </c>
      <c r="Z238" t="b">
        <f t="shared" ref="Z238:Z267" si="38">AND(ISNUMBER(SEARCH("kw",_xlfn.CONCAT(I238:X238))), ISNUMBER(SEARCH("thm",_xlfn.CONCAT(I238:X238))))</f>
        <v>0</v>
      </c>
    </row>
    <row r="239" spans="1:26">
      <c r="A239" s="5"/>
      <c r="Y239" t="str">
        <f t="shared" si="37"/>
        <v/>
      </c>
      <c r="Z239" t="b">
        <f t="shared" si="38"/>
        <v>0</v>
      </c>
    </row>
    <row r="240" spans="1:26">
      <c r="A240" s="5"/>
      <c r="Y240" t="str">
        <f t="shared" si="37"/>
        <v/>
      </c>
      <c r="Z240" t="b">
        <f t="shared" si="38"/>
        <v>0</v>
      </c>
    </row>
    <row r="241" spans="1:26">
      <c r="A241" s="5"/>
      <c r="Y241" t="str">
        <f t="shared" si="37"/>
        <v/>
      </c>
      <c r="Z241" t="b">
        <f t="shared" si="38"/>
        <v>0</v>
      </c>
    </row>
    <row r="242" spans="1:26">
      <c r="A242" s="5"/>
      <c r="Y242" t="str">
        <f t="shared" si="37"/>
        <v/>
      </c>
      <c r="Z242" t="b">
        <f t="shared" si="38"/>
        <v>0</v>
      </c>
    </row>
    <row r="243" spans="1:26">
      <c r="A243" s="5"/>
      <c r="Y243" t="str">
        <f t="shared" si="37"/>
        <v/>
      </c>
      <c r="Z243" t="b">
        <f t="shared" si="38"/>
        <v>0</v>
      </c>
    </row>
    <row r="244" spans="1:26">
      <c r="A244" s="5"/>
      <c r="Y244" t="str">
        <f t="shared" si="37"/>
        <v/>
      </c>
      <c r="Z244" t="b">
        <f t="shared" si="38"/>
        <v>0</v>
      </c>
    </row>
    <row r="245" spans="1:26">
      <c r="A245" s="5"/>
      <c r="Y245" t="str">
        <f t="shared" si="37"/>
        <v/>
      </c>
      <c r="Z245" t="b">
        <f t="shared" si="38"/>
        <v>0</v>
      </c>
    </row>
    <row r="246" spans="1:26">
      <c r="A246" s="5"/>
      <c r="Y246" t="str">
        <f t="shared" si="37"/>
        <v/>
      </c>
      <c r="Z246" t="b">
        <f t="shared" si="38"/>
        <v>0</v>
      </c>
    </row>
    <row r="247" spans="1:26">
      <c r="A247" s="5"/>
      <c r="Y247" t="str">
        <f t="shared" si="37"/>
        <v/>
      </c>
      <c r="Z247" t="b">
        <f t="shared" si="38"/>
        <v>0</v>
      </c>
    </row>
    <row r="248" spans="1:26">
      <c r="A248" s="5"/>
      <c r="Y248" t="str">
        <f t="shared" si="37"/>
        <v/>
      </c>
      <c r="Z248" t="b">
        <f t="shared" si="38"/>
        <v>0</v>
      </c>
    </row>
    <row r="249" spans="1:26">
      <c r="A249" s="5"/>
      <c r="Y249" t="str">
        <f t="shared" si="37"/>
        <v/>
      </c>
      <c r="Z249" t="b">
        <f t="shared" si="38"/>
        <v>0</v>
      </c>
    </row>
    <row r="250" spans="1:26">
      <c r="A250" s="5"/>
      <c r="Y250" t="str">
        <f t="shared" si="37"/>
        <v/>
      </c>
      <c r="Z250" t="b">
        <f t="shared" si="38"/>
        <v>0</v>
      </c>
    </row>
    <row r="251" spans="1:26">
      <c r="A251" s="5"/>
      <c r="Y251" t="str">
        <f t="shared" si="37"/>
        <v/>
      </c>
      <c r="Z251" t="b">
        <f t="shared" si="38"/>
        <v>0</v>
      </c>
    </row>
    <row r="252" spans="1:26">
      <c r="A252" s="5"/>
      <c r="Y252" t="str">
        <f t="shared" si="37"/>
        <v/>
      </c>
      <c r="Z252" t="b">
        <f t="shared" si="38"/>
        <v>0</v>
      </c>
    </row>
    <row r="253" spans="1:26">
      <c r="A253" s="5"/>
      <c r="Y253" t="str">
        <f t="shared" si="37"/>
        <v/>
      </c>
      <c r="Z253" t="b">
        <f t="shared" si="38"/>
        <v>0</v>
      </c>
    </row>
    <row r="254" spans="1:26">
      <c r="A254" s="5"/>
      <c r="Y254" t="str">
        <f t="shared" si="37"/>
        <v/>
      </c>
      <c r="Z254" t="b">
        <f t="shared" si="38"/>
        <v>0</v>
      </c>
    </row>
    <row r="255" spans="1:26">
      <c r="A255" s="5"/>
      <c r="Y255" t="str">
        <f t="shared" si="37"/>
        <v/>
      </c>
      <c r="Z255" t="b">
        <f t="shared" si="38"/>
        <v>0</v>
      </c>
    </row>
    <row r="256" spans="1:26">
      <c r="A256" s="5"/>
      <c r="Y256" t="str">
        <f t="shared" si="37"/>
        <v/>
      </c>
      <c r="Z256" t="b">
        <f t="shared" si="38"/>
        <v>0</v>
      </c>
    </row>
    <row r="257" spans="1:26">
      <c r="A257" s="5"/>
      <c r="Y257" t="str">
        <f t="shared" si="37"/>
        <v/>
      </c>
      <c r="Z257" t="b">
        <f t="shared" si="38"/>
        <v>0</v>
      </c>
    </row>
    <row r="258" spans="1:26">
      <c r="A258" s="5"/>
      <c r="Y258" t="str">
        <f t="shared" si="37"/>
        <v/>
      </c>
      <c r="Z258" t="b">
        <f t="shared" si="38"/>
        <v>0</v>
      </c>
    </row>
    <row r="259" spans="1:26">
      <c r="A259" s="5"/>
      <c r="Y259" t="str">
        <f t="shared" si="37"/>
        <v/>
      </c>
      <c r="Z259" t="b">
        <f t="shared" si="38"/>
        <v>0</v>
      </c>
    </row>
    <row r="260" spans="1:26">
      <c r="A260" s="5"/>
      <c r="Y260" t="str">
        <f t="shared" si="37"/>
        <v/>
      </c>
      <c r="Z260" t="b">
        <f t="shared" si="38"/>
        <v>0</v>
      </c>
    </row>
    <row r="261" spans="1:26">
      <c r="A261" s="5"/>
      <c r="Y261" t="str">
        <f t="shared" si="37"/>
        <v/>
      </c>
      <c r="Z261" t="b">
        <f t="shared" si="38"/>
        <v>0</v>
      </c>
    </row>
    <row r="262" spans="1:26">
      <c r="A262" s="5"/>
      <c r="Y262" t="str">
        <f t="shared" si="37"/>
        <v/>
      </c>
      <c r="Z262" t="b">
        <f t="shared" si="38"/>
        <v>0</v>
      </c>
    </row>
    <row r="263" spans="1:26">
      <c r="A263" s="5"/>
      <c r="Y263" t="str">
        <f t="shared" si="37"/>
        <v/>
      </c>
      <c r="Z263" t="b">
        <f t="shared" si="38"/>
        <v>0</v>
      </c>
    </row>
    <row r="264" spans="1:26">
      <c r="A264" s="5"/>
      <c r="Y264" t="str">
        <f t="shared" si="37"/>
        <v/>
      </c>
      <c r="Z264" t="b">
        <f t="shared" si="38"/>
        <v>0</v>
      </c>
    </row>
    <row r="265" spans="1:26">
      <c r="A265" s="5"/>
      <c r="Y265" t="str">
        <f t="shared" si="37"/>
        <v/>
      </c>
      <c r="Z265" t="b">
        <f t="shared" si="38"/>
        <v>0</v>
      </c>
    </row>
    <row r="266" spans="1:26">
      <c r="A266" s="5"/>
      <c r="Y266" t="str">
        <f t="shared" si="37"/>
        <v/>
      </c>
      <c r="Z266" t="b">
        <f t="shared" si="38"/>
        <v>0</v>
      </c>
    </row>
    <row r="267" spans="1:26">
      <c r="A267" s="5"/>
      <c r="Y267" t="str">
        <f t="shared" si="37"/>
        <v/>
      </c>
      <c r="Z267" t="b">
        <f t="shared" si="38"/>
        <v>0</v>
      </c>
    </row>
  </sheetData>
  <autoFilter ref="A1:AD267" xr:uid="{66000173-5E05-41E4-B642-52C15CDAAA70}"/>
  <conditionalFormatting sqref="Z1:Z1048576">
    <cfRule type="cellIs" dxfId="14" priority="10" operator="equal">
      <formula>TRUE</formula>
    </cfRule>
  </conditionalFormatting>
  <conditionalFormatting sqref="C1:E1">
    <cfRule type="duplicateValues" dxfId="13" priority="1592"/>
  </conditionalFormatting>
  <conditionalFormatting sqref="A1:A1048576">
    <cfRule type="expression" dxfId="12" priority="1597">
      <formula>NOT(ISBLANK(G1))</formula>
    </cfRule>
    <cfRule type="expression" dxfId="11" priority="1598">
      <formula>NOT(Y1)</formula>
    </cfRule>
    <cfRule type="duplicateValues" dxfId="10" priority="1599"/>
    <cfRule type="duplicateValues" dxfId="9" priority="160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EF4E-E016-4EA9-871A-EED01E5B1E56}">
  <sheetPr codeName="Sheet11"/>
  <dimension ref="A1:AC203"/>
  <sheetViews>
    <sheetView zoomScaleNormal="10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defaultColWidth="8.85546875" defaultRowHeight="15" outlineLevelCol="1"/>
  <cols>
    <col min="1" max="1" width="27.5703125" customWidth="1"/>
    <col min="2" max="2" width="15.140625" customWidth="1"/>
    <col min="3" max="4" width="15" customWidth="1" outlineLevel="1"/>
    <col min="5" max="6" width="5.85546875" customWidth="1"/>
    <col min="7" max="7" width="7.28515625" hidden="1" customWidth="1"/>
    <col min="8" max="8" width="9.7109375" customWidth="1"/>
    <col min="9" max="9" width="13.7109375" customWidth="1"/>
    <col min="10" max="10" width="32.42578125" hidden="1" customWidth="1" outlineLevel="1"/>
    <col min="11" max="11" width="38.140625" hidden="1" customWidth="1" outlineLevel="1"/>
    <col min="12" max="12" width="31.140625" hidden="1" customWidth="1" outlineLevel="1"/>
    <col min="13" max="14" width="12.42578125" hidden="1" customWidth="1" outlineLevel="1"/>
    <col min="15" max="15" width="30.5703125" hidden="1" customWidth="1" outlineLevel="1"/>
    <col min="16" max="16" width="8.28515625" hidden="1" customWidth="1" outlineLevel="1"/>
    <col min="17" max="17" width="10.42578125" customWidth="1" collapsed="1"/>
    <col min="18" max="18" width="64.42578125" customWidth="1"/>
    <col min="19" max="19" width="122.85546875" hidden="1" customWidth="1" outlineLevel="1"/>
    <col min="20" max="20" width="57.42578125" hidden="1" customWidth="1" outlineLevel="1"/>
    <col min="21" max="21" width="50.42578125" hidden="1" customWidth="1" outlineLevel="1"/>
    <col min="22" max="22" width="14.42578125" customWidth="1" collapsed="1"/>
    <col min="23" max="23" width="10.140625" customWidth="1"/>
    <col min="24" max="25" width="9.7109375" customWidth="1"/>
    <col min="26" max="26" width="29.7109375" customWidth="1"/>
    <col min="27" max="27" width="22.42578125" customWidth="1"/>
    <col min="28" max="28" width="31.42578125" customWidth="1"/>
  </cols>
  <sheetData>
    <row r="1" spans="1:29">
      <c r="A1" s="6" t="str">
        <f>"out_" &amp; SourceDef!A50</f>
        <v>out_atr_output_final</v>
      </c>
      <c r="B1" t="s">
        <v>1718</v>
      </c>
      <c r="C1" s="11" t="str">
        <f>"src_" &amp; SourceDef!A48</f>
        <v>src_atr_source</v>
      </c>
      <c r="D1" s="11" t="str">
        <f>"src_" &amp; SourceDef!A49</f>
        <v>src_atr_output_raw</v>
      </c>
      <c r="E1" s="6" t="s">
        <v>652</v>
      </c>
      <c r="F1" s="6" t="s">
        <v>657</v>
      </c>
      <c r="G1" t="s">
        <v>0</v>
      </c>
      <c r="H1" t="s">
        <v>616</v>
      </c>
      <c r="I1" t="s">
        <v>602</v>
      </c>
      <c r="J1" t="s">
        <v>610</v>
      </c>
      <c r="K1" t="s">
        <v>611</v>
      </c>
      <c r="L1" t="s">
        <v>612</v>
      </c>
      <c r="M1" t="s">
        <v>624</v>
      </c>
      <c r="N1" t="s">
        <v>628</v>
      </c>
      <c r="O1" t="s">
        <v>677</v>
      </c>
      <c r="P1" t="s">
        <v>678</v>
      </c>
      <c r="Q1" t="s">
        <v>613</v>
      </c>
      <c r="R1" t="s">
        <v>617</v>
      </c>
      <c r="S1" t="s">
        <v>1</v>
      </c>
      <c r="T1" t="s">
        <v>2</v>
      </c>
      <c r="U1" t="s">
        <v>3</v>
      </c>
      <c r="V1" t="s">
        <v>595</v>
      </c>
      <c r="W1" t="s">
        <v>4</v>
      </c>
      <c r="X1" t="s">
        <v>5</v>
      </c>
      <c r="Y1" t="s">
        <v>720</v>
      </c>
      <c r="Z1" t="s">
        <v>6</v>
      </c>
      <c r="AA1" t="s">
        <v>7</v>
      </c>
      <c r="AB1" t="s">
        <v>8</v>
      </c>
      <c r="AC1" t="s">
        <v>2169</v>
      </c>
    </row>
    <row r="2" spans="1:29">
      <c r="A2" s="5" t="str">
        <f>IF(ISBLANK(C2), D2, C2)</f>
        <v>ClaimID</v>
      </c>
      <c r="C2" t="s">
        <v>9</v>
      </c>
      <c r="D2" t="s">
        <v>9</v>
      </c>
      <c r="X2" t="b">
        <f t="shared" ref="X2:X65" si="0">IF(NOT(ISBLANK(A2)), LEN(_xlfn.CONCAT(C2:W2))&gt;0, "")</f>
        <v>1</v>
      </c>
      <c r="Y2" t="b">
        <f t="shared" ref="Y2:Y65" si="1">AND(ISNUMBER(SEARCH("kw",_xlfn.CONCAT(H2:W2))), ISNUMBER(SEARCH("thm",_xlfn.CONCAT(H2:W2))))</f>
        <v>0</v>
      </c>
    </row>
    <row r="3" spans="1:29">
      <c r="A3" s="5" t="str">
        <f t="shared" ref="A3:A66" si="2">IF(ISBLANK(C3), D3, C3)</f>
        <v>ClaimYearQuarter</v>
      </c>
      <c r="C3" t="s">
        <v>10</v>
      </c>
      <c r="X3" t="b">
        <f t="shared" si="0"/>
        <v>1</v>
      </c>
      <c r="Y3" t="b">
        <f t="shared" si="1"/>
        <v>0</v>
      </c>
    </row>
    <row r="4" spans="1:29">
      <c r="A4" s="5" t="str">
        <f t="shared" si="2"/>
        <v>PA</v>
      </c>
      <c r="C4" t="s">
        <v>11</v>
      </c>
      <c r="X4" t="b">
        <f t="shared" si="0"/>
        <v>1</v>
      </c>
      <c r="Y4" t="b">
        <f t="shared" si="1"/>
        <v>0</v>
      </c>
    </row>
    <row r="5" spans="1:29">
      <c r="A5" s="5" t="str">
        <f t="shared" si="2"/>
        <v>PrgID</v>
      </c>
      <c r="C5" t="s">
        <v>12</v>
      </c>
      <c r="X5" t="b">
        <f t="shared" si="0"/>
        <v>1</v>
      </c>
      <c r="Y5" t="b">
        <f t="shared" si="1"/>
        <v>0</v>
      </c>
    </row>
    <row r="6" spans="1:29">
      <c r="A6" s="5" t="str">
        <f t="shared" si="2"/>
        <v>ProgramName</v>
      </c>
      <c r="C6" t="s">
        <v>13</v>
      </c>
      <c r="X6" t="b">
        <f t="shared" si="0"/>
        <v>1</v>
      </c>
      <c r="Y6" t="b">
        <f t="shared" si="1"/>
        <v>0</v>
      </c>
    </row>
    <row r="7" spans="1:29">
      <c r="A7" s="5" t="str">
        <f t="shared" si="2"/>
        <v>RoadmapID</v>
      </c>
      <c r="C7" t="s">
        <v>2486</v>
      </c>
      <c r="X7" t="b">
        <f t="shared" si="0"/>
        <v>1</v>
      </c>
      <c r="Y7" t="b">
        <f t="shared" si="1"/>
        <v>0</v>
      </c>
    </row>
    <row r="8" spans="1:29">
      <c r="A8" s="5" t="str">
        <f t="shared" si="2"/>
        <v>MeasureGroup</v>
      </c>
      <c r="C8" t="s">
        <v>2487</v>
      </c>
      <c r="X8" t="b">
        <f t="shared" si="0"/>
        <v>1</v>
      </c>
      <c r="Y8" t="b">
        <f t="shared" si="1"/>
        <v>0</v>
      </c>
    </row>
    <row r="9" spans="1:29">
      <c r="A9" s="5" t="str">
        <f t="shared" si="2"/>
        <v>MeasCode</v>
      </c>
      <c r="C9" t="s">
        <v>14</v>
      </c>
      <c r="X9" t="b">
        <f t="shared" si="0"/>
        <v>1</v>
      </c>
      <c r="Y9" t="b">
        <f t="shared" si="1"/>
        <v>0</v>
      </c>
    </row>
    <row r="10" spans="1:29">
      <c r="A10" s="5" t="str">
        <f t="shared" si="2"/>
        <v>MeasDescription</v>
      </c>
      <c r="C10" t="s">
        <v>15</v>
      </c>
      <c r="X10" t="b">
        <f t="shared" si="0"/>
        <v>1</v>
      </c>
      <c r="Y10" t="b">
        <f t="shared" si="1"/>
        <v>0</v>
      </c>
    </row>
    <row r="11" spans="1:29">
      <c r="A11" s="5" t="str">
        <f t="shared" si="2"/>
        <v>MeasAppType</v>
      </c>
      <c r="C11" t="s">
        <v>16</v>
      </c>
      <c r="X11" t="b">
        <f t="shared" si="0"/>
        <v>1</v>
      </c>
      <c r="Y11" t="b">
        <f t="shared" si="1"/>
        <v>0</v>
      </c>
    </row>
    <row r="12" spans="1:29">
      <c r="A12" s="5" t="str">
        <f t="shared" si="2"/>
        <v>DeliveryType</v>
      </c>
      <c r="C12" t="s">
        <v>17</v>
      </c>
      <c r="X12" t="b">
        <f t="shared" si="0"/>
        <v>1</v>
      </c>
      <c r="Y12" t="b">
        <f t="shared" si="1"/>
        <v>0</v>
      </c>
    </row>
    <row r="13" spans="1:29">
      <c r="A13" s="5" t="str">
        <f t="shared" si="2"/>
        <v>Residential_Flag</v>
      </c>
      <c r="C13" t="s">
        <v>134</v>
      </c>
      <c r="X13" t="b">
        <f t="shared" si="0"/>
        <v>1</v>
      </c>
      <c r="Y13" t="b">
        <f t="shared" si="1"/>
        <v>0</v>
      </c>
    </row>
    <row r="14" spans="1:29">
      <c r="A14" s="5" t="str">
        <f t="shared" si="2"/>
        <v>DeemedFlag</v>
      </c>
      <c r="C14" t="s">
        <v>2488</v>
      </c>
      <c r="X14" t="b">
        <f t="shared" si="0"/>
        <v>1</v>
      </c>
      <c r="Y14" t="b">
        <f t="shared" si="1"/>
        <v>0</v>
      </c>
    </row>
    <row r="15" spans="1:29">
      <c r="A15" s="5" t="str">
        <f t="shared" si="2"/>
        <v>Upstream_Flag</v>
      </c>
      <c r="C15" t="s">
        <v>18</v>
      </c>
      <c r="X15" t="b">
        <f t="shared" si="0"/>
        <v>1</v>
      </c>
      <c r="Y15" t="b">
        <f t="shared" si="1"/>
        <v>0</v>
      </c>
    </row>
    <row r="16" spans="1:29">
      <c r="A16" s="5" t="str">
        <f t="shared" si="2"/>
        <v>EUC_Flag</v>
      </c>
      <c r="C16" t="s">
        <v>19</v>
      </c>
      <c r="X16" t="b">
        <f t="shared" si="0"/>
        <v>1</v>
      </c>
      <c r="Y16" t="b">
        <f t="shared" si="1"/>
        <v>0</v>
      </c>
    </row>
    <row r="17" spans="1:26">
      <c r="A17" s="5" t="str">
        <f t="shared" si="2"/>
        <v>LGP_Flag</v>
      </c>
      <c r="C17" t="s">
        <v>20</v>
      </c>
      <c r="X17" t="b">
        <f t="shared" si="0"/>
        <v>1</v>
      </c>
      <c r="Y17" t="b">
        <f t="shared" si="1"/>
        <v>0</v>
      </c>
    </row>
    <row r="18" spans="1:26">
      <c r="A18" s="5" t="str">
        <f t="shared" si="2"/>
        <v>REN_Flag</v>
      </c>
      <c r="C18" t="s">
        <v>21</v>
      </c>
      <c r="X18" t="b">
        <f t="shared" si="0"/>
        <v>1</v>
      </c>
      <c r="Y18" t="b">
        <f t="shared" si="1"/>
        <v>0</v>
      </c>
    </row>
    <row r="19" spans="1:26">
      <c r="A19" s="5" t="str">
        <f t="shared" si="2"/>
        <v>OBF_Flag</v>
      </c>
      <c r="C19" t="s">
        <v>22</v>
      </c>
      <c r="X19" t="b">
        <f t="shared" si="0"/>
        <v>1</v>
      </c>
      <c r="Y19" t="b">
        <f t="shared" si="1"/>
        <v>0</v>
      </c>
      <c r="Z19" s="1"/>
    </row>
    <row r="20" spans="1:26">
      <c r="A20" s="5" t="str">
        <f t="shared" si="2"/>
        <v>ESPI_Group</v>
      </c>
      <c r="C20" t="s">
        <v>2489</v>
      </c>
      <c r="X20" t="b">
        <f t="shared" si="0"/>
        <v>1</v>
      </c>
      <c r="Y20" t="b">
        <f t="shared" si="1"/>
        <v>0</v>
      </c>
    </row>
    <row r="21" spans="1:26">
      <c r="A21" s="5" t="str">
        <f t="shared" si="2"/>
        <v>ESPI_Category</v>
      </c>
      <c r="C21" t="s">
        <v>2490</v>
      </c>
      <c r="X21" t="b">
        <f t="shared" si="0"/>
        <v>1</v>
      </c>
      <c r="Y21" t="b">
        <f t="shared" si="1"/>
        <v>0</v>
      </c>
    </row>
    <row r="22" spans="1:26">
      <c r="A22" s="5" t="str">
        <f t="shared" si="2"/>
        <v>UncertainMeasure</v>
      </c>
      <c r="C22" t="s">
        <v>2491</v>
      </c>
      <c r="X22" t="b">
        <f t="shared" si="0"/>
        <v>1</v>
      </c>
      <c r="Y22" t="b">
        <f t="shared" si="1"/>
        <v>0</v>
      </c>
    </row>
    <row r="23" spans="1:26">
      <c r="A23" s="5" t="str">
        <f t="shared" si="2"/>
        <v>NTG_ID</v>
      </c>
      <c r="C23" t="s">
        <v>23</v>
      </c>
      <c r="X23" t="b">
        <f t="shared" si="0"/>
        <v>1</v>
      </c>
      <c r="Y23" t="b">
        <f t="shared" si="1"/>
        <v>0</v>
      </c>
    </row>
    <row r="24" spans="1:26">
      <c r="A24" s="5" t="str">
        <f t="shared" si="2"/>
        <v>InstallationDate</v>
      </c>
      <c r="C24" t="s">
        <v>24</v>
      </c>
      <c r="X24" t="b">
        <f t="shared" si="0"/>
        <v>1</v>
      </c>
      <c r="Y24" t="b">
        <f t="shared" si="1"/>
        <v>0</v>
      </c>
    </row>
    <row r="25" spans="1:26">
      <c r="A25" s="5" t="str">
        <f t="shared" si="2"/>
        <v>PaidDate</v>
      </c>
      <c r="C25" t="s">
        <v>25</v>
      </c>
      <c r="X25" t="b">
        <f t="shared" si="0"/>
        <v>1</v>
      </c>
      <c r="Y25" t="b">
        <f t="shared" si="1"/>
        <v>0</v>
      </c>
    </row>
    <row r="26" spans="1:26">
      <c r="A26" s="5" t="str">
        <f t="shared" si="2"/>
        <v>ApplicationDate</v>
      </c>
      <c r="C26" t="s">
        <v>26</v>
      </c>
      <c r="X26" t="b">
        <f t="shared" si="0"/>
        <v>1</v>
      </c>
      <c r="Y26" t="b">
        <f t="shared" si="1"/>
        <v>0</v>
      </c>
    </row>
    <row r="27" spans="1:26">
      <c r="A27" s="5" t="str">
        <f t="shared" si="2"/>
        <v>ER_IOUReported</v>
      </c>
      <c r="C27" t="s">
        <v>2492</v>
      </c>
      <c r="X27" t="b">
        <f t="shared" si="0"/>
        <v>1</v>
      </c>
      <c r="Y27" t="b">
        <f t="shared" si="1"/>
        <v>0</v>
      </c>
    </row>
    <row r="28" spans="1:26">
      <c r="A28" s="5" t="str">
        <f t="shared" si="2"/>
        <v>NormUnit</v>
      </c>
      <c r="C28" t="s">
        <v>27</v>
      </c>
      <c r="X28" t="b">
        <f t="shared" si="0"/>
        <v>1</v>
      </c>
      <c r="Y28" t="b">
        <f t="shared" si="1"/>
        <v>0</v>
      </c>
    </row>
    <row r="29" spans="1:26">
      <c r="A29" s="5" t="str">
        <f t="shared" si="2"/>
        <v>MarketEffectsBenefits</v>
      </c>
      <c r="C29" t="s">
        <v>28</v>
      </c>
      <c r="X29" t="b">
        <f t="shared" si="0"/>
        <v>1</v>
      </c>
      <c r="Y29" t="b">
        <f t="shared" si="1"/>
        <v>0</v>
      </c>
    </row>
    <row r="30" spans="1:26">
      <c r="A30" s="5" t="str">
        <f t="shared" si="2"/>
        <v>NumUnits</v>
      </c>
      <c r="C30" t="s">
        <v>29</v>
      </c>
      <c r="X30" t="b">
        <f t="shared" si="0"/>
        <v>1</v>
      </c>
      <c r="Y30" t="b">
        <f t="shared" si="1"/>
        <v>0</v>
      </c>
    </row>
    <row r="31" spans="1:26">
      <c r="A31" s="5" t="str">
        <f t="shared" si="2"/>
        <v>UnitkW1stBaseline</v>
      </c>
      <c r="C31" t="s">
        <v>30</v>
      </c>
      <c r="X31" t="b">
        <f t="shared" si="0"/>
        <v>1</v>
      </c>
      <c r="Y31" t="b">
        <f t="shared" si="1"/>
        <v>0</v>
      </c>
    </row>
    <row r="32" spans="1:26">
      <c r="A32" s="5" t="str">
        <f t="shared" si="2"/>
        <v>UnitkWh1stBaseline</v>
      </c>
      <c r="C32" t="s">
        <v>31</v>
      </c>
      <c r="X32" t="b">
        <f t="shared" si="0"/>
        <v>1</v>
      </c>
      <c r="Y32" t="b">
        <f t="shared" si="1"/>
        <v>0</v>
      </c>
    </row>
    <row r="33" spans="1:25">
      <c r="A33" s="5" t="str">
        <f t="shared" si="2"/>
        <v>UnitTherm1stBaseline</v>
      </c>
      <c r="C33" t="s">
        <v>32</v>
      </c>
      <c r="X33" t="b">
        <f t="shared" si="0"/>
        <v>1</v>
      </c>
      <c r="Y33" t="b">
        <f t="shared" si="1"/>
        <v>0</v>
      </c>
    </row>
    <row r="34" spans="1:25">
      <c r="A34" s="5" t="str">
        <f t="shared" si="2"/>
        <v>UnitkW2ndBaseline</v>
      </c>
      <c r="C34" t="s">
        <v>33</v>
      </c>
      <c r="X34" t="b">
        <f t="shared" si="0"/>
        <v>1</v>
      </c>
      <c r="Y34" t="b">
        <f t="shared" si="1"/>
        <v>0</v>
      </c>
    </row>
    <row r="35" spans="1:25">
      <c r="A35" s="5" t="str">
        <f t="shared" si="2"/>
        <v>UnitkWh2ndBaseline</v>
      </c>
      <c r="C35" t="s">
        <v>34</v>
      </c>
      <c r="X35" t="b">
        <f t="shared" si="0"/>
        <v>1</v>
      </c>
      <c r="Y35" t="b">
        <f t="shared" si="1"/>
        <v>0</v>
      </c>
    </row>
    <row r="36" spans="1:25">
      <c r="A36" s="5" t="str">
        <f t="shared" si="2"/>
        <v>UnitTherm2ndBaseline</v>
      </c>
      <c r="C36" t="s">
        <v>35</v>
      </c>
      <c r="X36" t="b">
        <f t="shared" si="0"/>
        <v>1</v>
      </c>
      <c r="Y36" t="b">
        <f t="shared" si="1"/>
        <v>0</v>
      </c>
    </row>
    <row r="37" spans="1:25">
      <c r="A37" s="5" t="str">
        <f t="shared" si="2"/>
        <v>InstallationRatekW</v>
      </c>
      <c r="C37" t="s">
        <v>36</v>
      </c>
      <c r="X37" t="b">
        <f t="shared" si="0"/>
        <v>1</v>
      </c>
      <c r="Y37" t="b">
        <f t="shared" si="1"/>
        <v>0</v>
      </c>
    </row>
    <row r="38" spans="1:25">
      <c r="A38" s="5" t="str">
        <f t="shared" si="2"/>
        <v>InstallationRatekWh</v>
      </c>
      <c r="C38" t="s">
        <v>37</v>
      </c>
      <c r="X38" t="b">
        <f t="shared" si="0"/>
        <v>1</v>
      </c>
      <c r="Y38" t="b">
        <f t="shared" si="1"/>
        <v>0</v>
      </c>
    </row>
    <row r="39" spans="1:25">
      <c r="A39" s="5" t="str">
        <f t="shared" si="2"/>
        <v>InstallationRateTherm</v>
      </c>
      <c r="C39" t="s">
        <v>38</v>
      </c>
      <c r="X39" t="b">
        <f t="shared" si="0"/>
        <v>1</v>
      </c>
      <c r="Y39" t="b">
        <f t="shared" si="1"/>
        <v>0</v>
      </c>
    </row>
    <row r="40" spans="1:25">
      <c r="A40" s="5" t="str">
        <f t="shared" si="2"/>
        <v>RealizationRatekW</v>
      </c>
      <c r="C40" t="s">
        <v>39</v>
      </c>
      <c r="X40" t="b">
        <f t="shared" si="0"/>
        <v>1</v>
      </c>
      <c r="Y40" t="b">
        <f t="shared" si="1"/>
        <v>0</v>
      </c>
    </row>
    <row r="41" spans="1:25">
      <c r="A41" s="5" t="str">
        <f t="shared" si="2"/>
        <v>RealizationRatekWh</v>
      </c>
      <c r="C41" t="s">
        <v>40</v>
      </c>
      <c r="X41" t="b">
        <f t="shared" si="0"/>
        <v>1</v>
      </c>
      <c r="Y41" t="b">
        <f t="shared" si="1"/>
        <v>0</v>
      </c>
    </row>
    <row r="42" spans="1:25">
      <c r="A42" s="5" t="str">
        <f t="shared" si="2"/>
        <v>RealizationRateTherm</v>
      </c>
      <c r="C42" t="s">
        <v>41</v>
      </c>
      <c r="X42" t="b">
        <f t="shared" si="0"/>
        <v>1</v>
      </c>
      <c r="Y42" t="b">
        <f t="shared" si="1"/>
        <v>0</v>
      </c>
    </row>
    <row r="43" spans="1:25">
      <c r="A43" s="5" t="str">
        <f t="shared" si="2"/>
        <v>NTGRkW</v>
      </c>
      <c r="C43" t="s">
        <v>42</v>
      </c>
      <c r="X43" t="b">
        <f t="shared" si="0"/>
        <v>1</v>
      </c>
      <c r="Y43" t="b">
        <f t="shared" si="1"/>
        <v>0</v>
      </c>
    </row>
    <row r="44" spans="1:25">
      <c r="A44" s="5" t="str">
        <f t="shared" si="2"/>
        <v>NTGRkWh</v>
      </c>
      <c r="C44" t="s">
        <v>43</v>
      </c>
      <c r="X44" t="b">
        <f t="shared" si="0"/>
        <v>1</v>
      </c>
      <c r="Y44" t="b">
        <f t="shared" si="1"/>
        <v>0</v>
      </c>
    </row>
    <row r="45" spans="1:25">
      <c r="A45" s="5" t="str">
        <f t="shared" si="2"/>
        <v>NTGRTherm</v>
      </c>
      <c r="C45" t="s">
        <v>44</v>
      </c>
      <c r="X45" t="b">
        <f t="shared" si="0"/>
        <v>1</v>
      </c>
      <c r="Y45" t="b">
        <f t="shared" si="1"/>
        <v>0</v>
      </c>
    </row>
    <row r="46" spans="1:25">
      <c r="A46" s="5" t="str">
        <f t="shared" si="2"/>
        <v>NTGRCost</v>
      </c>
      <c r="C46" t="s">
        <v>45</v>
      </c>
      <c r="X46" t="b">
        <f t="shared" si="0"/>
        <v>1</v>
      </c>
      <c r="Y46" t="b">
        <f t="shared" si="1"/>
        <v>0</v>
      </c>
    </row>
    <row r="47" spans="1:25">
      <c r="A47" s="5" t="str">
        <f t="shared" si="2"/>
        <v>EUL_Yrs</v>
      </c>
      <c r="C47" t="s">
        <v>46</v>
      </c>
      <c r="X47" t="b">
        <f t="shared" si="0"/>
        <v>1</v>
      </c>
      <c r="Y47" t="b">
        <f t="shared" si="1"/>
        <v>0</v>
      </c>
    </row>
    <row r="48" spans="1:25">
      <c r="A48" s="5" t="str">
        <f t="shared" si="2"/>
        <v>RUL_Yrs</v>
      </c>
      <c r="C48" t="s">
        <v>47</v>
      </c>
      <c r="X48" t="b">
        <f t="shared" si="0"/>
        <v>1</v>
      </c>
      <c r="Y48" t="b">
        <f t="shared" si="1"/>
        <v>0</v>
      </c>
    </row>
    <row r="49" spans="1:25">
      <c r="A49" s="5" t="str">
        <f t="shared" si="2"/>
        <v>ExAnteFirstYearGrosskW</v>
      </c>
      <c r="C49" t="s">
        <v>48</v>
      </c>
      <c r="X49" t="b">
        <f t="shared" si="0"/>
        <v>1</v>
      </c>
      <c r="Y49" t="b">
        <f t="shared" si="1"/>
        <v>0</v>
      </c>
    </row>
    <row r="50" spans="1:25">
      <c r="A50" s="5" t="str">
        <f t="shared" si="2"/>
        <v>ExAnteFirstYearGrosskWh</v>
      </c>
      <c r="C50" t="s">
        <v>49</v>
      </c>
      <c r="X50" t="b">
        <f t="shared" si="0"/>
        <v>1</v>
      </c>
      <c r="Y50" t="b">
        <f t="shared" si="1"/>
        <v>0</v>
      </c>
    </row>
    <row r="51" spans="1:25">
      <c r="A51" s="5" t="str">
        <f t="shared" si="2"/>
        <v>ExAnteFirstYearGrossTherm</v>
      </c>
      <c r="C51" t="s">
        <v>50</v>
      </c>
      <c r="X51" t="b">
        <f t="shared" si="0"/>
        <v>1</v>
      </c>
      <c r="Y51" t="b">
        <f t="shared" si="1"/>
        <v>0</v>
      </c>
    </row>
    <row r="52" spans="1:25">
      <c r="A52" s="5" t="str">
        <f t="shared" si="2"/>
        <v>ExAnteFirstYearNetkW</v>
      </c>
      <c r="C52" t="s">
        <v>51</v>
      </c>
      <c r="X52" t="b">
        <f t="shared" si="0"/>
        <v>1</v>
      </c>
      <c r="Y52" t="b">
        <f t="shared" si="1"/>
        <v>0</v>
      </c>
    </row>
    <row r="53" spans="1:25">
      <c r="A53" s="5" t="str">
        <f t="shared" si="2"/>
        <v>ExAnteFirstYearNetkWh</v>
      </c>
      <c r="C53" t="s">
        <v>52</v>
      </c>
      <c r="X53" t="b">
        <f t="shared" si="0"/>
        <v>1</v>
      </c>
      <c r="Y53" t="b">
        <f t="shared" si="1"/>
        <v>0</v>
      </c>
    </row>
    <row r="54" spans="1:25">
      <c r="A54" s="5" t="str">
        <f t="shared" si="2"/>
        <v>ExAnteFirstYearNetTherm</v>
      </c>
      <c r="C54" t="s">
        <v>53</v>
      </c>
      <c r="X54" t="b">
        <f t="shared" si="0"/>
        <v>1</v>
      </c>
      <c r="Y54" t="b">
        <f t="shared" si="1"/>
        <v>0</v>
      </c>
    </row>
    <row r="55" spans="1:25">
      <c r="A55" s="5" t="str">
        <f t="shared" si="2"/>
        <v>ExAnteLifecycleGrosskW</v>
      </c>
      <c r="C55" t="s">
        <v>54</v>
      </c>
      <c r="X55" t="b">
        <f t="shared" si="0"/>
        <v>1</v>
      </c>
      <c r="Y55" t="b">
        <f t="shared" si="1"/>
        <v>0</v>
      </c>
    </row>
    <row r="56" spans="1:25">
      <c r="A56" s="5" t="str">
        <f t="shared" si="2"/>
        <v>ExAnteLifecycleGrosskWh</v>
      </c>
      <c r="C56" t="s">
        <v>55</v>
      </c>
      <c r="X56" t="b">
        <f t="shared" si="0"/>
        <v>1</v>
      </c>
      <c r="Y56" t="b">
        <f t="shared" si="1"/>
        <v>0</v>
      </c>
    </row>
    <row r="57" spans="1:25">
      <c r="A57" s="5" t="str">
        <f t="shared" si="2"/>
        <v>ExAnteLifecycleGrossTherm</v>
      </c>
      <c r="C57" t="s">
        <v>56</v>
      </c>
      <c r="X57" t="b">
        <f t="shared" si="0"/>
        <v>1</v>
      </c>
      <c r="Y57" t="b">
        <f t="shared" si="1"/>
        <v>0</v>
      </c>
    </row>
    <row r="58" spans="1:25">
      <c r="A58" s="5" t="str">
        <f t="shared" si="2"/>
        <v>ExAnteLifecycleNetkW</v>
      </c>
      <c r="C58" t="s">
        <v>57</v>
      </c>
      <c r="X58" t="b">
        <f t="shared" si="0"/>
        <v>1</v>
      </c>
      <c r="Y58" t="b">
        <f t="shared" si="1"/>
        <v>0</v>
      </c>
    </row>
    <row r="59" spans="1:25">
      <c r="A59" s="5" t="str">
        <f t="shared" si="2"/>
        <v>ExAnteLifecycleNetkWh</v>
      </c>
      <c r="C59" t="s">
        <v>58</v>
      </c>
      <c r="X59" t="b">
        <f t="shared" si="0"/>
        <v>1</v>
      </c>
      <c r="Y59" t="b">
        <f t="shared" si="1"/>
        <v>0</v>
      </c>
    </row>
    <row r="60" spans="1:25">
      <c r="A60" s="5" t="str">
        <f t="shared" si="2"/>
        <v>ExAnteLifecycleNetTherm</v>
      </c>
      <c r="C60" t="s">
        <v>59</v>
      </c>
      <c r="X60" t="b">
        <f t="shared" si="0"/>
        <v>1</v>
      </c>
      <c r="Y60" t="b">
        <f t="shared" si="1"/>
        <v>0</v>
      </c>
    </row>
    <row r="61" spans="1:25">
      <c r="A61" s="5" t="str">
        <f t="shared" si="2"/>
        <v>EvalReportName</v>
      </c>
      <c r="D61" t="s">
        <v>2493</v>
      </c>
      <c r="X61" t="b">
        <f t="shared" si="0"/>
        <v>1</v>
      </c>
      <c r="Y61" t="b">
        <f t="shared" si="1"/>
        <v>0</v>
      </c>
    </row>
    <row r="62" spans="1:25">
      <c r="A62" s="5" t="str">
        <f t="shared" si="2"/>
        <v>EvalStdReportGroup</v>
      </c>
      <c r="D62" t="s">
        <v>2494</v>
      </c>
      <c r="X62" t="b">
        <f t="shared" si="0"/>
        <v>1</v>
      </c>
      <c r="Y62" t="b">
        <f t="shared" si="1"/>
        <v>0</v>
      </c>
    </row>
    <row r="63" spans="1:25">
      <c r="A63" s="5" t="str">
        <f t="shared" si="2"/>
        <v>EvalNetPassThru</v>
      </c>
      <c r="D63" t="s">
        <v>2495</v>
      </c>
      <c r="X63" t="b">
        <f t="shared" si="0"/>
        <v>1</v>
      </c>
      <c r="Y63" t="b">
        <f t="shared" si="1"/>
        <v>0</v>
      </c>
    </row>
    <row r="64" spans="1:25">
      <c r="A64" s="5" t="str">
        <f t="shared" si="2"/>
        <v>EvalGrossPassThru</v>
      </c>
      <c r="D64" t="s">
        <v>2496</v>
      </c>
      <c r="X64" t="b">
        <f t="shared" si="0"/>
        <v>1</v>
      </c>
      <c r="Y64" t="b">
        <f t="shared" si="1"/>
        <v>0</v>
      </c>
    </row>
    <row r="65" spans="1:25">
      <c r="A65" s="5" t="str">
        <f t="shared" si="2"/>
        <v>ER_EvalExPost</v>
      </c>
      <c r="D65" t="s">
        <v>2497</v>
      </c>
      <c r="X65" t="b">
        <f t="shared" si="0"/>
        <v>1</v>
      </c>
      <c r="Y65" t="b">
        <f t="shared" si="1"/>
        <v>0</v>
      </c>
    </row>
    <row r="66" spans="1:25">
      <c r="A66" s="5" t="str">
        <f t="shared" si="2"/>
        <v>EvalNumUnits</v>
      </c>
      <c r="D66" t="s">
        <v>2498</v>
      </c>
      <c r="X66" t="b">
        <f t="shared" ref="X66:X136" si="3">IF(NOT(ISBLANK(A66)), LEN(_xlfn.CONCAT(C66:W66))&gt;0, "")</f>
        <v>1</v>
      </c>
      <c r="Y66" t="b">
        <f t="shared" ref="Y66:Y100" si="4">AND(ISNUMBER(SEARCH("kw",_xlfn.CONCAT(H66:W66))), ISNUMBER(SEARCH("thm",_xlfn.CONCAT(H66:W66))))</f>
        <v>0</v>
      </c>
    </row>
    <row r="67" spans="1:25">
      <c r="A67" s="5" t="str">
        <f t="shared" ref="A67:A99" si="5">IF(ISBLANK(C67), D67, C67)</f>
        <v>EvalUnitkW1stBaseline</v>
      </c>
      <c r="D67" t="s">
        <v>2499</v>
      </c>
      <c r="X67" t="b">
        <f t="shared" si="3"/>
        <v>1</v>
      </c>
      <c r="Y67" t="b">
        <f t="shared" si="4"/>
        <v>0</v>
      </c>
    </row>
    <row r="68" spans="1:25">
      <c r="A68" s="5" t="str">
        <f t="shared" si="5"/>
        <v>EvalUnitkWh1stBaseline</v>
      </c>
      <c r="D68" t="s">
        <v>2500</v>
      </c>
      <c r="X68" t="b">
        <f t="shared" si="3"/>
        <v>1</v>
      </c>
      <c r="Y68" t="b">
        <f t="shared" si="4"/>
        <v>0</v>
      </c>
    </row>
    <row r="69" spans="1:25">
      <c r="A69" s="5" t="str">
        <f t="shared" si="5"/>
        <v>EvalUnitTherm1stBaseline</v>
      </c>
      <c r="D69" t="s">
        <v>2501</v>
      </c>
      <c r="X69" t="b">
        <f t="shared" si="3"/>
        <v>1</v>
      </c>
      <c r="Y69" t="b">
        <f t="shared" si="4"/>
        <v>0</v>
      </c>
    </row>
    <row r="70" spans="1:25">
      <c r="A70" s="5" t="str">
        <f t="shared" si="5"/>
        <v>EvalUnitkW2ndBaseline</v>
      </c>
      <c r="D70" t="s">
        <v>2502</v>
      </c>
      <c r="X70" t="b">
        <f t="shared" si="3"/>
        <v>1</v>
      </c>
      <c r="Y70" t="b">
        <f t="shared" si="4"/>
        <v>0</v>
      </c>
    </row>
    <row r="71" spans="1:25">
      <c r="A71" s="5" t="str">
        <f t="shared" si="5"/>
        <v>EvalUnitkWh2ndBaseline</v>
      </c>
      <c r="D71" t="s">
        <v>2503</v>
      </c>
      <c r="X71" t="b">
        <f t="shared" si="3"/>
        <v>1</v>
      </c>
      <c r="Y71" t="b">
        <f t="shared" si="4"/>
        <v>0</v>
      </c>
    </row>
    <row r="72" spans="1:25">
      <c r="A72" s="5" t="str">
        <f t="shared" si="5"/>
        <v>EvalUnitTherm2ndBaseline</v>
      </c>
      <c r="D72" t="s">
        <v>2504</v>
      </c>
      <c r="X72" t="b">
        <f t="shared" si="3"/>
        <v>1</v>
      </c>
      <c r="Y72" t="b">
        <f t="shared" si="4"/>
        <v>0</v>
      </c>
    </row>
    <row r="73" spans="1:25">
      <c r="A73" s="5" t="str">
        <f t="shared" si="5"/>
        <v>EvalInstallationRatekW</v>
      </c>
      <c r="D73" t="s">
        <v>2505</v>
      </c>
      <c r="X73" t="b">
        <f t="shared" si="3"/>
        <v>1</v>
      </c>
      <c r="Y73" t="b">
        <f t="shared" si="4"/>
        <v>0</v>
      </c>
    </row>
    <row r="74" spans="1:25">
      <c r="A74" s="5" t="str">
        <f t="shared" si="5"/>
        <v>EvalInstallationRatekWh</v>
      </c>
      <c r="D74" t="s">
        <v>2506</v>
      </c>
      <c r="X74" t="b">
        <f t="shared" si="3"/>
        <v>1</v>
      </c>
      <c r="Y74" t="b">
        <f t="shared" si="4"/>
        <v>0</v>
      </c>
    </row>
    <row r="75" spans="1:25">
      <c r="A75" s="5" t="str">
        <f t="shared" si="5"/>
        <v>EvalInstallationRateTherm</v>
      </c>
      <c r="D75" t="s">
        <v>2507</v>
      </c>
      <c r="X75" t="b">
        <f t="shared" si="3"/>
        <v>1</v>
      </c>
      <c r="Y75" t="b">
        <f t="shared" si="4"/>
        <v>0</v>
      </c>
    </row>
    <row r="76" spans="1:25">
      <c r="A76" s="5" t="str">
        <f t="shared" si="5"/>
        <v>EvalRRFirstYearkW</v>
      </c>
      <c r="D76" t="s">
        <v>2508</v>
      </c>
      <c r="X76" t="b">
        <f t="shared" si="3"/>
        <v>1</v>
      </c>
      <c r="Y76" t="b">
        <f t="shared" si="4"/>
        <v>0</v>
      </c>
    </row>
    <row r="77" spans="1:25">
      <c r="A77" s="5" t="str">
        <f t="shared" si="5"/>
        <v>EvalRRFirstYearkWh</v>
      </c>
      <c r="D77" t="s">
        <v>2509</v>
      </c>
      <c r="X77" t="b">
        <f t="shared" si="3"/>
        <v>1</v>
      </c>
      <c r="Y77" t="b">
        <f t="shared" si="4"/>
        <v>0</v>
      </c>
    </row>
    <row r="78" spans="1:25">
      <c r="A78" s="5" t="str">
        <f t="shared" si="5"/>
        <v>EvalRRFirstYearTherm</v>
      </c>
      <c r="D78" t="s">
        <v>2510</v>
      </c>
      <c r="X78" t="b">
        <f t="shared" si="3"/>
        <v>1</v>
      </c>
      <c r="Y78" t="b">
        <f t="shared" si="4"/>
        <v>0</v>
      </c>
    </row>
    <row r="79" spans="1:25">
      <c r="A79" s="5" t="str">
        <f t="shared" si="5"/>
        <v>EvalRRLifecyclekW</v>
      </c>
      <c r="D79" t="s">
        <v>2511</v>
      </c>
      <c r="X79" t="b">
        <f>IF(NOT(ISBLANK(A79)), LEN(_xlfn.CONCAT(C79:W79))&gt;0, "")</f>
        <v>1</v>
      </c>
      <c r="Y79" t="b">
        <f>AND(ISNUMBER(SEARCH("kw",_xlfn.CONCAT(H79:W79))), ISNUMBER(SEARCH("thm",_xlfn.CONCAT(H79:W79))))</f>
        <v>0</v>
      </c>
    </row>
    <row r="80" spans="1:25">
      <c r="A80" s="5" t="str">
        <f t="shared" si="5"/>
        <v>EvalRRLifecyclekWh</v>
      </c>
      <c r="D80" t="s">
        <v>2512</v>
      </c>
      <c r="X80" t="b">
        <f>IF(NOT(ISBLANK(A80)), LEN(_xlfn.CONCAT(C80:W80))&gt;0, "")</f>
        <v>1</v>
      </c>
      <c r="Y80" t="b">
        <f>AND(ISNUMBER(SEARCH("kw",_xlfn.CONCAT(H80:W80))), ISNUMBER(SEARCH("thm",_xlfn.CONCAT(H80:W80))))</f>
        <v>0</v>
      </c>
    </row>
    <row r="81" spans="1:29">
      <c r="A81" s="5" t="str">
        <f t="shared" si="5"/>
        <v>EvalRRLifecycleTherm</v>
      </c>
      <c r="D81" t="s">
        <v>2513</v>
      </c>
      <c r="X81" t="b">
        <f>IF(NOT(ISBLANK(A81)), LEN(_xlfn.CONCAT(C81:W81))&gt;0, "")</f>
        <v>1</v>
      </c>
      <c r="Y81" t="b">
        <f>AND(ISNUMBER(SEARCH("kw",_xlfn.CONCAT(H81:W81))), ISNUMBER(SEARCH("thm",_xlfn.CONCAT(H81:W81))))</f>
        <v>0</v>
      </c>
    </row>
    <row r="82" spans="1:29">
      <c r="A82" s="5" t="str">
        <f t="shared" si="5"/>
        <v>EvalNTGRkW</v>
      </c>
      <c r="D82" t="s">
        <v>2514</v>
      </c>
      <c r="X82" t="b">
        <f t="shared" si="3"/>
        <v>1</v>
      </c>
      <c r="Y82" t="b">
        <f t="shared" si="4"/>
        <v>0</v>
      </c>
    </row>
    <row r="83" spans="1:29">
      <c r="A83" s="5" t="str">
        <f t="shared" si="5"/>
        <v>EvalNTGRkWh</v>
      </c>
      <c r="D83" t="s">
        <v>2515</v>
      </c>
      <c r="X83" t="b">
        <f t="shared" si="3"/>
        <v>1</v>
      </c>
      <c r="Y83" t="b">
        <f t="shared" si="4"/>
        <v>0</v>
      </c>
      <c r="AC83">
        <v>24</v>
      </c>
    </row>
    <row r="84" spans="1:29">
      <c r="A84" s="5" t="str">
        <f t="shared" si="5"/>
        <v>EvalNTGRTherm</v>
      </c>
      <c r="D84" t="s">
        <v>2516</v>
      </c>
      <c r="X84" t="b">
        <f t="shared" si="3"/>
        <v>1</v>
      </c>
      <c r="Y84" t="b">
        <f t="shared" si="4"/>
        <v>0</v>
      </c>
      <c r="AC84">
        <v>24</v>
      </c>
    </row>
    <row r="85" spans="1:29">
      <c r="A85" s="5" t="str">
        <f t="shared" si="5"/>
        <v>EvalNTGRCost</v>
      </c>
      <c r="D85" t="s">
        <v>2517</v>
      </c>
      <c r="X85" t="b">
        <f t="shared" si="3"/>
        <v>1</v>
      </c>
      <c r="Y85" t="b">
        <f t="shared" si="4"/>
        <v>0</v>
      </c>
      <c r="AC85">
        <v>24</v>
      </c>
    </row>
    <row r="86" spans="1:29">
      <c r="A86" s="5" t="str">
        <f t="shared" si="5"/>
        <v>EvalEUL_Yrs</v>
      </c>
      <c r="D86" t="s">
        <v>603</v>
      </c>
      <c r="X86" t="b">
        <f t="shared" si="3"/>
        <v>1</v>
      </c>
      <c r="Y86" t="b">
        <f t="shared" si="4"/>
        <v>0</v>
      </c>
      <c r="AC86">
        <v>24</v>
      </c>
    </row>
    <row r="87" spans="1:29">
      <c r="A87" s="5" t="str">
        <f t="shared" si="5"/>
        <v>EvalRUL_Yrs</v>
      </c>
      <c r="D87" t="s">
        <v>604</v>
      </c>
      <c r="X87" t="b">
        <f t="shared" si="3"/>
        <v>1</v>
      </c>
      <c r="Y87" t="b">
        <f t="shared" si="4"/>
        <v>0</v>
      </c>
      <c r="AC87">
        <v>24</v>
      </c>
    </row>
    <row r="88" spans="1:29">
      <c r="A88" s="5" t="str">
        <f t="shared" si="5"/>
        <v>EvalExPostFirstYearGrosskW</v>
      </c>
      <c r="D88" t="s">
        <v>2518</v>
      </c>
      <c r="X88" t="b">
        <f t="shared" si="3"/>
        <v>1</v>
      </c>
      <c r="Y88" t="b">
        <f t="shared" si="4"/>
        <v>0</v>
      </c>
      <c r="AC88">
        <v>24</v>
      </c>
    </row>
    <row r="89" spans="1:29">
      <c r="A89" s="5" t="str">
        <f t="shared" si="5"/>
        <v>EvalExPostFirstYearGrosskWh</v>
      </c>
      <c r="D89" t="s">
        <v>2519</v>
      </c>
      <c r="X89" t="b">
        <f t="shared" si="3"/>
        <v>1</v>
      </c>
      <c r="Y89" t="b">
        <f t="shared" si="4"/>
        <v>0</v>
      </c>
    </row>
    <row r="90" spans="1:29">
      <c r="A90" s="5" t="str">
        <f t="shared" si="5"/>
        <v>EvalExPostFirstYearGrossTherm</v>
      </c>
      <c r="D90" t="s">
        <v>2520</v>
      </c>
      <c r="X90" t="b">
        <f t="shared" si="3"/>
        <v>1</v>
      </c>
      <c r="Y90" t="b">
        <f t="shared" si="4"/>
        <v>0</v>
      </c>
    </row>
    <row r="91" spans="1:29">
      <c r="A91" s="5" t="str">
        <f t="shared" si="5"/>
        <v>EvalExPostFirstYearNetkW</v>
      </c>
      <c r="D91" t="s">
        <v>2521</v>
      </c>
      <c r="X91" t="b">
        <f t="shared" si="3"/>
        <v>1</v>
      </c>
      <c r="Y91" t="b">
        <f t="shared" si="4"/>
        <v>0</v>
      </c>
    </row>
    <row r="92" spans="1:29">
      <c r="A92" s="5" t="str">
        <f t="shared" si="5"/>
        <v>EvalExPostFirstYearNetkWh</v>
      </c>
      <c r="D92" t="s">
        <v>2522</v>
      </c>
      <c r="X92" t="b">
        <f t="shared" si="3"/>
        <v>1</v>
      </c>
      <c r="Y92" t="b">
        <f t="shared" si="4"/>
        <v>0</v>
      </c>
    </row>
    <row r="93" spans="1:29">
      <c r="A93" s="5" t="str">
        <f t="shared" si="5"/>
        <v>EvalExPostFirstYearNetTherm</v>
      </c>
      <c r="D93" t="s">
        <v>2523</v>
      </c>
      <c r="X93" t="b">
        <f t="shared" si="3"/>
        <v>1</v>
      </c>
      <c r="Y93" t="b">
        <f t="shared" si="4"/>
        <v>0</v>
      </c>
    </row>
    <row r="94" spans="1:29">
      <c r="A94" s="5" t="str">
        <f t="shared" si="5"/>
        <v>EvalExPostLifecycleGrosskW</v>
      </c>
      <c r="D94" t="s">
        <v>2524</v>
      </c>
      <c r="X94" t="b">
        <f t="shared" si="3"/>
        <v>1</v>
      </c>
      <c r="Y94" t="b">
        <f t="shared" si="4"/>
        <v>0</v>
      </c>
    </row>
    <row r="95" spans="1:29">
      <c r="A95" s="5" t="str">
        <f t="shared" si="5"/>
        <v>EvalExPostLifecycleGrosskWh</v>
      </c>
      <c r="D95" t="s">
        <v>2525</v>
      </c>
      <c r="X95" t="b">
        <f t="shared" si="3"/>
        <v>1</v>
      </c>
      <c r="Y95" t="b">
        <f t="shared" si="4"/>
        <v>0</v>
      </c>
    </row>
    <row r="96" spans="1:29">
      <c r="A96" s="5" t="str">
        <f t="shared" si="5"/>
        <v>EvalExPostLifecycleGrossTherm</v>
      </c>
      <c r="D96" t="s">
        <v>2526</v>
      </c>
      <c r="X96" t="b">
        <f t="shared" si="3"/>
        <v>1</v>
      </c>
      <c r="Y96" t="b">
        <f t="shared" si="4"/>
        <v>0</v>
      </c>
    </row>
    <row r="97" spans="1:25">
      <c r="A97" s="5" t="str">
        <f t="shared" si="5"/>
        <v>EvalExPostLifecycleNetkW</v>
      </c>
      <c r="D97" t="s">
        <v>2527</v>
      </c>
      <c r="X97" t="b">
        <f t="shared" si="3"/>
        <v>1</v>
      </c>
      <c r="Y97" t="b">
        <f t="shared" si="4"/>
        <v>0</v>
      </c>
    </row>
    <row r="98" spans="1:25">
      <c r="A98" s="5" t="str">
        <f t="shared" si="5"/>
        <v>EvalExPostLifecycleNetkWh</v>
      </c>
      <c r="D98" t="s">
        <v>2528</v>
      </c>
      <c r="X98" t="b">
        <f t="shared" si="3"/>
        <v>1</v>
      </c>
      <c r="Y98" t="b">
        <f t="shared" si="4"/>
        <v>0</v>
      </c>
    </row>
    <row r="99" spans="1:25">
      <c r="A99" s="5" t="str">
        <f t="shared" si="5"/>
        <v>EvalExPostLifecycleNetTherm</v>
      </c>
      <c r="D99" t="s">
        <v>2529</v>
      </c>
      <c r="X99" t="b">
        <f t="shared" si="3"/>
        <v>1</v>
      </c>
      <c r="Y99" t="b">
        <f t="shared" si="4"/>
        <v>0</v>
      </c>
    </row>
    <row r="100" spans="1:25">
      <c r="A100" s="5" t="str">
        <f>IF(ISBLANK(D100),#REF!, D100)</f>
        <v>AppendixOrder</v>
      </c>
      <c r="D100" t="s">
        <v>2530</v>
      </c>
      <c r="X100" t="b">
        <f>IF(NOT(ISBLANK(A100)), LEN(_xlfn.CONCAT(D100:W100))&gt;0, "")</f>
        <v>1</v>
      </c>
      <c r="Y100" t="b">
        <f t="shared" si="4"/>
        <v>0</v>
      </c>
    </row>
    <row r="101" spans="1:25">
      <c r="A101" s="5"/>
      <c r="X101" t="str">
        <f t="shared" si="3"/>
        <v/>
      </c>
    </row>
    <row r="102" spans="1:25">
      <c r="A102" s="5"/>
      <c r="X102" t="str">
        <f t="shared" si="3"/>
        <v/>
      </c>
    </row>
    <row r="103" spans="1:25">
      <c r="A103" s="5"/>
      <c r="X103" t="str">
        <f t="shared" si="3"/>
        <v/>
      </c>
    </row>
    <row r="104" spans="1:25">
      <c r="A104" s="5"/>
      <c r="X104" t="str">
        <f t="shared" si="3"/>
        <v/>
      </c>
    </row>
    <row r="105" spans="1:25">
      <c r="A105" s="5"/>
      <c r="X105" t="str">
        <f t="shared" si="3"/>
        <v/>
      </c>
    </row>
    <row r="106" spans="1:25">
      <c r="A106" s="5"/>
      <c r="X106" t="str">
        <f t="shared" si="3"/>
        <v/>
      </c>
    </row>
    <row r="107" spans="1:25">
      <c r="A107" s="5"/>
      <c r="X107" t="str">
        <f t="shared" si="3"/>
        <v/>
      </c>
    </row>
    <row r="108" spans="1:25">
      <c r="A108" s="5"/>
      <c r="X108" t="str">
        <f t="shared" si="3"/>
        <v/>
      </c>
    </row>
    <row r="109" spans="1:25">
      <c r="A109" s="5"/>
      <c r="X109" t="str">
        <f t="shared" si="3"/>
        <v/>
      </c>
    </row>
    <row r="110" spans="1:25">
      <c r="A110" s="5"/>
      <c r="X110" t="str">
        <f t="shared" si="3"/>
        <v/>
      </c>
    </row>
    <row r="111" spans="1:25">
      <c r="A111" s="5"/>
      <c r="X111" t="str">
        <f t="shared" si="3"/>
        <v/>
      </c>
    </row>
    <row r="112" spans="1:25">
      <c r="A112" s="5"/>
      <c r="X112" t="str">
        <f t="shared" si="3"/>
        <v/>
      </c>
    </row>
    <row r="113" spans="1:28">
      <c r="A113" s="5"/>
      <c r="X113" t="str">
        <f t="shared" si="3"/>
        <v/>
      </c>
    </row>
    <row r="114" spans="1:28">
      <c r="A114" s="5"/>
      <c r="X114" t="str">
        <f t="shared" si="3"/>
        <v/>
      </c>
    </row>
    <row r="115" spans="1:28">
      <c r="A115" s="5"/>
      <c r="X115" t="str">
        <f t="shared" si="3"/>
        <v/>
      </c>
    </row>
    <row r="116" spans="1:28">
      <c r="A116" s="5"/>
      <c r="T116" s="3"/>
      <c r="X116" t="str">
        <f t="shared" si="3"/>
        <v/>
      </c>
      <c r="AB116" s="3"/>
    </row>
    <row r="117" spans="1:28">
      <c r="A117" s="5"/>
      <c r="T117" s="3"/>
      <c r="X117" t="str">
        <f t="shared" si="3"/>
        <v/>
      </c>
      <c r="AB117" s="3"/>
    </row>
    <row r="118" spans="1:28">
      <c r="A118" s="5"/>
      <c r="T118" s="3"/>
      <c r="X118" t="str">
        <f t="shared" si="3"/>
        <v/>
      </c>
      <c r="AB118" s="3"/>
    </row>
    <row r="119" spans="1:28">
      <c r="A119" s="5"/>
      <c r="X119" t="str">
        <f t="shared" si="3"/>
        <v/>
      </c>
    </row>
    <row r="120" spans="1:28">
      <c r="A120" s="5"/>
      <c r="X120" t="str">
        <f t="shared" si="3"/>
        <v/>
      </c>
    </row>
    <row r="121" spans="1:28">
      <c r="A121" s="5"/>
      <c r="X121" t="str">
        <f t="shared" si="3"/>
        <v/>
      </c>
    </row>
    <row r="122" spans="1:28">
      <c r="A122" s="5"/>
      <c r="X122" t="str">
        <f t="shared" si="3"/>
        <v/>
      </c>
    </row>
    <row r="123" spans="1:28">
      <c r="A123" s="5"/>
      <c r="X123" t="str">
        <f t="shared" si="3"/>
        <v/>
      </c>
    </row>
    <row r="124" spans="1:28">
      <c r="A124" s="5"/>
      <c r="X124" t="str">
        <f t="shared" si="3"/>
        <v/>
      </c>
    </row>
    <row r="125" spans="1:28">
      <c r="A125" s="5"/>
      <c r="X125" t="str">
        <f t="shared" si="3"/>
        <v/>
      </c>
      <c r="AB125" s="4"/>
    </row>
    <row r="126" spans="1:28">
      <c r="A126" s="5"/>
      <c r="X126" t="str">
        <f t="shared" si="3"/>
        <v/>
      </c>
      <c r="AB126" s="4"/>
    </row>
    <row r="127" spans="1:28">
      <c r="A127" s="5"/>
      <c r="X127" t="str">
        <f t="shared" si="3"/>
        <v/>
      </c>
    </row>
    <row r="128" spans="1:28">
      <c r="A128" s="5"/>
      <c r="X128" t="str">
        <f t="shared" si="3"/>
        <v/>
      </c>
      <c r="Z128" s="3"/>
    </row>
    <row r="129" spans="1:24">
      <c r="A129" s="5"/>
      <c r="X129" t="str">
        <f t="shared" si="3"/>
        <v/>
      </c>
    </row>
    <row r="130" spans="1:24">
      <c r="A130" s="5"/>
      <c r="X130" t="str">
        <f t="shared" si="3"/>
        <v/>
      </c>
    </row>
    <row r="131" spans="1:24">
      <c r="A131" s="5"/>
      <c r="X131" t="str">
        <f t="shared" si="3"/>
        <v/>
      </c>
    </row>
    <row r="132" spans="1:24">
      <c r="A132" s="5"/>
      <c r="X132" t="str">
        <f t="shared" si="3"/>
        <v/>
      </c>
    </row>
    <row r="133" spans="1:24">
      <c r="A133" s="5"/>
      <c r="X133" t="str">
        <f t="shared" si="3"/>
        <v/>
      </c>
    </row>
    <row r="134" spans="1:24">
      <c r="A134" s="5"/>
      <c r="X134" t="str">
        <f t="shared" si="3"/>
        <v/>
      </c>
    </row>
    <row r="135" spans="1:24">
      <c r="A135" s="5"/>
      <c r="X135" t="str">
        <f t="shared" si="3"/>
        <v/>
      </c>
    </row>
    <row r="136" spans="1:24">
      <c r="A136" s="5"/>
      <c r="X136" t="str">
        <f t="shared" si="3"/>
        <v/>
      </c>
    </row>
    <row r="137" spans="1:24">
      <c r="A137" s="5"/>
      <c r="X137" t="str">
        <f t="shared" ref="X137:X200" si="6">IF(NOT(ISBLANK(A137)), LEN(_xlfn.CONCAT(C137:W137))&gt;0, "")</f>
        <v/>
      </c>
    </row>
    <row r="138" spans="1:24">
      <c r="A138" s="5"/>
      <c r="X138" t="str">
        <f t="shared" si="6"/>
        <v/>
      </c>
    </row>
    <row r="139" spans="1:24">
      <c r="A139" s="5"/>
      <c r="X139" t="str">
        <f t="shared" si="6"/>
        <v/>
      </c>
    </row>
    <row r="140" spans="1:24">
      <c r="A140" s="5"/>
      <c r="X140" t="str">
        <f t="shared" si="6"/>
        <v/>
      </c>
    </row>
    <row r="141" spans="1:24">
      <c r="A141" s="5"/>
      <c r="X141" t="str">
        <f t="shared" si="6"/>
        <v/>
      </c>
    </row>
    <row r="142" spans="1:24">
      <c r="A142" s="5"/>
      <c r="X142" t="str">
        <f t="shared" si="6"/>
        <v/>
      </c>
    </row>
    <row r="143" spans="1:24">
      <c r="A143" s="5"/>
      <c r="X143" t="str">
        <f t="shared" si="6"/>
        <v/>
      </c>
    </row>
    <row r="144" spans="1:24">
      <c r="A144" s="5"/>
      <c r="X144" t="str">
        <f t="shared" si="6"/>
        <v/>
      </c>
    </row>
    <row r="145" spans="1:24">
      <c r="A145" s="5"/>
      <c r="X145" t="str">
        <f t="shared" si="6"/>
        <v/>
      </c>
    </row>
    <row r="146" spans="1:24">
      <c r="A146" s="5"/>
      <c r="X146" t="str">
        <f t="shared" si="6"/>
        <v/>
      </c>
    </row>
    <row r="147" spans="1:24">
      <c r="A147" s="5"/>
      <c r="X147" t="str">
        <f t="shared" si="6"/>
        <v/>
      </c>
    </row>
    <row r="148" spans="1:24">
      <c r="A148" s="5"/>
      <c r="X148" t="str">
        <f t="shared" si="6"/>
        <v/>
      </c>
    </row>
    <row r="149" spans="1:24">
      <c r="A149" s="5"/>
      <c r="X149" t="str">
        <f t="shared" si="6"/>
        <v/>
      </c>
    </row>
    <row r="150" spans="1:24">
      <c r="A150" s="5"/>
      <c r="X150" t="str">
        <f t="shared" si="6"/>
        <v/>
      </c>
    </row>
    <row r="151" spans="1:24">
      <c r="A151" s="5"/>
      <c r="X151" t="str">
        <f t="shared" si="6"/>
        <v/>
      </c>
    </row>
    <row r="152" spans="1:24">
      <c r="A152" s="5"/>
      <c r="X152" t="str">
        <f t="shared" si="6"/>
        <v/>
      </c>
    </row>
    <row r="153" spans="1:24">
      <c r="A153" s="5"/>
      <c r="X153" t="str">
        <f t="shared" si="6"/>
        <v/>
      </c>
    </row>
    <row r="154" spans="1:24">
      <c r="A154" s="5"/>
      <c r="X154" t="str">
        <f t="shared" si="6"/>
        <v/>
      </c>
    </row>
    <row r="155" spans="1:24">
      <c r="A155" s="5"/>
      <c r="X155" t="str">
        <f t="shared" si="6"/>
        <v/>
      </c>
    </row>
    <row r="156" spans="1:24">
      <c r="A156" s="5"/>
      <c r="X156" t="str">
        <f t="shared" si="6"/>
        <v/>
      </c>
    </row>
    <row r="157" spans="1:24">
      <c r="A157" s="5"/>
      <c r="X157" t="str">
        <f t="shared" si="6"/>
        <v/>
      </c>
    </row>
    <row r="158" spans="1:24">
      <c r="A158" s="5"/>
      <c r="X158" t="str">
        <f t="shared" si="6"/>
        <v/>
      </c>
    </row>
    <row r="159" spans="1:24">
      <c r="A159" s="5"/>
      <c r="X159" t="str">
        <f t="shared" si="6"/>
        <v/>
      </c>
    </row>
    <row r="160" spans="1:24">
      <c r="A160" s="5"/>
      <c r="X160" t="str">
        <f t="shared" si="6"/>
        <v/>
      </c>
    </row>
    <row r="161" spans="1:24">
      <c r="A161" s="5"/>
      <c r="X161" t="str">
        <f t="shared" si="6"/>
        <v/>
      </c>
    </row>
    <row r="162" spans="1:24">
      <c r="A162" s="5"/>
      <c r="X162" t="str">
        <f t="shared" si="6"/>
        <v/>
      </c>
    </row>
    <row r="163" spans="1:24">
      <c r="A163" s="5"/>
      <c r="X163" t="str">
        <f t="shared" si="6"/>
        <v/>
      </c>
    </row>
    <row r="164" spans="1:24">
      <c r="A164" s="5"/>
      <c r="X164" t="str">
        <f t="shared" si="6"/>
        <v/>
      </c>
    </row>
    <row r="165" spans="1:24">
      <c r="A165" s="5"/>
      <c r="X165" t="str">
        <f t="shared" si="6"/>
        <v/>
      </c>
    </row>
    <row r="166" spans="1:24">
      <c r="A166" s="5"/>
      <c r="X166" t="str">
        <f t="shared" si="6"/>
        <v/>
      </c>
    </row>
    <row r="167" spans="1:24">
      <c r="A167" s="5"/>
      <c r="X167" t="str">
        <f t="shared" si="6"/>
        <v/>
      </c>
    </row>
    <row r="168" spans="1:24">
      <c r="A168" s="5"/>
      <c r="X168" t="str">
        <f t="shared" si="6"/>
        <v/>
      </c>
    </row>
    <row r="169" spans="1:24">
      <c r="A169" s="5"/>
      <c r="X169" t="str">
        <f t="shared" si="6"/>
        <v/>
      </c>
    </row>
    <row r="170" spans="1:24">
      <c r="A170" s="5"/>
      <c r="X170" t="str">
        <f t="shared" si="6"/>
        <v/>
      </c>
    </row>
    <row r="171" spans="1:24">
      <c r="A171" s="5"/>
      <c r="X171" t="str">
        <f t="shared" si="6"/>
        <v/>
      </c>
    </row>
    <row r="172" spans="1:24">
      <c r="A172" s="5"/>
      <c r="X172" t="str">
        <f t="shared" si="6"/>
        <v/>
      </c>
    </row>
    <row r="173" spans="1:24">
      <c r="A173" s="5"/>
      <c r="X173" t="str">
        <f t="shared" si="6"/>
        <v/>
      </c>
    </row>
    <row r="174" spans="1:24">
      <c r="A174" s="5"/>
      <c r="X174" t="str">
        <f t="shared" si="6"/>
        <v/>
      </c>
    </row>
    <row r="175" spans="1:24">
      <c r="A175" s="5"/>
      <c r="X175" t="str">
        <f t="shared" si="6"/>
        <v/>
      </c>
    </row>
    <row r="176" spans="1:24">
      <c r="A176" s="5"/>
      <c r="X176" t="str">
        <f t="shared" si="6"/>
        <v/>
      </c>
    </row>
    <row r="177" spans="1:24">
      <c r="A177" s="5"/>
      <c r="X177" t="str">
        <f t="shared" si="6"/>
        <v/>
      </c>
    </row>
    <row r="178" spans="1:24">
      <c r="A178" s="5"/>
      <c r="X178" t="str">
        <f t="shared" si="6"/>
        <v/>
      </c>
    </row>
    <row r="179" spans="1:24">
      <c r="A179" s="5"/>
      <c r="X179" t="str">
        <f t="shared" si="6"/>
        <v/>
      </c>
    </row>
    <row r="180" spans="1:24">
      <c r="A180" s="5"/>
      <c r="X180" t="str">
        <f t="shared" si="6"/>
        <v/>
      </c>
    </row>
    <row r="181" spans="1:24">
      <c r="A181" s="5"/>
      <c r="X181" t="str">
        <f t="shared" si="6"/>
        <v/>
      </c>
    </row>
    <row r="182" spans="1:24">
      <c r="A182" s="5"/>
      <c r="X182" t="str">
        <f t="shared" si="6"/>
        <v/>
      </c>
    </row>
    <row r="183" spans="1:24">
      <c r="A183" s="5"/>
      <c r="X183" t="str">
        <f t="shared" si="6"/>
        <v/>
      </c>
    </row>
    <row r="184" spans="1:24">
      <c r="A184" s="5"/>
      <c r="X184" t="str">
        <f t="shared" si="6"/>
        <v/>
      </c>
    </row>
    <row r="185" spans="1:24">
      <c r="A185" s="5"/>
      <c r="X185" t="str">
        <f t="shared" si="6"/>
        <v/>
      </c>
    </row>
    <row r="186" spans="1:24">
      <c r="A186" s="5"/>
      <c r="X186" t="str">
        <f t="shared" si="6"/>
        <v/>
      </c>
    </row>
    <row r="187" spans="1:24">
      <c r="A187" s="5"/>
      <c r="X187" t="str">
        <f t="shared" si="6"/>
        <v/>
      </c>
    </row>
    <row r="188" spans="1:24">
      <c r="A188" s="5"/>
      <c r="X188" t="str">
        <f t="shared" si="6"/>
        <v/>
      </c>
    </row>
    <row r="189" spans="1:24">
      <c r="A189" s="5"/>
      <c r="X189" t="str">
        <f t="shared" si="6"/>
        <v/>
      </c>
    </row>
    <row r="190" spans="1:24">
      <c r="A190" s="5"/>
      <c r="X190" t="str">
        <f t="shared" si="6"/>
        <v/>
      </c>
    </row>
    <row r="191" spans="1:24">
      <c r="A191" s="5"/>
      <c r="X191" t="str">
        <f t="shared" si="6"/>
        <v/>
      </c>
    </row>
    <row r="192" spans="1:24">
      <c r="A192" s="5"/>
      <c r="X192" t="str">
        <f t="shared" si="6"/>
        <v/>
      </c>
    </row>
    <row r="193" spans="1:24">
      <c r="A193" s="5"/>
      <c r="X193" t="str">
        <f t="shared" si="6"/>
        <v/>
      </c>
    </row>
    <row r="194" spans="1:24">
      <c r="A194" s="5"/>
      <c r="X194" t="str">
        <f t="shared" si="6"/>
        <v/>
      </c>
    </row>
    <row r="195" spans="1:24">
      <c r="A195" s="5"/>
      <c r="X195" t="str">
        <f t="shared" si="6"/>
        <v/>
      </c>
    </row>
    <row r="196" spans="1:24">
      <c r="A196" s="5"/>
      <c r="X196" t="str">
        <f t="shared" si="6"/>
        <v/>
      </c>
    </row>
    <row r="197" spans="1:24">
      <c r="A197" s="5"/>
      <c r="X197" t="str">
        <f t="shared" si="6"/>
        <v/>
      </c>
    </row>
    <row r="198" spans="1:24">
      <c r="A198" s="5"/>
      <c r="X198" t="str">
        <f t="shared" si="6"/>
        <v/>
      </c>
    </row>
    <row r="199" spans="1:24">
      <c r="A199" s="5"/>
      <c r="X199" t="str">
        <f t="shared" si="6"/>
        <v/>
      </c>
    </row>
    <row r="200" spans="1:24">
      <c r="A200" s="5"/>
      <c r="X200" t="str">
        <f t="shared" si="6"/>
        <v/>
      </c>
    </row>
    <row r="201" spans="1:24">
      <c r="A201" s="5"/>
      <c r="X201" t="str">
        <f t="shared" ref="X201:X203" si="7">IF(NOT(ISBLANK(A201)), LEN(_xlfn.CONCAT(C201:W201))&gt;0, "")</f>
        <v/>
      </c>
    </row>
    <row r="202" spans="1:24">
      <c r="A202" s="5"/>
      <c r="X202" t="str">
        <f t="shared" si="7"/>
        <v/>
      </c>
    </row>
    <row r="203" spans="1:24">
      <c r="A203" s="5"/>
      <c r="X203" t="str">
        <f t="shared" si="7"/>
        <v/>
      </c>
    </row>
  </sheetData>
  <autoFilter ref="A1:AC203" xr:uid="{66000173-5E05-41E4-B642-52C15CDAAA70}"/>
  <conditionalFormatting sqref="A1 A104:A1048576">
    <cfRule type="expression" dxfId="8" priority="5">
      <formula>NOT(X1)</formula>
    </cfRule>
  </conditionalFormatting>
  <conditionalFormatting sqref="Y1:Y1048576">
    <cfRule type="cellIs" dxfId="7" priority="4" operator="equal">
      <formula>TRUE</formula>
    </cfRule>
  </conditionalFormatting>
  <conditionalFormatting sqref="A1 A104:A1048576">
    <cfRule type="duplicateValues" dxfId="6" priority="6"/>
  </conditionalFormatting>
  <conditionalFormatting sqref="A1 A104:A1048576">
    <cfRule type="duplicateValues" dxfId="5" priority="7"/>
  </conditionalFormatting>
  <conditionalFormatting sqref="C1:D1">
    <cfRule type="duplicateValues" dxfId="4" priority="8"/>
  </conditionalFormatting>
  <conditionalFormatting sqref="A2:A103">
    <cfRule type="expression" dxfId="3" priority="1">
      <formula>NOT(X2)</formula>
    </cfRule>
  </conditionalFormatting>
  <conditionalFormatting sqref="A2:A103">
    <cfRule type="duplicateValues" dxfId="2" priority="2"/>
  </conditionalFormatting>
  <conditionalFormatting sqref="A2:A103">
    <cfRule type="duplicateValues" dxfId="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exportsheets</vt:lpstr>
      <vt:lpstr>codefiles</vt:lpstr>
      <vt:lpstr>SourceDef</vt:lpstr>
      <vt:lpstr>map_gross</vt:lpstr>
      <vt:lpstr>map_net</vt:lpstr>
      <vt:lpstr>map_clm</vt:lpstr>
      <vt:lpstr>map_smpl</vt:lpstr>
      <vt:lpstr>map_atrbuild</vt:lpstr>
      <vt:lpstr>map_atr</vt:lpstr>
      <vt:lpstr>fieldLists</vt:lpstr>
      <vt:lpstr>dispomap</vt:lpstr>
      <vt:lpstr>RollUp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Hicks</dc:creator>
  <cp:lastModifiedBy>Gina Hicks</cp:lastModifiedBy>
  <cp:lastPrinted>2020-02-28T21:20:38Z</cp:lastPrinted>
  <dcterms:created xsi:type="dcterms:W3CDTF">2019-12-10T19:18:42Z</dcterms:created>
  <dcterms:modified xsi:type="dcterms:W3CDTF">2020-09-15T00:51:39Z</dcterms:modified>
</cp:coreProperties>
</file>