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liminary Power Budget" sheetId="1" r:id="rId3"/>
    <sheet state="visible" name="Preliminary Current Budget" sheetId="2" r:id="rId4"/>
    <sheet state="visible" name="Solar Cells Key Data" sheetId="3" r:id="rId5"/>
    <sheet state="visible" name="Power Generation Calculations" sheetId="4" r:id="rId6"/>
    <sheet state="visible" name="Battery Calculations" sheetId="5" r:id="rId7"/>
    <sheet state="visible" name="Battery Calculation for MCR" sheetId="6" r:id="rId8"/>
    <sheet state="visible" name="Battery Comparison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See  the following document for clarification on how we got this number. 
https://docs.google.com/spreadsheets/d/1Ny43QYDyPxOJqq-oFjiPoxq72bSjkkpu5pUsJoaxn0I/edit#gid=1196936420
</t>
      </text>
    </comment>
    <comment authorId="0" ref="G11">
      <text>
        <t xml:space="preserve">As per Spectrolab 3J Solar cells used on Aleksandr:
https://drive.google.com/file/d/0ByBcmSh0pvagTFYyNXFEWTBFLU0/view?usp=sharing</t>
      </text>
    </comment>
  </commentList>
</comments>
</file>

<file path=xl/sharedStrings.xml><?xml version="1.0" encoding="utf-8"?>
<sst xmlns="http://schemas.openxmlformats.org/spreadsheetml/2006/main" count="479" uniqueCount="232">
  <si>
    <t>Spacecraft Mode</t>
  </si>
  <si>
    <t>Actual value?</t>
  </si>
  <si>
    <t>Notes</t>
  </si>
  <si>
    <t>Sources</t>
  </si>
  <si>
    <t>Safe Mode</t>
  </si>
  <si>
    <t>Nominal</t>
  </si>
  <si>
    <t>Peak</t>
  </si>
  <si>
    <t>Component</t>
  </si>
  <si>
    <t>Duty Cycle %</t>
  </si>
  <si>
    <t>Power (W)/ unit</t>
  </si>
  <si>
    <t># of units</t>
  </si>
  <si>
    <t>Total (W)</t>
  </si>
  <si>
    <t>Power Subsystem</t>
  </si>
  <si>
    <t xml:space="preserve">Battery Heaters </t>
  </si>
  <si>
    <t>No</t>
  </si>
  <si>
    <t>PDS/PSS</t>
  </si>
  <si>
    <t>CAN Bus</t>
  </si>
  <si>
    <t>Total</t>
  </si>
  <si>
    <t xml:space="preserve">                                       </t>
  </si>
  <si>
    <t>TT&amp;C Subsystem</t>
  </si>
  <si>
    <t>Receiver UHF</t>
  </si>
  <si>
    <t>https://www.isispace.nl/product/isis-uhf-downlink-vhf-uplink-full-duplex-transceiver/</t>
  </si>
  <si>
    <t>Transmitter UHF</t>
  </si>
  <si>
    <t>https://www.endurosat.com/modules-datasheets/UHF_type_II_Datasheet_Rev_1.6.pdf</t>
  </si>
  <si>
    <t>Transmitter S-Band</t>
  </si>
  <si>
    <t>https://www.endurosat.com/modules-datasheets/S-Band_Tx_Datasheet_Rev_01.pdf</t>
  </si>
  <si>
    <t>Payload Subsystem</t>
  </si>
  <si>
    <t>Hyperspectral Imager</t>
  </si>
  <si>
    <t>Secondary Payload</t>
  </si>
  <si>
    <t>ADCS Subsystem</t>
  </si>
  <si>
    <t>ADCS Processor</t>
  </si>
  <si>
    <t>Fine Sun Sensor</t>
  </si>
  <si>
    <t>Coarse Sun Sensor</t>
  </si>
  <si>
    <t>Reaction Wheels (x3)</t>
  </si>
  <si>
    <t>Magnetorquers (x3)</t>
  </si>
  <si>
    <t>Reaction Wheel Heaters</t>
  </si>
  <si>
    <t>No survival temperature, only operational, heating for 18.4 minutes</t>
  </si>
  <si>
    <t>CDH Subsystem</t>
  </si>
  <si>
    <t>Onboard Computer</t>
  </si>
  <si>
    <t>Total Power Consumption</t>
  </si>
  <si>
    <t>Pre-Total</t>
  </si>
  <si>
    <t>Margin 20%</t>
  </si>
  <si>
    <t xml:space="preserve"> </t>
  </si>
  <si>
    <t>Actual Value?</t>
  </si>
  <si>
    <t>Voltage (V)</t>
  </si>
  <si>
    <t>Current (A)</t>
  </si>
  <si>
    <t>Total (A)</t>
  </si>
  <si>
    <t>no</t>
  </si>
  <si>
    <t>Assumption based 7.2V with 7.8 ohms</t>
  </si>
  <si>
    <t>EPS</t>
  </si>
  <si>
    <t>assumption from Design and Validation of Modular MPPT Electric Power System for Multi-U CubeSat</t>
  </si>
  <si>
    <t>https://drive.google.com/drive/folders/1tpD1iZdUg5hQfNQ_ENecC0Z_cd0phxwI</t>
  </si>
  <si>
    <t>Transmitter VHF/UHF</t>
  </si>
  <si>
    <t>3.3 or 5</t>
  </si>
  <si>
    <t>Endurosat UHF Transceiver (Type II)</t>
  </si>
  <si>
    <t>Receiver VHF/UHF</t>
  </si>
  <si>
    <t>Transmitter S-BAND</t>
  </si>
  <si>
    <t>CPUT STX // CPUT HTX</t>
  </si>
  <si>
    <t xml:space="preserve">Hyperspectral Imager main (Toth) </t>
  </si>
  <si>
    <t>3.2 to 4.6, in-rush current 1.5A</t>
  </si>
  <si>
    <t>Aurora</t>
  </si>
  <si>
    <t>https://drive.google.com/drive/folders/11FIaLJXEXpF69w6sDlijez3t2HKRRrxx</t>
  </si>
  <si>
    <t xml:space="preserve">Hyperspectral Imager secondary (VTT) </t>
  </si>
  <si>
    <t>assume 3.3</t>
  </si>
  <si>
    <t>Sun Sensor(x6)</t>
  </si>
  <si>
    <t>This is assuming there is 6 sun sensor</t>
  </si>
  <si>
    <t>https://www.cubesatshop.com/product/nss-cubesat-sun-sensor/</t>
  </si>
  <si>
    <t>GPS</t>
  </si>
  <si>
    <t>2.7 to 3.6</t>
  </si>
  <si>
    <t>https://n-avionics.com/subsystems/cubesat-gps-receiver/</t>
  </si>
  <si>
    <t>8,16</t>
  </si>
  <si>
    <t>small size</t>
  </si>
  <si>
    <t>https://www.cubesatshop.com/product/cubewheel-small/</t>
  </si>
  <si>
    <t>https://www.cubesatshop.com/product/nctr-m002-magnetorquer-rod/</t>
  </si>
  <si>
    <t>Based on the beaglebone black</t>
  </si>
  <si>
    <t>https://archlinuxarm.org/platforms/armv7/ti/beaglebone-black</t>
  </si>
  <si>
    <t>Name</t>
  </si>
  <si>
    <t>Area (m^2)</t>
  </si>
  <si>
    <t>Efficiency</t>
  </si>
  <si>
    <t>Mass (kg/m^2)</t>
  </si>
  <si>
    <t>Power per Cell (W)</t>
  </si>
  <si>
    <t>Cells Required</t>
  </si>
  <si>
    <t>TRL [2]</t>
  </si>
  <si>
    <t>Spectrolab UTJ</t>
  </si>
  <si>
    <t>Spectrolab XJT Prime</t>
  </si>
  <si>
    <t>TJ 3G30C</t>
  </si>
  <si>
    <t>CJT30</t>
  </si>
  <si>
    <t>Solar Exposure over one orbit(hr)</t>
  </si>
  <si>
    <t>Avg. Solar Intensity (W/m^2)</t>
  </si>
  <si>
    <t>Option Choosen</t>
  </si>
  <si>
    <t>Nominal Power Consumption (W)</t>
  </si>
  <si>
    <t>m</t>
  </si>
  <si>
    <t>Peak Power Consumption (W)</t>
  </si>
  <si>
    <t>Peak mode battery req while in ecplise (Whr)</t>
  </si>
  <si>
    <t>Nomial mode battery req while in ecplise(Whr)</t>
  </si>
  <si>
    <t>Net Power Required in Nominal mode (W)</t>
  </si>
  <si>
    <t>Net Power Required in Peak Mode (W)</t>
  </si>
  <si>
    <t>Total Power Required in Nominal Mode (W)</t>
  </si>
  <si>
    <t>Total Power Required in Peak Mode (W)</t>
  </si>
  <si>
    <t>Average MPPT Efficency</t>
  </si>
  <si>
    <t>Option</t>
  </si>
  <si>
    <t>Solar Panel Configuration</t>
  </si>
  <si>
    <t>Cell Implemented</t>
  </si>
  <si>
    <t>Number of Photovoltaic Cells per Panel</t>
  </si>
  <si>
    <t>Area of Photovoltaic Cell (m^2)</t>
  </si>
  <si>
    <t>Number of Illuminated Solar Panels</t>
  </si>
  <si>
    <t>Efficiency of Panel</t>
  </si>
  <si>
    <t>Max Intantaneous Power Generated (W)</t>
  </si>
  <si>
    <t>Max Intantenous Power After MPPT Regulation (W)</t>
  </si>
  <si>
    <t>Net Power Generated in Nominal Mode (W)</t>
  </si>
  <si>
    <t>Net Power Generated in Peak Mode (W)</t>
  </si>
  <si>
    <t>Excess Energy in Nomial Mode (Whr)</t>
  </si>
  <si>
    <t>Excess Energy in Peak Mode (Whr)</t>
  </si>
  <si>
    <t xml:space="preserve">Possible Manufacturer </t>
  </si>
  <si>
    <t>Weigth (kg/m^2)</t>
  </si>
  <si>
    <t>Total Mass Cell Arquitecture (g)</t>
  </si>
  <si>
    <t>Cost Per Cell</t>
  </si>
  <si>
    <t>Power Produced per Cell (W)</t>
  </si>
  <si>
    <t>Cells Required to meet Power Requirments</t>
  </si>
  <si>
    <t>(1)CSDC 4</t>
  </si>
  <si>
    <t>(2) Deployables</t>
  </si>
  <si>
    <t>(3)One Deployable Side</t>
  </si>
  <si>
    <t>a</t>
  </si>
  <si>
    <t xml:space="preserve">Non-deployable sides </t>
  </si>
  <si>
    <t>b</t>
  </si>
  <si>
    <t xml:space="preserve">1 deployable side </t>
  </si>
  <si>
    <t>c</t>
  </si>
  <si>
    <t xml:space="preserve">2 deployable sides </t>
  </si>
  <si>
    <t>d</t>
  </si>
  <si>
    <t>5 Panels</t>
  </si>
  <si>
    <t>e</t>
  </si>
  <si>
    <t>6 Panels</t>
  </si>
  <si>
    <t>f</t>
  </si>
  <si>
    <t>g</t>
  </si>
  <si>
    <t>h</t>
  </si>
  <si>
    <t>i</t>
  </si>
  <si>
    <t>5 Pannels</t>
  </si>
  <si>
    <t>j</t>
  </si>
  <si>
    <t>k</t>
  </si>
  <si>
    <t>l</t>
  </si>
  <si>
    <t>1 deployable side</t>
  </si>
  <si>
    <t>n</t>
  </si>
  <si>
    <t>o</t>
  </si>
  <si>
    <t>p</t>
  </si>
  <si>
    <t>q</t>
  </si>
  <si>
    <t>r</t>
  </si>
  <si>
    <t>s</t>
  </si>
  <si>
    <t>t</t>
  </si>
  <si>
    <t>units</t>
  </si>
  <si>
    <t>Selected Battery Option</t>
  </si>
  <si>
    <t xml:space="preserve">Max Power Consumption </t>
  </si>
  <si>
    <t>W</t>
  </si>
  <si>
    <t>http://powerschool.clyde-space.com/secondary_batteries.html</t>
  </si>
  <si>
    <t>Max Current Consumption</t>
  </si>
  <si>
    <t>A</t>
  </si>
  <si>
    <t>Minimum Safe Discharge Level</t>
  </si>
  <si>
    <t>Battery Degradation</t>
  </si>
  <si>
    <t>margin for Converter inefficiency</t>
  </si>
  <si>
    <t>Length of eclipse</t>
  </si>
  <si>
    <t>Watt-Hour required from battery in Eclipse</t>
  </si>
  <si>
    <t>Wh</t>
  </si>
  <si>
    <t>Capacity required from battery in Eclipse</t>
  </si>
  <si>
    <t>mAh</t>
  </si>
  <si>
    <t>one orbit period</t>
  </si>
  <si>
    <t>Watt-Hour required from battery for one orbit</t>
  </si>
  <si>
    <t>Capacity required for one orbit</t>
  </si>
  <si>
    <t>Eclipse Calculation</t>
  </si>
  <si>
    <t>Battery Choices</t>
  </si>
  <si>
    <t>Configuration</t>
  </si>
  <si>
    <t>Nominal Power Capacity (Wh)</t>
  </si>
  <si>
    <t>Nominal Power Capacity with Margin of error (Wh)</t>
  </si>
  <si>
    <t>Battery Depth of discharge</t>
  </si>
  <si>
    <t>Net Power capacity (Wh)</t>
  </si>
  <si>
    <t>Rated capacity per cell (mAh)</t>
  </si>
  <si>
    <t>Rated capacity of pack with margin of error (mAh)</t>
  </si>
  <si>
    <t>Net rated capacity of pack (mAh)</t>
  </si>
  <si>
    <t>Max Discharge Rate per cell (C)</t>
  </si>
  <si>
    <t>Max Discharge current 1C (A)</t>
  </si>
  <si>
    <t>Net Discharge current for 1C (A)</t>
  </si>
  <si>
    <t>Nominal Voltage per cell (V)</t>
  </si>
  <si>
    <t>Nominal Voltage of pack (V)</t>
  </si>
  <si>
    <t>Min Voltage of pack (V)</t>
  </si>
  <si>
    <t>Charging Voltage of pack (V)</t>
  </si>
  <si>
    <t>Max Charge Rate per cell (C)</t>
  </si>
  <si>
    <t>Min. Charging Temp. (°C)</t>
  </si>
  <si>
    <t>Max Charging Temp. (°C)</t>
  </si>
  <si>
    <t>Min. Discharge Temp. (°C)</t>
  </si>
  <si>
    <t>Max Discharge Temp. (°C)</t>
  </si>
  <si>
    <t>Min. Storage Temp. (°C)</t>
  </si>
  <si>
    <t>Max Storage Temp. (°C)</t>
  </si>
  <si>
    <t>Mass (g)</t>
  </si>
  <si>
    <t>Datasheet</t>
  </si>
  <si>
    <t>4x Panasonic NCR18650B</t>
  </si>
  <si>
    <t>1S4P</t>
  </si>
  <si>
    <t>https://www.batteryspace.com/prod-specs/NCR18650B.pdf</t>
  </si>
  <si>
    <t>2S2P</t>
  </si>
  <si>
    <t>4S1P</t>
  </si>
  <si>
    <t>Electrovaya EV44</t>
  </si>
  <si>
    <t>http://electrovaya.com/battery-products/</t>
  </si>
  <si>
    <t>4x Varta EasyPack SLIM</t>
  </si>
  <si>
    <t>https://drive.google.com/open?id=1CTNKKjiCgkHgr_WFn9734mham1nMlIDF</t>
  </si>
  <si>
    <t>One Orbit Battery Powered</t>
  </si>
  <si>
    <t>Rated Capacity per cell (mAh)</t>
  </si>
  <si>
    <t>Config</t>
  </si>
  <si>
    <t>Battery Choice</t>
  </si>
  <si>
    <t>Min. Rated Capacity (mAh)</t>
  </si>
  <si>
    <t>Nominal Capacity (mAh)</t>
  </si>
  <si>
    <t>Min. Capacity (mAh)</t>
  </si>
  <si>
    <t>Typical Capacity (mAh)</t>
  </si>
  <si>
    <t>Nominal Voltage (V)</t>
  </si>
  <si>
    <t>Max Discharge Current (A)</t>
  </si>
  <si>
    <t>Charging</t>
  </si>
  <si>
    <t>Weight (g)</t>
  </si>
  <si>
    <t>Temp. Charging min (°C)</t>
  </si>
  <si>
    <t>Temp. Charging max (°C)</t>
  </si>
  <si>
    <t>Temp. Discharging Min (°C)</t>
  </si>
  <si>
    <t>Temp. Discharging Max (°C)</t>
  </si>
  <si>
    <t>Temp. Storage Min (°C)</t>
  </si>
  <si>
    <t>Temp. Storage Max (°C)</t>
  </si>
  <si>
    <t>Volumetric (Wh/l)</t>
  </si>
  <si>
    <t>Gravimetric (Wh/kg)</t>
  </si>
  <si>
    <t>Source</t>
  </si>
  <si>
    <t>Panasonic NCR18650B</t>
  </si>
  <si>
    <t>NA</t>
  </si>
  <si>
    <t>1625mA, 4.20V</t>
  </si>
  <si>
    <t xml:space="preserve"> https://www.elumeen.com/media/wysiwyg/produits/Elumeen_panasonic_NCR-18650B_en.pdf</t>
  </si>
  <si>
    <t>LG INR18650 MJ1</t>
  </si>
  <si>
    <t>1700mA, 4.20V</t>
  </si>
  <si>
    <t>https://www.batteryspace.com/prod-specs/10388.pdf</t>
  </si>
  <si>
    <t>Samsung  INR18650-30Q</t>
  </si>
  <si>
    <t>1500mA, 4.20V</t>
  </si>
  <si>
    <t>https://www.18650batterystore.com/v/files/samsung_30q_data_sheet.pdf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</si>
</sst>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0.000"/>
    <numFmt numFmtId="166" formatCode="0.0000"/>
    <numFmt numFmtId="167" formatCode="0.0"/>
  </numFmts>
  <fonts count="34">
    <font>
      <sz val="10.0"/>
      <color rgb="FF000000"/>
      <name val="Arial"/>
    </font>
    <font>
      <b/>
      <name val="Roboto"/>
    </font>
    <font/>
    <font>
      <b/>
    </font>
    <font>
      <name val="Roboto"/>
    </font>
    <font>
      <u/>
      <color rgb="FF0000FF"/>
      <name val="Roboto"/>
    </font>
    <font>
      <color rgb="FF000000"/>
      <name val="Roboto"/>
    </font>
    <font>
      <b/>
      <color rgb="FF000000"/>
      <name val="Roboto"/>
    </font>
    <font>
      <u/>
      <color rgb="FF0000FF"/>
      <name val="Roboto"/>
    </font>
    <font>
      <u/>
      <color rgb="FF0000FF"/>
    </font>
    <font>
      <color rgb="FFFF00FF"/>
    </font>
    <font>
      <b/>
      <name val="Arial"/>
    </font>
    <font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b/>
      <i/>
      <sz val="11.0"/>
      <color rgb="FF000000"/>
      <name val="Arial"/>
    </font>
    <font>
      <b/>
      <sz val="11.0"/>
      <color rgb="FF000000"/>
      <name val="Arial"/>
    </font>
    <font>
      <u/>
      <color rgb="FF1155CC"/>
      <name val="Arial"/>
    </font>
    <font>
      <color rgb="FF000000"/>
      <name val="Arial"/>
    </font>
    <font>
      <sz val="11.0"/>
      <color rgb="FF000000"/>
      <name val="Arial"/>
    </font>
    <font>
      <sz val="10.0"/>
      <name val="Arial"/>
    </font>
    <font>
      <u/>
      <color rgb="FF0000FF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/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6" fillId="0" fontId="2" numFmtId="0" xfId="0" applyBorder="1" applyFont="1"/>
    <xf borderId="2" fillId="3" fontId="1" numFmtId="0" xfId="0" applyAlignment="1" applyBorder="1" applyFill="1" applyFont="1">
      <alignment horizontal="center" readingOrder="0"/>
    </xf>
    <xf borderId="2" fillId="4" fontId="1" numFmtId="0" xfId="0" applyAlignment="1" applyBorder="1" applyFill="1" applyFont="1">
      <alignment horizontal="center" readingOrder="0"/>
    </xf>
    <xf borderId="2" fillId="5" fontId="1" numFmtId="0" xfId="0" applyAlignment="1" applyBorder="1" applyFill="1" applyFont="1">
      <alignment horizontal="center" readingOrder="0"/>
    </xf>
    <xf borderId="7" fillId="0" fontId="4" numFmtId="0" xfId="0" applyBorder="1" applyFont="1"/>
    <xf borderId="1" fillId="2" fontId="1" numFmtId="0" xfId="0" applyAlignment="1" applyBorder="1" applyFont="1">
      <alignment horizontal="right" readingOrder="0" vertical="center"/>
    </xf>
    <xf borderId="1" fillId="3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2" fillId="6" fontId="1" numFmtId="0" xfId="0" applyAlignment="1" applyBorder="1" applyFill="1" applyFont="1">
      <alignment horizontal="center" readingOrder="0"/>
    </xf>
    <xf borderId="7" fillId="7" fontId="1" numFmtId="0" xfId="0" applyAlignment="1" applyBorder="1" applyFill="1" applyFont="1">
      <alignment horizontal="right" readingOrder="0" shrinkToFit="0" wrapText="1"/>
    </xf>
    <xf borderId="7" fillId="3" fontId="4" numFmtId="9" xfId="0" applyAlignment="1" applyBorder="1" applyFont="1" applyNumberFormat="1">
      <alignment horizontal="center" readingOrder="0"/>
    </xf>
    <xf borderId="7" fillId="3" fontId="4" numFmtId="4" xfId="0" applyAlignment="1" applyBorder="1" applyFont="1" applyNumberFormat="1">
      <alignment horizontal="center" readingOrder="0"/>
    </xf>
    <xf borderId="7" fillId="3" fontId="4" numFmtId="1" xfId="0" applyAlignment="1" applyBorder="1" applyFont="1" applyNumberFormat="1">
      <alignment horizontal="center" readingOrder="0"/>
    </xf>
    <xf borderId="7" fillId="3" fontId="4" numFmtId="4" xfId="0" applyAlignment="1" applyBorder="1" applyFont="1" applyNumberFormat="1">
      <alignment horizontal="center"/>
    </xf>
    <xf borderId="7" fillId="4" fontId="4" numFmtId="9" xfId="0" applyAlignment="1" applyBorder="1" applyFont="1" applyNumberFormat="1">
      <alignment horizontal="center" readingOrder="0"/>
    </xf>
    <xf borderId="7" fillId="4" fontId="4" numFmtId="4" xfId="0" applyAlignment="1" applyBorder="1" applyFont="1" applyNumberFormat="1">
      <alignment horizontal="center" readingOrder="0"/>
    </xf>
    <xf borderId="7" fillId="4" fontId="4" numFmtId="1" xfId="0" applyAlignment="1" applyBorder="1" applyFont="1" applyNumberFormat="1">
      <alignment horizontal="center" readingOrder="0"/>
    </xf>
    <xf borderId="7" fillId="4" fontId="4" numFmtId="4" xfId="0" applyAlignment="1" applyBorder="1" applyFont="1" applyNumberFormat="1">
      <alignment horizontal="center"/>
    </xf>
    <xf borderId="7" fillId="5" fontId="4" numFmtId="9" xfId="0" applyAlignment="1" applyBorder="1" applyFont="1" applyNumberFormat="1">
      <alignment horizontal="center" readingOrder="0"/>
    </xf>
    <xf borderId="7" fillId="5" fontId="4" numFmtId="4" xfId="0" applyAlignment="1" applyBorder="1" applyFont="1" applyNumberFormat="1">
      <alignment horizontal="center" readingOrder="0"/>
    </xf>
    <xf borderId="7" fillId="5" fontId="4" numFmtId="1" xfId="0" applyAlignment="1" applyBorder="1" applyFont="1" applyNumberFormat="1">
      <alignment horizontal="center" readingOrder="0"/>
    </xf>
    <xf borderId="7" fillId="5" fontId="4" numFmtId="4" xfId="0" applyAlignment="1" applyBorder="1" applyFont="1" applyNumberFormat="1">
      <alignment horizontal="center"/>
    </xf>
    <xf borderId="7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7" fillId="8" fontId="4" numFmtId="0" xfId="0" applyAlignment="1" applyBorder="1" applyFill="1" applyFont="1">
      <alignment horizontal="center" readingOrder="0"/>
    </xf>
    <xf borderId="7" fillId="8" fontId="4" numFmtId="0" xfId="0" applyAlignment="1" applyBorder="1" applyFont="1">
      <alignment horizontal="center"/>
    </xf>
    <xf borderId="7" fillId="8" fontId="6" numFmtId="0" xfId="0" applyAlignment="1" applyBorder="1" applyFont="1">
      <alignment horizontal="center"/>
    </xf>
    <xf borderId="0" fillId="8" fontId="4" numFmtId="0" xfId="0" applyAlignment="1" applyFont="1">
      <alignment horizontal="center"/>
    </xf>
    <xf borderId="7" fillId="7" fontId="7" numFmtId="0" xfId="0" applyAlignment="1" applyBorder="1" applyFont="1">
      <alignment horizontal="right" readingOrder="0" shrinkToFit="0" wrapText="1"/>
    </xf>
    <xf borderId="7" fillId="3" fontId="4" numFmtId="164" xfId="0" applyAlignment="1" applyBorder="1" applyFont="1" applyNumberFormat="1">
      <alignment horizontal="center" readingOrder="0"/>
    </xf>
    <xf borderId="7" fillId="5" fontId="4" numFmtId="164" xfId="0" applyAlignment="1" applyBorder="1" applyFont="1" applyNumberFormat="1">
      <alignment horizontal="center" readingOrder="0"/>
    </xf>
    <xf borderId="7" fillId="9" fontId="6" numFmtId="0" xfId="0" applyAlignment="1" applyBorder="1" applyFill="1" applyFont="1">
      <alignment readingOrder="0"/>
    </xf>
    <xf borderId="7" fillId="0" fontId="8" numFmtId="0" xfId="0" applyAlignment="1" applyBorder="1" applyFont="1">
      <alignment readingOrder="0"/>
    </xf>
    <xf borderId="7" fillId="3" fontId="4" numFmtId="164" xfId="0" applyAlignment="1" applyBorder="1" applyFont="1" applyNumberFormat="1">
      <alignment horizontal="center" readingOrder="0" vertical="center"/>
    </xf>
    <xf borderId="7" fillId="3" fontId="4" numFmtId="4" xfId="0" applyAlignment="1" applyBorder="1" applyFont="1" applyNumberFormat="1">
      <alignment horizontal="center" readingOrder="0" vertical="center"/>
    </xf>
    <xf borderId="7" fillId="3" fontId="4" numFmtId="1" xfId="0" applyAlignment="1" applyBorder="1" applyFont="1" applyNumberFormat="1">
      <alignment horizontal="center" readingOrder="0" vertical="center"/>
    </xf>
    <xf borderId="7" fillId="4" fontId="4" numFmtId="9" xfId="0" applyAlignment="1" applyBorder="1" applyFont="1" applyNumberFormat="1">
      <alignment horizontal="center" readingOrder="0" vertical="center"/>
    </xf>
    <xf borderId="7" fillId="4" fontId="4" numFmtId="4" xfId="0" applyAlignment="1" applyBorder="1" applyFont="1" applyNumberFormat="1">
      <alignment horizontal="center" readingOrder="0" vertical="center"/>
    </xf>
    <xf borderId="7" fillId="4" fontId="4" numFmtId="1" xfId="0" applyAlignment="1" applyBorder="1" applyFont="1" applyNumberFormat="1">
      <alignment horizontal="center" readingOrder="0" vertical="center"/>
    </xf>
    <xf borderId="7" fillId="5" fontId="4" numFmtId="164" xfId="0" applyAlignment="1" applyBorder="1" applyFont="1" applyNumberFormat="1">
      <alignment horizontal="center" readingOrder="0" vertical="center"/>
    </xf>
    <xf borderId="7" fillId="5" fontId="4" numFmtId="4" xfId="0" applyAlignment="1" applyBorder="1" applyFont="1" applyNumberFormat="1">
      <alignment horizontal="center" readingOrder="0" vertical="center"/>
    </xf>
    <xf borderId="7" fillId="5" fontId="4" numFmtId="1" xfId="0" applyAlignment="1" applyBorder="1" applyFont="1" applyNumberFormat="1">
      <alignment horizontal="center" readingOrder="0" vertical="center"/>
    </xf>
    <xf borderId="7" fillId="0" fontId="9" numFmtId="0" xfId="0" applyAlignment="1" applyBorder="1" applyFont="1">
      <alignment readingOrder="0"/>
    </xf>
    <xf borderId="7" fillId="4" fontId="4" numFmtId="164" xfId="0" applyAlignment="1" applyBorder="1" applyFont="1" applyNumberFormat="1">
      <alignment horizontal="center" readingOrder="0"/>
    </xf>
    <xf borderId="7" fillId="8" fontId="4" numFmtId="9" xfId="0" applyAlignment="1" applyBorder="1" applyFont="1" applyNumberFormat="1">
      <alignment horizontal="center" readingOrder="0"/>
    </xf>
    <xf borderId="7" fillId="3" fontId="4" numFmtId="9" xfId="0" applyAlignment="1" applyBorder="1" applyFont="1" applyNumberFormat="1">
      <alignment horizontal="center" readingOrder="0" vertical="center"/>
    </xf>
    <xf borderId="7" fillId="3" fontId="4" numFmtId="0" xfId="0" applyAlignment="1" applyBorder="1" applyFont="1">
      <alignment horizontal="center" readingOrder="0" vertical="center"/>
    </xf>
    <xf borderId="7" fillId="4" fontId="4" numFmtId="10" xfId="0" applyAlignment="1" applyBorder="1" applyFont="1" applyNumberFormat="1">
      <alignment horizontal="center" readingOrder="0" vertical="center"/>
    </xf>
    <xf borderId="7" fillId="5" fontId="4" numFmtId="9" xfId="0" applyAlignment="1" applyBorder="1" applyFont="1" applyNumberFormat="1">
      <alignment horizontal="center" readingOrder="0" vertical="center"/>
    </xf>
    <xf borderId="7" fillId="3" fontId="4" numFmtId="0" xfId="0" applyAlignment="1" applyBorder="1" applyFont="1">
      <alignment horizontal="center" readingOrder="0"/>
    </xf>
    <xf borderId="7" fillId="4" fontId="4" numFmtId="0" xfId="0" applyAlignment="1" applyBorder="1" applyFont="1">
      <alignment horizontal="center" readingOrder="0"/>
    </xf>
    <xf borderId="7" fillId="5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readingOrder="0" shrinkToFit="0" wrapText="0"/>
    </xf>
    <xf borderId="1" fillId="3" fontId="4" numFmtId="9" xfId="0" applyAlignment="1" applyBorder="1" applyFont="1" applyNumberFormat="1">
      <alignment horizontal="center" readingOrder="0"/>
    </xf>
    <xf borderId="1" fillId="3" fontId="4" numFmtId="4" xfId="0" applyAlignment="1" applyBorder="1" applyFont="1" applyNumberFormat="1">
      <alignment horizontal="center" readingOrder="0"/>
    </xf>
    <xf borderId="1" fillId="3" fontId="4" numFmtId="0" xfId="0" applyAlignment="1" applyBorder="1" applyFont="1">
      <alignment horizontal="center" readingOrder="0"/>
    </xf>
    <xf borderId="1" fillId="4" fontId="4" numFmtId="4" xfId="0" applyAlignment="1" applyBorder="1" applyFont="1" applyNumberForma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5" fontId="4" numFmtId="4" xfId="0" applyAlignment="1" applyBorder="1" applyFont="1" applyNumberFormat="1">
      <alignment horizontal="center" readingOrder="0"/>
    </xf>
    <xf borderId="1" fillId="5" fontId="4" numFmtId="0" xfId="0" applyAlignment="1" applyBorder="1" applyFont="1">
      <alignment horizontal="center" readingOrder="0"/>
    </xf>
    <xf borderId="7" fillId="7" fontId="1" numFmtId="0" xfId="0" applyAlignment="1" applyBorder="1" applyFont="1">
      <alignment horizontal="right" readingOrder="0" shrinkToFit="0" vertical="center" wrapText="1"/>
    </xf>
    <xf borderId="1" fillId="3" fontId="4" numFmtId="9" xfId="0" applyAlignment="1" applyBorder="1" applyFont="1" applyNumberFormat="1">
      <alignment horizontal="center" readingOrder="0" vertical="center"/>
    </xf>
    <xf borderId="1" fillId="3" fontId="4" numFmtId="4" xfId="0" applyAlignment="1" applyBorder="1" applyFont="1" applyNumberForma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" fillId="4" fontId="4" numFmtId="4" xfId="0" applyAlignment="1" applyBorder="1" applyFont="1" applyNumberFormat="1">
      <alignment horizontal="center" readingOrder="0" vertical="center"/>
    </xf>
    <xf borderId="1" fillId="4" fontId="4" numFmtId="0" xfId="0" applyAlignment="1" applyBorder="1" applyFont="1">
      <alignment horizontal="center" readingOrder="0" vertical="center"/>
    </xf>
    <xf borderId="1" fillId="5" fontId="4" numFmtId="4" xfId="0" applyAlignment="1" applyBorder="1" applyFont="1" applyNumberForma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2" fillId="6" fontId="7" numFmtId="0" xfId="0" applyAlignment="1" applyBorder="1" applyFont="1">
      <alignment horizontal="center" readingOrder="0"/>
    </xf>
    <xf borderId="2" fillId="3" fontId="4" numFmtId="4" xfId="0" applyAlignment="1" applyBorder="1" applyFont="1" applyNumberFormat="1">
      <alignment horizontal="center"/>
    </xf>
    <xf borderId="2" fillId="4" fontId="4" numFmtId="4" xfId="0" applyAlignment="1" applyBorder="1" applyFont="1" applyNumberFormat="1">
      <alignment horizontal="center"/>
    </xf>
    <xf borderId="2" fillId="5" fontId="4" numFmtId="4" xfId="0" applyAlignment="1" applyBorder="1" applyFont="1" applyNumberFormat="1">
      <alignment horizontal="center"/>
    </xf>
    <xf borderId="0" fillId="0" fontId="10" numFmtId="0" xfId="0" applyAlignment="1" applyFont="1">
      <alignment readingOrder="0"/>
    </xf>
    <xf borderId="0" fillId="0" fontId="10" numFmtId="0" xfId="0" applyFont="1"/>
    <xf borderId="1" fillId="2" fontId="1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vertical="bottom"/>
    </xf>
    <xf borderId="4" fillId="2" fontId="11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8" fillId="3" fontId="1" numFmtId="0" xfId="0" applyAlignment="1" applyBorder="1" applyFont="1">
      <alignment horizontal="center" vertical="bottom"/>
    </xf>
    <xf borderId="8" fillId="0" fontId="2" numFmtId="0" xfId="0" applyBorder="1" applyFont="1"/>
    <xf borderId="9" fillId="0" fontId="2" numFmtId="0" xfId="0" applyBorder="1" applyFont="1"/>
    <xf borderId="8" fillId="4" fontId="1" numFmtId="0" xfId="0" applyAlignment="1" applyBorder="1" applyFont="1">
      <alignment horizontal="center" vertical="bottom"/>
    </xf>
    <xf borderId="8" fillId="5" fontId="1" numFmtId="0" xfId="0" applyAlignment="1" applyBorder="1" applyFont="1">
      <alignment horizontal="center" vertical="bottom"/>
    </xf>
    <xf borderId="9" fillId="0" fontId="12" numFmtId="0" xfId="0" applyAlignment="1" applyBorder="1" applyFont="1">
      <alignment vertical="bottom"/>
    </xf>
    <xf borderId="10" fillId="2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12" fillId="6" fontId="1" numFmtId="0" xfId="0" applyAlignment="1" applyBorder="1" applyFont="1">
      <alignment horizontal="center" vertical="bottom"/>
    </xf>
    <xf borderId="6" fillId="7" fontId="1" numFmtId="0" xfId="0" applyAlignment="1" applyBorder="1" applyFont="1">
      <alignment horizontal="right" vertical="bottom"/>
    </xf>
    <xf borderId="9" fillId="3" fontId="4" numFmtId="9" xfId="0" applyAlignment="1" applyBorder="1" applyFont="1" applyNumberFormat="1">
      <alignment horizontal="center" readingOrder="0" vertical="bottom"/>
    </xf>
    <xf borderId="9" fillId="3" fontId="12" numFmtId="165" xfId="0" applyAlignment="1" applyBorder="1" applyFont="1" applyNumberFormat="1">
      <alignment horizontal="center" readingOrder="0" vertical="bottom"/>
    </xf>
    <xf borderId="9" fillId="3" fontId="4" numFmtId="165" xfId="0" applyAlignment="1" applyBorder="1" applyFont="1" applyNumberFormat="1">
      <alignment horizontal="center" vertical="bottom"/>
    </xf>
    <xf borderId="9" fillId="4" fontId="4" numFmtId="9" xfId="0" applyAlignment="1" applyBorder="1" applyFont="1" applyNumberFormat="1">
      <alignment horizontal="center" readingOrder="0" vertical="bottom"/>
    </xf>
    <xf borderId="9" fillId="4" fontId="12" numFmtId="165" xfId="0" applyAlignment="1" applyBorder="1" applyFont="1" applyNumberFormat="1">
      <alignment horizontal="center" readingOrder="0" vertical="bottom"/>
    </xf>
    <xf borderId="9" fillId="4" fontId="12" numFmtId="165" xfId="0" applyAlignment="1" applyBorder="1" applyFont="1" applyNumberFormat="1">
      <alignment horizontal="center" vertical="bottom"/>
    </xf>
    <xf borderId="9" fillId="5" fontId="4" numFmtId="9" xfId="0" applyAlignment="1" applyBorder="1" applyFont="1" applyNumberFormat="1">
      <alignment horizontal="center" vertical="bottom"/>
    </xf>
    <xf borderId="9" fillId="5" fontId="12" numFmtId="165" xfId="0" applyAlignment="1" applyBorder="1" applyFont="1" applyNumberFormat="1">
      <alignment horizontal="center" readingOrder="0" vertical="bottom"/>
    </xf>
    <xf borderId="9" fillId="5" fontId="12" numFmtId="165" xfId="0" applyAlignment="1" applyBorder="1" applyFont="1" applyNumberFormat="1">
      <alignment horizontal="center" vertical="bottom"/>
    </xf>
    <xf borderId="9" fillId="0" fontId="12" numFmtId="0" xfId="0" applyAlignment="1" applyBorder="1" applyFont="1">
      <alignment horizontal="left" readingOrder="0" vertical="bottom"/>
    </xf>
    <xf borderId="9" fillId="0" fontId="12" numFmtId="0" xfId="0" applyAlignment="1" applyBorder="1" applyFont="1">
      <alignment readingOrder="0" vertical="bottom"/>
    </xf>
    <xf borderId="9" fillId="3" fontId="4" numFmtId="9" xfId="0" applyAlignment="1" applyBorder="1" applyFont="1" applyNumberFormat="1">
      <alignment horizontal="center" vertical="bottom"/>
    </xf>
    <xf borderId="9" fillId="3" fontId="12" numFmtId="165" xfId="0" applyAlignment="1" applyBorder="1" applyFont="1" applyNumberFormat="1">
      <alignment horizontal="center" vertical="bottom"/>
    </xf>
    <xf borderId="9" fillId="4" fontId="4" numFmtId="9" xfId="0" applyAlignment="1" applyBorder="1" applyFont="1" applyNumberFormat="1">
      <alignment horizontal="center" vertical="bottom"/>
    </xf>
    <xf borderId="9" fillId="0" fontId="13" numFmtId="0" xfId="0" applyAlignment="1" applyBorder="1" applyFont="1">
      <alignment readingOrder="0" vertical="bottom"/>
    </xf>
    <xf borderId="13" fillId="8" fontId="4" numFmtId="0" xfId="0" applyAlignment="1" applyBorder="1" applyFont="1">
      <alignment horizontal="center" vertical="bottom"/>
    </xf>
    <xf borderId="9" fillId="8" fontId="12" numFmtId="0" xfId="0" applyAlignment="1" applyBorder="1" applyFont="1">
      <alignment horizontal="center" vertical="bottom"/>
    </xf>
    <xf borderId="6" fillId="7" fontId="7" numFmtId="0" xfId="0" applyAlignment="1" applyBorder="1" applyFont="1">
      <alignment horizontal="right" vertical="bottom"/>
    </xf>
    <xf borderId="9" fillId="3" fontId="4" numFmtId="164" xfId="0" applyAlignment="1" applyBorder="1" applyFont="1" applyNumberFormat="1">
      <alignment horizontal="center" vertical="bottom"/>
    </xf>
    <xf borderId="9" fillId="3" fontId="4" numFmtId="0" xfId="0" applyAlignment="1" applyBorder="1" applyFont="1">
      <alignment horizontal="center" vertical="bottom"/>
    </xf>
    <xf borderId="9" fillId="3" fontId="4" numFmtId="166" xfId="0" applyAlignment="1" applyBorder="1" applyFont="1" applyNumberFormat="1">
      <alignment horizontal="center" vertical="bottom"/>
    </xf>
    <xf borderId="9" fillId="4" fontId="4" numFmtId="164" xfId="0" applyAlignment="1" applyBorder="1" applyFont="1" applyNumberFormat="1">
      <alignment horizontal="center" vertical="bottom"/>
    </xf>
    <xf borderId="9" fillId="4" fontId="4" numFmtId="0" xfId="0" applyAlignment="1" applyBorder="1" applyFont="1">
      <alignment horizontal="center" vertical="bottom"/>
    </xf>
    <xf borderId="9" fillId="5" fontId="4" numFmtId="164" xfId="0" applyAlignment="1" applyBorder="1" applyFont="1" applyNumberFormat="1">
      <alignment horizontal="center" readingOrder="0" vertical="bottom"/>
    </xf>
    <xf borderId="9" fillId="5" fontId="4" numFmtId="0" xfId="0" applyAlignment="1" applyBorder="1" applyFont="1">
      <alignment horizontal="center" vertical="bottom"/>
    </xf>
    <xf borderId="9" fillId="0" fontId="14" numFmtId="0" xfId="0" applyAlignment="1" applyBorder="1" applyFont="1">
      <alignment readingOrder="0" vertical="bottom"/>
    </xf>
    <xf borderId="9" fillId="3" fontId="4" numFmtId="0" xfId="0" applyAlignment="1" applyBorder="1" applyFont="1">
      <alignment horizontal="center" readingOrder="0" vertical="bottom"/>
    </xf>
    <xf borderId="9" fillId="4" fontId="4" numFmtId="0" xfId="0" applyAlignment="1" applyBorder="1" applyFont="1">
      <alignment horizontal="center" readingOrder="0" vertical="bottom"/>
    </xf>
    <xf borderId="9" fillId="5" fontId="4" numFmtId="0" xfId="0" applyAlignment="1" applyBorder="1" applyFont="1">
      <alignment horizontal="center" readingOrder="0" vertical="bottom"/>
    </xf>
    <xf borderId="9" fillId="3" fontId="4" numFmtId="10" xfId="0" applyAlignment="1" applyBorder="1" applyFont="1" applyNumberFormat="1">
      <alignment horizontal="center" vertical="bottom"/>
    </xf>
    <xf borderId="9" fillId="8" fontId="12" numFmtId="9" xfId="0" applyAlignment="1" applyBorder="1" applyFont="1" applyNumberFormat="1">
      <alignment horizontal="center" vertical="bottom"/>
    </xf>
    <xf borderId="9" fillId="4" fontId="12" numFmtId="166" xfId="0" applyAlignment="1" applyBorder="1" applyFont="1" applyNumberFormat="1">
      <alignment horizontal="center" vertical="bottom"/>
    </xf>
    <xf borderId="9" fillId="5" fontId="4" numFmtId="9" xfId="0" applyAlignment="1" applyBorder="1" applyFont="1" applyNumberFormat="1">
      <alignment horizontal="center" readingOrder="0" vertical="bottom"/>
    </xf>
    <xf borderId="9" fillId="5" fontId="12" numFmtId="166" xfId="0" applyAlignment="1" applyBorder="1" applyFont="1" applyNumberFormat="1">
      <alignment horizontal="center" vertical="bottom"/>
    </xf>
    <xf borderId="9" fillId="0" fontId="15" numFmtId="0" xfId="0" applyAlignment="1" applyBorder="1" applyFont="1">
      <alignment vertical="bottom"/>
    </xf>
    <xf borderId="9" fillId="7" fontId="1" numFmtId="0" xfId="0" applyAlignment="1" applyBorder="1" applyFont="1">
      <alignment horizontal="right" vertical="bottom"/>
    </xf>
    <xf borderId="6" fillId="7" fontId="1" numFmtId="0" xfId="0" applyAlignment="1" applyBorder="1" applyFont="1">
      <alignment horizontal="right" readingOrder="0" vertical="bottom"/>
    </xf>
    <xf borderId="9" fillId="4" fontId="12" numFmtId="0" xfId="0" applyAlignment="1" applyBorder="1" applyFont="1">
      <alignment horizontal="center" vertical="bottom"/>
    </xf>
    <xf borderId="9" fillId="5" fontId="12" numFmtId="0" xfId="0" applyAlignment="1" applyBorder="1" applyFont="1">
      <alignment horizontal="center" vertical="bottom"/>
    </xf>
    <xf borderId="9" fillId="0" fontId="12" numFmtId="0" xfId="0" applyAlignment="1" applyBorder="1" applyFont="1">
      <alignment horizontal="left" vertical="bottom"/>
    </xf>
    <xf borderId="9" fillId="4" fontId="4" numFmtId="165" xfId="0" applyAlignment="1" applyBorder="1" applyFont="1" applyNumberFormat="1">
      <alignment horizontal="center" vertical="bottom"/>
    </xf>
    <xf borderId="9" fillId="5" fontId="4" numFmtId="165" xfId="0" applyAlignment="1" applyBorder="1" applyFont="1" applyNumberFormat="1">
      <alignment horizontal="center" vertical="bottom"/>
    </xf>
    <xf borderId="9" fillId="7" fontId="1" numFmtId="0" xfId="0" applyAlignment="1" applyBorder="1" applyFont="1">
      <alignment horizontal="right" readingOrder="0" vertical="bottom"/>
    </xf>
    <xf borderId="12" fillId="6" fontId="7" numFmtId="0" xfId="0" applyAlignment="1" applyBorder="1" applyFont="1">
      <alignment horizontal="center" vertical="bottom"/>
    </xf>
    <xf borderId="9" fillId="3" fontId="4" numFmtId="165" xfId="0" applyAlignment="1" applyBorder="1" applyFont="1" applyNumberFormat="1">
      <alignment horizontal="center" readingOrder="0" vertical="bottom"/>
    </xf>
    <xf borderId="12" fillId="2" fontId="1" numFmtId="0" xfId="0" applyAlignment="1" applyBorder="1" applyFont="1">
      <alignment horizontal="center" vertical="bottom"/>
    </xf>
    <xf borderId="8" fillId="3" fontId="4" numFmtId="165" xfId="0" applyAlignment="1" applyBorder="1" applyFont="1" applyNumberFormat="1">
      <alignment horizontal="center" vertical="bottom"/>
    </xf>
    <xf borderId="8" fillId="4" fontId="4" numFmtId="2" xfId="0" applyAlignment="1" applyBorder="1" applyFont="1" applyNumberFormat="1">
      <alignment horizontal="center" vertical="bottom"/>
    </xf>
    <xf borderId="8" fillId="5" fontId="4" numFmtId="2" xfId="0" applyAlignment="1" applyBorder="1" applyFont="1" applyNumberFormat="1">
      <alignment horizontal="center" vertical="bottom"/>
    </xf>
    <xf borderId="8" fillId="3" fontId="4" numFmtId="165" xfId="0" applyAlignment="1" applyBorder="1" applyFont="1" applyNumberFormat="1">
      <alignment horizontal="center" readingOrder="0" vertical="bottom"/>
    </xf>
    <xf borderId="8" fillId="4" fontId="4" numFmtId="165" xfId="0" applyAlignment="1" applyBorder="1" applyFont="1" applyNumberFormat="1">
      <alignment horizontal="center" readingOrder="0" vertical="bottom"/>
    </xf>
    <xf borderId="8" fillId="5" fontId="4" numFmtId="165" xfId="0" applyAlignment="1" applyBorder="1" applyFont="1" applyNumberFormat="1">
      <alignment horizontal="center" readingOrder="0" vertical="bottom"/>
    </xf>
    <xf borderId="8" fillId="4" fontId="4" numFmtId="2" xfId="0" applyAlignment="1" applyBorder="1" applyFont="1" applyNumberFormat="1">
      <alignment horizontal="center" readingOrder="0" vertical="bottom"/>
    </xf>
    <xf borderId="8" fillId="5" fontId="4" numFmtId="2" xfId="0" applyAlignment="1" applyBorder="1" applyFont="1" applyNumberFormat="1">
      <alignment horizontal="center" readingOrder="0" vertical="bottom"/>
    </xf>
    <xf borderId="7" fillId="2" fontId="16" numFmtId="0" xfId="0" applyAlignment="1" applyBorder="1" applyFont="1">
      <alignment readingOrder="0" shrinkToFit="0" wrapText="1"/>
    </xf>
    <xf borderId="7" fillId="2" fontId="17" numFmtId="0" xfId="0" applyAlignment="1" applyBorder="1" applyFont="1">
      <alignment readingOrder="0" shrinkToFit="0" wrapText="1"/>
    </xf>
    <xf borderId="7" fillId="0" fontId="18" numFmtId="0" xfId="0" applyAlignment="1" applyBorder="1" applyFont="1">
      <alignment readingOrder="0"/>
    </xf>
    <xf borderId="7" fillId="0" fontId="19" numFmtId="0" xfId="0" applyAlignment="1" applyBorder="1" applyFont="1">
      <alignment readingOrder="0"/>
    </xf>
    <xf borderId="7" fillId="0" fontId="19" numFmtId="9" xfId="0" applyAlignment="1" applyBorder="1" applyFont="1" applyNumberFormat="1">
      <alignment readingOrder="0"/>
    </xf>
    <xf borderId="7" fillId="0" fontId="19" numFmtId="165" xfId="0" applyAlignment="1" applyBorder="1" applyFont="1" applyNumberFormat="1">
      <alignment readingOrder="0"/>
    </xf>
    <xf borderId="7" fillId="0" fontId="20" numFmtId="0" xfId="0" applyAlignment="1" applyBorder="1" applyFont="1">
      <alignment readingOrder="0"/>
    </xf>
    <xf borderId="7" fillId="0" fontId="19" numFmtId="10" xfId="0" applyAlignment="1" applyBorder="1" applyFont="1" applyNumberFormat="1">
      <alignment readingOrder="0"/>
    </xf>
    <xf borderId="2" fillId="10" fontId="3" numFmtId="0" xfId="0" applyAlignment="1" applyBorder="1" applyFill="1" applyFont="1">
      <alignment horizontal="center" readingOrder="0" shrinkToFit="0" wrapText="1"/>
    </xf>
    <xf borderId="7" fillId="10" fontId="3" numFmtId="0" xfId="0" applyAlignment="1" applyBorder="1" applyFont="1">
      <alignment horizontal="center" readingOrder="0" shrinkToFit="0" wrapText="1"/>
    </xf>
    <xf borderId="2" fillId="10" fontId="3" numFmtId="0" xfId="0" applyAlignment="1" applyBorder="1" applyFont="1">
      <alignment horizontal="left" readingOrder="0" shrinkToFit="0" wrapText="0"/>
    </xf>
    <xf borderId="7" fillId="0" fontId="2" numFmtId="4" xfId="0" applyAlignment="1" applyBorder="1" applyFont="1" applyNumberFormat="1">
      <alignment horizontal="right" readingOrder="0" shrinkToFit="0" wrapText="1"/>
    </xf>
    <xf borderId="14" fillId="0" fontId="3" numFmtId="0" xfId="0" applyAlignment="1" applyBorder="1" applyFont="1">
      <alignment horizontal="center" readingOrder="0" shrinkToFit="0" wrapText="1"/>
    </xf>
    <xf borderId="0" fillId="0" fontId="3" numFmtId="2" xfId="0" applyAlignment="1" applyFont="1" applyNumberForma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165" xfId="0" applyFont="1" applyNumberFormat="1"/>
    <xf borderId="3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left" readingOrder="0" shrinkToFit="0" wrapText="1"/>
    </xf>
    <xf borderId="7" fillId="0" fontId="2" numFmtId="0" xfId="0" applyAlignment="1" applyBorder="1" applyFont="1">
      <alignment horizontal="center" readingOrder="0" shrinkToFit="0" wrapText="1"/>
    </xf>
    <xf borderId="7" fillId="0" fontId="2" numFmtId="4" xfId="0" applyAlignment="1" applyBorder="1" applyFont="1" applyNumberForma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2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7" fillId="0" fontId="21" numFmtId="2" xfId="0" applyAlignment="1" applyBorder="1" applyFont="1" applyNumberFormat="1">
      <alignment readingOrder="0"/>
    </xf>
    <xf borderId="0" fillId="0" fontId="2" numFmtId="2" xfId="0" applyFont="1" applyNumberFormat="1"/>
    <xf borderId="7" fillId="0" fontId="2" numFmtId="2" xfId="0" applyBorder="1" applyFont="1" applyNumberFormat="1"/>
    <xf borderId="2" fillId="10" fontId="3" numFmtId="0" xfId="0" applyAlignment="1" applyBorder="1" applyFont="1">
      <alignment readingOrder="0" shrinkToFit="0" wrapText="0"/>
    </xf>
    <xf borderId="2" fillId="10" fontId="3" numFmtId="0" xfId="0" applyAlignment="1" applyBorder="1" applyFont="1">
      <alignment readingOrder="0"/>
    </xf>
    <xf borderId="7" fillId="0" fontId="2" numFmtId="4" xfId="0" applyBorder="1" applyFont="1" applyNumberFormat="1"/>
    <xf borderId="7" fillId="0" fontId="2" numFmtId="9" xfId="0" applyAlignment="1" applyBorder="1" applyFont="1" applyNumberFormat="1">
      <alignment readingOrder="0"/>
    </xf>
    <xf borderId="7" fillId="2" fontId="3" numFmtId="0" xfId="0" applyAlignment="1" applyBorder="1" applyFont="1">
      <alignment horizontal="center" readingOrder="0" shrinkToFit="0" vertical="center" wrapText="1"/>
    </xf>
    <xf borderId="7" fillId="2" fontId="3" numFmtId="2" xfId="0" applyAlignment="1" applyBorder="1" applyFont="1" applyNumberForma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wrapText="1"/>
    </xf>
    <xf borderId="7" fillId="2" fontId="3" numFmtId="165" xfId="0" applyAlignment="1" applyBorder="1" applyFont="1" applyNumberForma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quotePrefix="1" borderId="0" fillId="0" fontId="2" numFmtId="0" xfId="0" applyAlignment="1" applyFont="1">
      <alignment horizontal="center" readingOrder="0" shrinkToFit="0" wrapText="1"/>
    </xf>
    <xf borderId="7" fillId="0" fontId="2" numFmtId="0" xfId="0" applyAlignment="1" applyBorder="1" applyFont="1">
      <alignment readingOrder="0" shrinkToFit="0" wrapText="1"/>
    </xf>
    <xf borderId="7" fillId="0" fontId="2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readingOrder="0"/>
    </xf>
    <xf borderId="7" fillId="11" fontId="2" numFmtId="0" xfId="0" applyBorder="1" applyFill="1" applyFont="1"/>
    <xf borderId="7" fillId="11" fontId="2" numFmtId="4" xfId="0" applyBorder="1" applyFont="1" applyNumberFormat="1"/>
    <xf borderId="7" fillId="0" fontId="2" numFmtId="0" xfId="0" applyBorder="1" applyFont="1"/>
    <xf borderId="7" fillId="0" fontId="2" numFmtId="165" xfId="0" applyBorder="1" applyFont="1" applyNumberFormat="1"/>
    <xf borderId="7" fillId="12" fontId="2" numFmtId="4" xfId="0" applyBorder="1" applyFill="1" applyFont="1" applyNumberFormat="1"/>
    <xf borderId="7" fillId="0" fontId="2" numFmtId="0" xfId="0" applyAlignment="1" applyBorder="1" applyFont="1">
      <alignment readingOrder="0"/>
    </xf>
    <xf borderId="7" fillId="9" fontId="23" numFmtId="0" xfId="0" applyAlignment="1" applyBorder="1" applyFont="1">
      <alignment horizontal="left"/>
    </xf>
    <xf borderId="7" fillId="0" fontId="24" numFmtId="0" xfId="0" applyAlignment="1" applyBorder="1" applyFont="1">
      <alignment horizontal="left" shrinkToFit="0" wrapText="1"/>
    </xf>
    <xf borderId="7" fillId="0" fontId="25" numFmtId="0" xfId="0" applyBorder="1" applyFont="1"/>
    <xf borderId="7" fillId="0" fontId="2" numFmtId="10" xfId="0" applyAlignment="1" applyBorder="1" applyFont="1" applyNumberFormat="1">
      <alignment readingOrder="0"/>
    </xf>
    <xf borderId="7" fillId="12" fontId="2" numFmtId="0" xfId="0" applyAlignment="1" applyBorder="1" applyFont="1">
      <alignment readingOrder="0"/>
    </xf>
    <xf borderId="7" fillId="0" fontId="26" numFmtId="0" xfId="0" applyAlignment="1" applyBorder="1" applyFont="1">
      <alignment readingOrder="0"/>
    </xf>
    <xf borderId="7" fillId="9" fontId="19" numFmtId="0" xfId="0" applyAlignment="1" applyBorder="1" applyFont="1">
      <alignment horizontal="right" readingOrder="0"/>
    </xf>
    <xf borderId="7" fillId="11" fontId="2" numFmtId="2" xfId="0" applyBorder="1" applyFont="1" applyNumberFormat="1"/>
    <xf borderId="7" fillId="9" fontId="27" numFmtId="0" xfId="0" applyAlignment="1" applyBorder="1" applyFont="1">
      <alignment horizontal="left" readingOrder="0"/>
    </xf>
    <xf borderId="7" fillId="0" fontId="28" numFmtId="0" xfId="0" applyAlignment="1" applyBorder="1" applyFon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9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2" xfId="0" applyAlignment="1" applyFont="1" applyNumberFormat="1">
      <alignment readingOrder="0" shrinkToFit="0" wrapText="1"/>
    </xf>
    <xf borderId="0" fillId="0" fontId="3" numFmtId="0" xfId="0" applyAlignment="1" applyFont="1">
      <alignment readingOrder="0"/>
    </xf>
    <xf borderId="0" fillId="9" fontId="2" numFmtId="0" xfId="0" applyFont="1"/>
    <xf borderId="0" fillId="9" fontId="2" numFmtId="165" xfId="0" applyFont="1" applyNumberFormat="1"/>
    <xf borderId="0" fillId="0" fontId="2" numFmtId="2" xfId="0" applyAlignment="1" applyFont="1" applyNumberFormat="1">
      <alignment readingOrder="0" shrinkToFit="0" wrapText="1"/>
    </xf>
    <xf borderId="0" fillId="0" fontId="2" numFmtId="2" xfId="0" applyAlignment="1" applyFont="1" applyNumberFormat="1">
      <alignment shrinkToFit="0" wrapText="1"/>
    </xf>
    <xf borderId="2" fillId="13" fontId="6" numFmtId="0" xfId="0" applyBorder="1" applyFill="1" applyFont="1"/>
    <xf borderId="7" fillId="0" fontId="1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wrapText="1"/>
    </xf>
    <xf borderId="0" fillId="0" fontId="2" numFmtId="0" xfId="0" applyFont="1"/>
    <xf borderId="2" fillId="0" fontId="1" numFmtId="0" xfId="0" applyAlignment="1" applyBorder="1" applyFont="1">
      <alignment readingOrder="0"/>
    </xf>
    <xf borderId="7" fillId="0" fontId="4" numFmtId="4" xfId="0" applyBorder="1" applyFont="1" applyNumberFormat="1"/>
    <xf borderId="7" fillId="0" fontId="3" numFmtId="0" xfId="0" applyAlignment="1" applyBorder="1" applyFont="1">
      <alignment horizontal="center" readingOrder="0" shrinkToFit="0" wrapText="1"/>
    </xf>
    <xf borderId="0" fillId="0" fontId="29" numFmtId="0" xfId="0" applyAlignment="1" applyFont="1">
      <alignment readingOrder="0"/>
    </xf>
    <xf borderId="7" fillId="0" fontId="4" numFmtId="2" xfId="0" applyBorder="1" applyFont="1" applyNumberFormat="1"/>
    <xf borderId="7" fillId="0" fontId="4" numFmtId="9" xfId="0" applyAlignment="1" applyBorder="1" applyFont="1" applyNumberFormat="1">
      <alignment readingOrder="0"/>
    </xf>
    <xf borderId="0" fillId="0" fontId="2" numFmtId="4" xfId="0" applyFont="1" applyNumberFormat="1"/>
    <xf borderId="15" fillId="0" fontId="1" numFmtId="0" xfId="0" applyAlignment="1" applyBorder="1" applyFont="1">
      <alignment readingOrder="0"/>
    </xf>
    <xf borderId="16" fillId="0" fontId="2" numFmtId="0" xfId="0" applyBorder="1" applyFont="1"/>
    <xf borderId="17" fillId="0" fontId="4" numFmtId="9" xfId="0" applyAlignment="1" applyBorder="1" applyFont="1" applyNumberFormat="1">
      <alignment readingOrder="0"/>
    </xf>
    <xf borderId="17" fillId="0" fontId="4" numFmtId="0" xfId="0" applyAlignment="1" applyBorder="1" applyFont="1">
      <alignment readingOrder="0"/>
    </xf>
    <xf borderId="12" fillId="13" fontId="1" numFmtId="0" xfId="0" applyAlignment="1" applyBorder="1" applyFont="1">
      <alignment readingOrder="0"/>
    </xf>
    <xf borderId="6" fillId="13" fontId="4" numFmtId="0" xfId="0" applyAlignment="1" applyBorder="1" applyFont="1">
      <alignment readingOrder="0"/>
    </xf>
    <xf borderId="2" fillId="13" fontId="1" numFmtId="0" xfId="0" applyAlignment="1" applyBorder="1" applyFont="1">
      <alignment readingOrder="0"/>
    </xf>
    <xf borderId="7" fillId="13" fontId="4" numFmtId="2" xfId="0" applyAlignment="1" applyBorder="1" applyFont="1" applyNumberFormat="1">
      <alignment readingOrder="0"/>
    </xf>
    <xf borderId="7" fillId="13" fontId="4" numFmtId="0" xfId="0" applyAlignment="1" applyBorder="1" applyFont="1">
      <alignment readingOrder="0"/>
    </xf>
    <xf borderId="15" fillId="13" fontId="1" numFmtId="0" xfId="0" applyAlignment="1" applyBorder="1" applyFont="1">
      <alignment readingOrder="0"/>
    </xf>
    <xf borderId="17" fillId="13" fontId="4" numFmtId="167" xfId="0" applyAlignment="1" applyBorder="1" applyFont="1" applyNumberFormat="1">
      <alignment readingOrder="0"/>
    </xf>
    <xf borderId="17" fillId="13" fontId="4" numFmtId="0" xfId="0" applyAlignment="1" applyBorder="1" applyFont="1">
      <alignment readingOrder="0"/>
    </xf>
    <xf borderId="2" fillId="13" fontId="1" numFmtId="0" xfId="0" applyAlignment="1" applyBorder="1" applyFont="1">
      <alignment readingOrder="0" shrinkToFit="0" wrapText="1"/>
    </xf>
    <xf borderId="7" fillId="13" fontId="4" numFmtId="2" xfId="0" applyAlignment="1" applyBorder="1" applyFont="1" applyNumberFormat="1">
      <alignment readingOrder="0" vertical="center"/>
    </xf>
    <xf borderId="7" fillId="13" fontId="4" numFmtId="0" xfId="0" applyAlignment="1" applyBorder="1" applyFont="1">
      <alignment readingOrder="0" vertical="center"/>
    </xf>
    <xf borderId="7" fillId="13" fontId="4" numFmtId="167" xfId="0" applyAlignment="1" applyBorder="1" applyFont="1" applyNumberFormat="1">
      <alignment readingOrder="0" vertical="center"/>
    </xf>
    <xf borderId="7" fillId="2" fontId="3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right" readingOrder="0"/>
    </xf>
    <xf borderId="7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/>
    </xf>
    <xf borderId="6" fillId="0" fontId="2" numFmtId="10" xfId="0" applyAlignment="1" applyBorder="1" applyFont="1" applyNumberFormat="1">
      <alignment horizontal="center"/>
    </xf>
    <xf borderId="7" fillId="0" fontId="2" numFmtId="2" xfId="0" applyAlignment="1" applyBorder="1" applyFont="1" applyNumberFormat="1">
      <alignment horizontal="center"/>
    </xf>
    <xf borderId="7" fillId="0" fontId="2" numFmtId="167" xfId="0" applyAlignment="1" applyBorder="1" applyFont="1" applyNumberFormat="1">
      <alignment horizontal="center" readingOrder="0"/>
    </xf>
    <xf borderId="7" fillId="0" fontId="2" numFmtId="2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30" numFmtId="0" xfId="0" applyAlignment="1" applyBorder="1" applyFont="1">
      <alignment readingOrder="0"/>
    </xf>
    <xf borderId="18" fillId="0" fontId="2" numFmtId="0" xfId="0" applyAlignment="1" applyBorder="1" applyFont="1">
      <alignment horizontal="right" readingOrder="0"/>
    </xf>
    <xf borderId="18" fillId="0" fontId="2" numFmtId="0" xfId="0" applyAlignment="1" applyBorder="1" applyFont="1">
      <alignment horizontal="center" readingOrder="0"/>
    </xf>
    <xf borderId="18" fillId="0" fontId="2" numFmtId="0" xfId="0" applyAlignment="1" applyBorder="1" applyFont="1">
      <alignment horizontal="center"/>
    </xf>
    <xf borderId="18" fillId="0" fontId="2" numFmtId="4" xfId="0" applyAlignment="1" applyBorder="1" applyFont="1" applyNumberFormat="1">
      <alignment horizontal="center"/>
    </xf>
    <xf borderId="18" fillId="0" fontId="31" numFmtId="0" xfId="0" applyAlignment="1" applyBorder="1" applyFont="1">
      <alignment readingOrder="0"/>
    </xf>
    <xf borderId="6" fillId="0" fontId="2" numFmtId="0" xfId="0" applyAlignment="1" applyBorder="1" applyFont="1">
      <alignment horizontal="right" readingOrder="0"/>
    </xf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/>
    </xf>
    <xf borderId="6" fillId="0" fontId="2" numFmtId="167" xfId="0" applyAlignment="1" applyBorder="1" applyFont="1" applyNumberFormat="1">
      <alignment horizontal="center" readingOrder="0"/>
    </xf>
    <xf borderId="6" fillId="0" fontId="32" numFmtId="0" xfId="0" applyAlignment="1" applyBorder="1" applyFont="1">
      <alignment readingOrder="0"/>
    </xf>
    <xf borderId="7" fillId="2" fontId="11" numFmtId="0" xfId="0" applyAlignment="1" applyBorder="1" applyFont="1">
      <alignment horizontal="center" shrinkToFit="0" vertical="center" wrapText="1"/>
    </xf>
    <xf borderId="4" fillId="2" fontId="11" numFmtId="0" xfId="0" applyAlignment="1" applyBorder="1" applyFont="1">
      <alignment horizontal="center" shrinkToFit="0" vertical="center" wrapText="1"/>
    </xf>
    <xf borderId="4" fillId="2" fontId="11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right" readingOrder="0" shrinkToFit="0" wrapText="1"/>
    </xf>
    <xf borderId="7" fillId="12" fontId="2" numFmtId="0" xfId="0" applyAlignment="1" applyBorder="1" applyFont="1">
      <alignment horizontal="center"/>
    </xf>
    <xf borderId="6" fillId="0" fontId="12" numFmtId="0" xfId="0" applyAlignment="1" applyBorder="1" applyFont="1">
      <alignment horizontal="right" shrinkToFit="0" vertical="center" wrapText="1"/>
    </xf>
    <xf borderId="9" fillId="0" fontId="12" numFmtId="0" xfId="0" applyAlignment="1" applyBorder="1" applyFont="1">
      <alignment horizontal="center" shrinkToFit="0" vertical="center" wrapText="1"/>
    </xf>
    <xf borderId="9" fillId="12" fontId="12" numFmtId="0" xfId="0" applyAlignment="1" applyBorder="1" applyFont="1">
      <alignment horizontal="center" shrinkToFit="0" vertical="center" wrapText="1"/>
    </xf>
    <xf borderId="9" fillId="0" fontId="12" numFmtId="167" xfId="0" applyAlignment="1" applyBorder="1" applyFont="1" applyNumberFormat="1">
      <alignment horizontal="center" shrinkToFit="0" vertical="center" wrapText="1"/>
    </xf>
    <xf borderId="9" fillId="0" fontId="12" numFmtId="2" xfId="0" applyAlignment="1" applyBorder="1" applyFont="1" applyNumberFormat="1">
      <alignment horizontal="center" shrinkToFit="0" vertical="center" wrapText="1"/>
    </xf>
    <xf borderId="7" fillId="0" fontId="12" numFmtId="0" xfId="0" applyAlignment="1" applyBorder="1" applyFont="1">
      <alignment horizontal="right" shrinkToFit="0" vertical="center" wrapText="1"/>
    </xf>
    <xf borderId="7" fillId="0" fontId="12" numFmtId="0" xfId="0" applyAlignment="1" applyBorder="1" applyFont="1">
      <alignment horizontal="center" shrinkToFit="0" vertical="center" wrapText="1"/>
    </xf>
    <xf borderId="7" fillId="12" fontId="12" numFmtId="0" xfId="0" applyAlignment="1" applyBorder="1" applyFont="1">
      <alignment horizontal="center" shrinkToFit="0" vertical="center" wrapText="1"/>
    </xf>
    <xf borderId="7" fillId="11" fontId="1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vertical="center"/>
    </xf>
    <xf borderId="6" fillId="0" fontId="2" numFmtId="10" xfId="0" applyAlignment="1" applyBorder="1" applyFont="1" applyNumberFormat="1">
      <alignment horizontal="center" vertical="center"/>
    </xf>
    <xf borderId="7" fillId="0" fontId="2" numFmtId="2" xfId="0" applyAlignment="1" applyBorder="1" applyFont="1" applyNumberFormat="1">
      <alignment horizontal="center" vertical="center"/>
    </xf>
    <xf borderId="6" fillId="0" fontId="12" numFmtId="0" xfId="0" applyAlignment="1" applyBorder="1" applyFont="1">
      <alignment horizontal="right" shrinkToFit="0" vertical="bottom" wrapText="1"/>
    </xf>
    <xf borderId="9" fillId="0" fontId="12" numFmtId="0" xfId="0" applyAlignment="1" applyBorder="1" applyFont="1">
      <alignment horizontal="center" vertical="center"/>
    </xf>
    <xf borderId="9" fillId="12" fontId="12" numFmtId="0" xfId="0" applyAlignment="1" applyBorder="1" applyFont="1">
      <alignment horizontal="center" vertical="center"/>
    </xf>
    <xf borderId="9" fillId="0" fontId="12" numFmtId="167" xfId="0" applyAlignment="1" applyBorder="1" applyFont="1" applyNumberFormat="1">
      <alignment horizontal="center" vertical="center"/>
    </xf>
    <xf borderId="9" fillId="0" fontId="12" numFmtId="2" xfId="0" applyAlignment="1" applyBorder="1" applyFont="1" applyNumberFormat="1">
      <alignment horizontal="center" vertical="center"/>
    </xf>
    <xf borderId="7" fillId="0" fontId="12" numFmtId="0" xfId="0" applyAlignment="1" applyBorder="1" applyFont="1">
      <alignment horizontal="right" shrinkToFit="0" vertical="bottom" wrapText="1"/>
    </xf>
    <xf borderId="7" fillId="0" fontId="12" numFmtId="0" xfId="0" applyAlignment="1" applyBorder="1" applyFont="1">
      <alignment horizontal="center" vertical="center"/>
    </xf>
    <xf borderId="7" fillId="11" fontId="12" numFmtId="0" xfId="0" applyAlignment="1" applyBorder="1" applyFont="1">
      <alignment horizontal="center" vertical="center"/>
    </xf>
    <xf borderId="7" fillId="13" fontId="4" numFmtId="167" xfId="0" applyAlignment="1" applyBorder="1" applyFont="1" applyNumberFormat="1">
      <alignment readingOrder="0"/>
    </xf>
    <xf borderId="7" fillId="9" fontId="19" numFmtId="0" xfId="0" applyAlignment="1" applyBorder="1" applyFont="1">
      <alignment horizontal="center" readingOrder="0" shrinkToFit="0" vertical="center" wrapText="1"/>
    </xf>
    <xf borderId="7" fillId="0" fontId="33" numFmtId="0" xfId="0" applyAlignment="1" applyBorder="1" applyFont="1">
      <alignment readingOrder="0" vertical="center"/>
    </xf>
    <xf borderId="7" fillId="0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jp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457200</xdr:colOff>
      <xdr:row>11</xdr:row>
      <xdr:rowOff>9525</xdr:rowOff>
    </xdr:from>
    <xdr:ext cx="3171825" cy="4086225"/>
    <xdr:grpSp>
      <xdr:nvGrpSpPr>
        <xdr:cNvPr id="2" name="Shape 2" title="Drawing"/>
        <xdr:cNvGrpSpPr/>
      </xdr:nvGrpSpPr>
      <xdr:grpSpPr>
        <a:xfrm>
          <a:off x="0" y="0"/>
          <a:ext cx="1943100" cy="2505075"/>
          <a:chOff x="0" y="0"/>
          <a:chExt cx="1943100" cy="2505075"/>
        </a:xfrm>
      </xdr:grpSpPr>
      <xdr:pic>
        <xdr:nvPicPr>
          <xdr:cNvPr id="3" name="Shape 3"/>
          <xdr:cNvPicPr preferRelativeResize="0"/>
        </xdr:nvPicPr>
        <xdr:blipFill rotWithShape="1">
          <a:blip r:embed="rId1">
            <a:alphaModFix/>
          </a:blip>
          <a:srcRect b="12687" l="41261" r="35739" t="42810"/>
          <a:stretch/>
        </xdr:blipFill>
        <xdr:spPr>
          <a:xfrm>
            <a:off x="0" y="0"/>
            <a:ext cx="1943100" cy="25050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19</xdr:col>
      <xdr:colOff>876300</xdr:colOff>
      <xdr:row>11</xdr:row>
      <xdr:rowOff>9525</xdr:rowOff>
    </xdr:from>
    <xdr:ext cx="3381375" cy="5629275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66675</xdr:colOff>
      <xdr:row>11</xdr:row>
      <xdr:rowOff>9525</xdr:rowOff>
    </xdr:from>
    <xdr:ext cx="3981450" cy="26574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sispace.nl/product/isis-uhf-downlink-vhf-uplink-full-duplex-transceiver/" TargetMode="External"/><Relationship Id="rId2" Type="http://schemas.openxmlformats.org/officeDocument/2006/relationships/hyperlink" Target="https://www.endurosat.com/modules-datasheets/UHF_type_II_Datasheet_Rev_1.6.pdf" TargetMode="External"/><Relationship Id="rId3" Type="http://schemas.openxmlformats.org/officeDocument/2006/relationships/hyperlink" Target="https://www.endurosat.com/modules-datasheets/S-Band_Tx_Datasheet_Rev_01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tpD1iZdUg5hQfNQ_ENecC0Z_cd0phxwI" TargetMode="External"/><Relationship Id="rId2" Type="http://schemas.openxmlformats.org/officeDocument/2006/relationships/hyperlink" Target="https://drive.google.com/drive/folders/11FIaLJXEXpF69w6sDlijez3t2HKRRrxx" TargetMode="External"/><Relationship Id="rId3" Type="http://schemas.openxmlformats.org/officeDocument/2006/relationships/hyperlink" Target="https://www.cubesatshop.com/product/nss-cubesat-sun-sensor/" TargetMode="External"/><Relationship Id="rId4" Type="http://schemas.openxmlformats.org/officeDocument/2006/relationships/hyperlink" Target="https://n-avionics.com/subsystems/cubesat-gps-receiver/" TargetMode="External"/><Relationship Id="rId5" Type="http://schemas.openxmlformats.org/officeDocument/2006/relationships/hyperlink" Target="https://www.cubesatshop.com/product/cubewheel-small/" TargetMode="External"/><Relationship Id="rId6" Type="http://schemas.openxmlformats.org/officeDocument/2006/relationships/hyperlink" Target="https://www.cubesatshop.com/product/nctr-m002-magnetorquer-rod/" TargetMode="External"/><Relationship Id="rId7" Type="http://schemas.openxmlformats.org/officeDocument/2006/relationships/hyperlink" Target="https://archlinuxarm.org/platforms/armv7/ti/beaglebone-black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ectrolab.com/DataSheets/cells/PV%20UTJ%20Cell%205-20-10.pdf" TargetMode="External"/><Relationship Id="rId2" Type="http://schemas.openxmlformats.org/officeDocument/2006/relationships/hyperlink" Target="https://www.spectrolab.com/photovoltaics/XTJ-Prime_Data_Sheet.pdf" TargetMode="External"/><Relationship Id="rId3" Type="http://schemas.openxmlformats.org/officeDocument/2006/relationships/hyperlink" Target="http://www.azurspace.com/images/0003429-01-01_DB_3G30C-Advanced.pdf" TargetMode="External"/><Relationship Id="rId4" Type="http://schemas.openxmlformats.org/officeDocument/2006/relationships/hyperlink" Target="https://www.cesi.it/services/solar_cells/Documents/CTJ30-2015.pdf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owerschool.clyde-space.com/secondary_batteries.html" TargetMode="External"/><Relationship Id="rId2" Type="http://schemas.openxmlformats.org/officeDocument/2006/relationships/hyperlink" Target="https://www.batteryspace.com/prod-specs/NCR18650B.pdf" TargetMode="External"/><Relationship Id="rId3" Type="http://schemas.openxmlformats.org/officeDocument/2006/relationships/hyperlink" Target="https://www.batteryspace.com/prod-specs/NCR18650B.pdf" TargetMode="External"/><Relationship Id="rId4" Type="http://schemas.openxmlformats.org/officeDocument/2006/relationships/hyperlink" Target="https://www.batteryspace.com/prod-specs/NCR18650B.pdf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://electrovaya.com/battery-products/" TargetMode="External"/><Relationship Id="rId6" Type="http://schemas.openxmlformats.org/officeDocument/2006/relationships/hyperlink" Target="https://drive.google.com/open?id=1CTNKKjiCgkHgr_WFn9734mham1nMlIDF" TargetMode="External"/><Relationship Id="rId7" Type="http://schemas.openxmlformats.org/officeDocument/2006/relationships/hyperlink" Target="https://drive.google.com/open?id=1CTNKKjiCgkHgr_WFn9734mham1nMlIDF" TargetMode="External"/><Relationship Id="rId8" Type="http://schemas.openxmlformats.org/officeDocument/2006/relationships/hyperlink" Target="https://drive.google.com/open?id=1CTNKKjiCgkHgr_WFn9734mham1nMlIDF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lumeen.com/media/wysiwyg/produits/Elumeen_panasonic_NCR-18650B_en.pdf" TargetMode="External"/><Relationship Id="rId2" Type="http://schemas.openxmlformats.org/officeDocument/2006/relationships/hyperlink" Target="https://www.batteryspace.com/prod-specs/10388.pdf" TargetMode="External"/><Relationship Id="rId3" Type="http://schemas.openxmlformats.org/officeDocument/2006/relationships/hyperlink" Target="https://www.18650batterystore.com/v/files/samsung_30q_data_sheet.pdf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11.71"/>
    <col customWidth="1" min="4" max="4" width="10.29"/>
    <col customWidth="1" min="5" max="5" width="10.57"/>
    <col customWidth="1" min="6" max="6" width="11.86"/>
    <col customWidth="1" min="8" max="8" width="10.43"/>
    <col customWidth="1" min="9" max="9" width="11.0"/>
    <col customWidth="1" min="10" max="10" width="12.43"/>
    <col customWidth="1" min="12" max="12" width="10.14"/>
    <col customWidth="1" min="13" max="13" width="10.0"/>
    <col customWidth="1" min="15" max="15" width="58.57"/>
    <col customWidth="1" min="16" max="16" width="94.86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2" t="s">
        <v>1</v>
      </c>
      <c r="O1" s="2" t="s">
        <v>2</v>
      </c>
      <c r="P1" s="2" t="s">
        <v>3</v>
      </c>
      <c r="Q1" s="5"/>
      <c r="R1" s="6"/>
      <c r="S1" s="6"/>
      <c r="T1" s="6"/>
      <c r="U1" s="6"/>
      <c r="V1" s="6"/>
      <c r="W1" s="6"/>
      <c r="X1" s="6"/>
    </row>
    <row r="2">
      <c r="A2" s="7"/>
      <c r="B2" s="8" t="s">
        <v>4</v>
      </c>
      <c r="C2" s="3"/>
      <c r="D2" s="3"/>
      <c r="E2" s="4"/>
      <c r="F2" s="9" t="s">
        <v>5</v>
      </c>
      <c r="G2" s="3"/>
      <c r="H2" s="3"/>
      <c r="I2" s="4"/>
      <c r="J2" s="10" t="s">
        <v>6</v>
      </c>
      <c r="K2" s="3"/>
      <c r="L2" s="3"/>
      <c r="M2" s="4"/>
      <c r="N2" s="11"/>
      <c r="O2" s="11"/>
      <c r="P2" s="11"/>
    </row>
    <row r="3">
      <c r="A3" s="12" t="s">
        <v>7</v>
      </c>
      <c r="B3" s="13" t="s">
        <v>8</v>
      </c>
      <c r="C3" s="13" t="s">
        <v>9</v>
      </c>
      <c r="D3" s="13" t="s">
        <v>10</v>
      </c>
      <c r="E3" s="13" t="s">
        <v>11</v>
      </c>
      <c r="F3" s="14" t="s">
        <v>8</v>
      </c>
      <c r="G3" s="14" t="s">
        <v>9</v>
      </c>
      <c r="H3" s="14" t="s">
        <v>10</v>
      </c>
      <c r="I3" s="14" t="s">
        <v>11</v>
      </c>
      <c r="J3" s="15" t="s">
        <v>8</v>
      </c>
      <c r="K3" s="15" t="s">
        <v>9</v>
      </c>
      <c r="L3" s="15" t="s">
        <v>10</v>
      </c>
      <c r="M3" s="15" t="s">
        <v>11</v>
      </c>
      <c r="N3" s="11"/>
      <c r="O3" s="11"/>
      <c r="P3" s="11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1"/>
      <c r="O4" s="11"/>
      <c r="P4" s="11"/>
    </row>
    <row r="5">
      <c r="A5" s="16" t="s">
        <v>12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11"/>
      <c r="O5" s="11"/>
      <c r="P5" s="11"/>
    </row>
    <row r="6">
      <c r="A6" s="17" t="s">
        <v>13</v>
      </c>
      <c r="B6" s="18">
        <v>0.1</v>
      </c>
      <c r="C6" s="19">
        <v>0.75</v>
      </c>
      <c r="D6" s="20">
        <v>4.0</v>
      </c>
      <c r="E6" s="21">
        <f t="shared" ref="E6:E8" si="1">B6*C6*D6</f>
        <v>0.3</v>
      </c>
      <c r="F6" s="22">
        <v>0.1</v>
      </c>
      <c r="G6" s="23">
        <v>0.75</v>
      </c>
      <c r="H6" s="24">
        <v>4.0</v>
      </c>
      <c r="I6" s="25">
        <f t="shared" ref="I6:I8" si="2">F6*G6*H6</f>
        <v>0.3</v>
      </c>
      <c r="J6" s="26">
        <v>0.2</v>
      </c>
      <c r="K6" s="27">
        <v>0.75</v>
      </c>
      <c r="L6" s="28">
        <v>4.0</v>
      </c>
      <c r="M6" s="29">
        <f t="shared" ref="M6:M8" si="3">J6*K6*L6</f>
        <v>0.6</v>
      </c>
      <c r="N6" s="30" t="s">
        <v>14</v>
      </c>
      <c r="O6" s="31"/>
      <c r="P6" s="32" t="str">
        <f>HYPERLINK("https://docs.google.com/spreadsheets/d/1g3_qIlOb2NTI2TPpRg63vLgy35HYpnjuWrdX7SHJjlA/edit#gid=1376461191","Alexsandr")</f>
        <v>Alexsandr</v>
      </c>
    </row>
    <row r="7">
      <c r="A7" s="17" t="s">
        <v>15</v>
      </c>
      <c r="B7" s="18">
        <v>1.0</v>
      </c>
      <c r="C7" s="19">
        <v>0.5</v>
      </c>
      <c r="D7" s="20">
        <v>1.0</v>
      </c>
      <c r="E7" s="21">
        <f t="shared" si="1"/>
        <v>0.5</v>
      </c>
      <c r="F7" s="22">
        <v>1.0</v>
      </c>
      <c r="G7" s="23">
        <v>0.5</v>
      </c>
      <c r="H7" s="24">
        <v>1.0</v>
      </c>
      <c r="I7" s="25">
        <f t="shared" si="2"/>
        <v>0.5</v>
      </c>
      <c r="J7" s="26">
        <v>1.0</v>
      </c>
      <c r="K7" s="27">
        <v>0.5</v>
      </c>
      <c r="L7" s="28">
        <v>1.0</v>
      </c>
      <c r="M7" s="29">
        <f t="shared" si="3"/>
        <v>0.5</v>
      </c>
      <c r="N7" s="30" t="s">
        <v>14</v>
      </c>
      <c r="O7" s="11"/>
      <c r="P7" s="11"/>
    </row>
    <row r="8">
      <c r="A8" s="17" t="s">
        <v>16</v>
      </c>
      <c r="B8" s="18">
        <v>1.0</v>
      </c>
      <c r="C8" s="19">
        <f>3.3*0.021
</f>
        <v>0.0693</v>
      </c>
      <c r="D8" s="20">
        <v>1.0</v>
      </c>
      <c r="E8" s="21">
        <f t="shared" si="1"/>
        <v>0.0693</v>
      </c>
      <c r="F8" s="22">
        <v>1.0</v>
      </c>
      <c r="G8" s="23">
        <f>3.3*0.021
</f>
        <v>0.0693</v>
      </c>
      <c r="H8" s="24">
        <v>1.0</v>
      </c>
      <c r="I8" s="25">
        <f t="shared" si="2"/>
        <v>0.0693</v>
      </c>
      <c r="J8" s="26">
        <v>1.0</v>
      </c>
      <c r="K8" s="27">
        <f>3.3*0.021
</f>
        <v>0.0693</v>
      </c>
      <c r="L8" s="28">
        <v>1.0</v>
      </c>
      <c r="M8" s="29">
        <f t="shared" si="3"/>
        <v>0.0693</v>
      </c>
      <c r="N8" s="30" t="s">
        <v>14</v>
      </c>
      <c r="O8" s="11"/>
      <c r="P8" s="11"/>
    </row>
    <row r="9">
      <c r="A9" s="17" t="s">
        <v>17</v>
      </c>
      <c r="B9" s="33" t="s">
        <v>18</v>
      </c>
      <c r="C9" s="34"/>
      <c r="D9" s="34"/>
      <c r="E9" s="21">
        <f>sum(E6:E8)</f>
        <v>0.8693</v>
      </c>
      <c r="F9" s="35"/>
      <c r="G9" s="35"/>
      <c r="H9" s="34"/>
      <c r="I9" s="25">
        <f>sum(I6:I8)</f>
        <v>0.8693</v>
      </c>
      <c r="J9" s="36"/>
      <c r="K9" s="34"/>
      <c r="L9" s="34"/>
      <c r="M9" s="29">
        <f>sum(M6:M8)</f>
        <v>1.1693</v>
      </c>
      <c r="N9" s="30" t="s">
        <v>14</v>
      </c>
      <c r="O9" s="11"/>
      <c r="P9" s="11"/>
    </row>
    <row r="10">
      <c r="A10" s="16" t="s">
        <v>19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  <c r="N10" s="11"/>
      <c r="O10" s="11"/>
      <c r="P10" s="11"/>
    </row>
    <row r="11">
      <c r="A11" s="37" t="s">
        <v>20</v>
      </c>
      <c r="B11" s="38">
        <f>(11/90)</f>
        <v>0.1222222222</v>
      </c>
      <c r="C11" s="19">
        <v>0.48</v>
      </c>
      <c r="D11" s="20">
        <v>1.0</v>
      </c>
      <c r="E11" s="21">
        <f t="shared" ref="E11:E14" si="4">B11*C11*D11</f>
        <v>0.05866666667</v>
      </c>
      <c r="F11" s="22">
        <v>0.22</v>
      </c>
      <c r="G11" s="23">
        <v>0.48</v>
      </c>
      <c r="H11" s="24">
        <v>1.0</v>
      </c>
      <c r="I11" s="25">
        <f t="shared" ref="I11:I14" si="5">F11*G11*H11</f>
        <v>0.1056</v>
      </c>
      <c r="J11" s="39">
        <v>1.0</v>
      </c>
      <c r="K11" s="27">
        <v>0.48</v>
      </c>
      <c r="L11" s="28">
        <v>1.0</v>
      </c>
      <c r="M11" s="29">
        <f t="shared" ref="M11:M14" si="6">J11*K11*L11</f>
        <v>0.48</v>
      </c>
      <c r="N11" s="30" t="s">
        <v>14</v>
      </c>
      <c r="O11" s="40"/>
      <c r="P11" s="41" t="s">
        <v>21</v>
      </c>
    </row>
    <row r="12">
      <c r="A12" s="17" t="s">
        <v>22</v>
      </c>
      <c r="B12" s="42">
        <v>0.122</v>
      </c>
      <c r="C12" s="43">
        <v>1.5</v>
      </c>
      <c r="D12" s="44">
        <v>1.0</v>
      </c>
      <c r="E12" s="21">
        <f t="shared" si="4"/>
        <v>0.183</v>
      </c>
      <c r="F12" s="45">
        <v>0.22</v>
      </c>
      <c r="G12" s="46">
        <v>1.5</v>
      </c>
      <c r="H12" s="47">
        <v>1.0</v>
      </c>
      <c r="I12" s="25">
        <f t="shared" si="5"/>
        <v>0.33</v>
      </c>
      <c r="J12" s="48">
        <v>0.2222</v>
      </c>
      <c r="K12" s="49">
        <v>1.5</v>
      </c>
      <c r="L12" s="50">
        <v>1.0</v>
      </c>
      <c r="M12" s="29">
        <f t="shared" si="6"/>
        <v>0.3333</v>
      </c>
      <c r="N12" s="30" t="s">
        <v>14</v>
      </c>
      <c r="O12" s="40"/>
      <c r="P12" s="51" t="s">
        <v>23</v>
      </c>
    </row>
    <row r="13">
      <c r="A13" s="17" t="s">
        <v>24</v>
      </c>
      <c r="B13" s="18">
        <v>0.0</v>
      </c>
      <c r="C13" s="19">
        <v>7.2</v>
      </c>
      <c r="D13" s="20">
        <v>1.0</v>
      </c>
      <c r="E13" s="21">
        <f t="shared" si="4"/>
        <v>0</v>
      </c>
      <c r="F13" s="52">
        <v>0.22</v>
      </c>
      <c r="G13" s="23">
        <v>7.2</v>
      </c>
      <c r="H13" s="24">
        <v>1.0</v>
      </c>
      <c r="I13" s="25">
        <f t="shared" si="5"/>
        <v>1.584</v>
      </c>
      <c r="J13" s="39">
        <v>0.2222</v>
      </c>
      <c r="K13" s="27">
        <v>7.2</v>
      </c>
      <c r="L13" s="28">
        <v>1.0</v>
      </c>
      <c r="M13" s="29">
        <f t="shared" si="6"/>
        <v>1.59984</v>
      </c>
      <c r="N13" s="30" t="s">
        <v>14</v>
      </c>
      <c r="O13" s="30"/>
      <c r="P13" s="41" t="s">
        <v>25</v>
      </c>
    </row>
    <row r="14">
      <c r="A14" s="17" t="s">
        <v>16</v>
      </c>
      <c r="B14" s="18">
        <v>1.0</v>
      </c>
      <c r="C14" s="19">
        <f>3.3*0.021
</f>
        <v>0.0693</v>
      </c>
      <c r="D14" s="20">
        <v>2.0</v>
      </c>
      <c r="E14" s="21">
        <f t="shared" si="4"/>
        <v>0.1386</v>
      </c>
      <c r="F14" s="22">
        <v>1.0</v>
      </c>
      <c r="G14" s="23">
        <f>3.3*0.021
</f>
        <v>0.0693</v>
      </c>
      <c r="H14" s="24">
        <v>2.0</v>
      </c>
      <c r="I14" s="25">
        <f t="shared" si="5"/>
        <v>0.1386</v>
      </c>
      <c r="J14" s="26">
        <v>1.0</v>
      </c>
      <c r="K14" s="27">
        <f>3.3*0.021
</f>
        <v>0.0693</v>
      </c>
      <c r="L14" s="28">
        <v>2.0</v>
      </c>
      <c r="M14" s="29">
        <f t="shared" si="6"/>
        <v>0.1386</v>
      </c>
      <c r="N14" s="30" t="s">
        <v>14</v>
      </c>
      <c r="O14" s="11"/>
      <c r="P14" s="11"/>
    </row>
    <row r="15">
      <c r="A15" s="37" t="s">
        <v>17</v>
      </c>
      <c r="B15" s="34"/>
      <c r="C15" s="34"/>
      <c r="D15" s="34"/>
      <c r="E15" s="21">
        <f>sum(E11:E14)</f>
        <v>0.3802666667</v>
      </c>
      <c r="F15" s="34"/>
      <c r="G15" s="34"/>
      <c r="H15" s="34"/>
      <c r="I15" s="25">
        <f>sum(I11:I14)</f>
        <v>2.1582</v>
      </c>
      <c r="J15" s="53"/>
      <c r="K15" s="34"/>
      <c r="L15" s="34"/>
      <c r="M15" s="29">
        <f>sum(M11:M14)</f>
        <v>2.55174</v>
      </c>
      <c r="N15" s="11"/>
      <c r="O15" s="11"/>
      <c r="P15" s="11"/>
    </row>
    <row r="16">
      <c r="A16" s="16" t="s">
        <v>26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11"/>
      <c r="O16" s="11"/>
      <c r="P16" s="11"/>
    </row>
    <row r="17">
      <c r="A17" s="17" t="s">
        <v>27</v>
      </c>
      <c r="B17" s="54">
        <v>0.0</v>
      </c>
      <c r="C17" s="43">
        <v>2.0</v>
      </c>
      <c r="D17" s="55">
        <v>1.0</v>
      </c>
      <c r="E17" s="21">
        <f t="shared" ref="E17:E18" si="7">B17*C17*D17</f>
        <v>0</v>
      </c>
      <c r="F17" s="56">
        <v>0.06</v>
      </c>
      <c r="G17" s="46">
        <v>2.0</v>
      </c>
      <c r="H17" s="47">
        <v>1.0</v>
      </c>
      <c r="I17" s="25">
        <f t="shared" ref="I17:I18" si="8">F17*G17*H17</f>
        <v>0.12</v>
      </c>
      <c r="J17" s="57">
        <v>0.111</v>
      </c>
      <c r="K17" s="49">
        <v>2.0</v>
      </c>
      <c r="L17" s="50">
        <v>1.0</v>
      </c>
      <c r="M17" s="29">
        <f t="shared" ref="M17:M18" si="9">J17*K17*L17</f>
        <v>0.222</v>
      </c>
      <c r="N17" s="30" t="s">
        <v>14</v>
      </c>
      <c r="O17" s="11"/>
      <c r="P17" s="30"/>
    </row>
    <row r="18">
      <c r="A18" s="17" t="s">
        <v>28</v>
      </c>
      <c r="B18" s="54">
        <v>0.0</v>
      </c>
      <c r="C18" s="43">
        <v>0.0</v>
      </c>
      <c r="D18" s="55">
        <v>1.0</v>
      </c>
      <c r="E18" s="21">
        <f t="shared" si="7"/>
        <v>0</v>
      </c>
      <c r="F18" s="56">
        <v>0.0</v>
      </c>
      <c r="G18" s="46">
        <v>0.0</v>
      </c>
      <c r="H18" s="47">
        <v>1.0</v>
      </c>
      <c r="I18" s="25">
        <f t="shared" si="8"/>
        <v>0</v>
      </c>
      <c r="J18" s="57">
        <v>0.0</v>
      </c>
      <c r="K18" s="49">
        <v>0.0</v>
      </c>
      <c r="L18" s="50">
        <v>1.0</v>
      </c>
      <c r="M18" s="29">
        <f t="shared" si="9"/>
        <v>0</v>
      </c>
      <c r="N18" s="30" t="s">
        <v>14</v>
      </c>
      <c r="O18" s="11"/>
      <c r="P18" s="11"/>
    </row>
    <row r="19">
      <c r="A19" s="17" t="s">
        <v>17</v>
      </c>
      <c r="B19" s="34"/>
      <c r="C19" s="34"/>
      <c r="D19" s="34"/>
      <c r="E19" s="19">
        <f>SUM(E17:E18)</f>
        <v>0</v>
      </c>
      <c r="F19" s="34"/>
      <c r="G19" s="34"/>
      <c r="H19" s="34"/>
      <c r="I19" s="23">
        <f>SUM(I17:I18)</f>
        <v>0.12</v>
      </c>
      <c r="J19" s="34"/>
      <c r="K19" s="34"/>
      <c r="L19" s="34"/>
      <c r="M19" s="27">
        <f>SUM(M17:M18)</f>
        <v>0.222</v>
      </c>
      <c r="N19" s="11"/>
      <c r="O19" s="11"/>
      <c r="P19" s="11"/>
    </row>
    <row r="20">
      <c r="A20" s="16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  <c r="N20" s="11"/>
      <c r="O20" s="11"/>
      <c r="P20" s="11"/>
    </row>
    <row r="21">
      <c r="A21" s="17" t="s">
        <v>30</v>
      </c>
      <c r="B21" s="18">
        <v>0.0</v>
      </c>
      <c r="C21" s="19">
        <f>0.09*3.3</f>
        <v>0.297</v>
      </c>
      <c r="D21" s="58">
        <v>1.0</v>
      </c>
      <c r="E21" s="21">
        <f t="shared" ref="E21:E27" si="10">B21*C21*D21</f>
        <v>0</v>
      </c>
      <c r="F21" s="22">
        <v>1.0</v>
      </c>
      <c r="G21" s="23">
        <f>0.09*3.3</f>
        <v>0.297</v>
      </c>
      <c r="H21" s="59">
        <v>1.0</v>
      </c>
      <c r="I21" s="25">
        <f t="shared" ref="I21:I27" si="11">F21*G21*H21</f>
        <v>0.297</v>
      </c>
      <c r="J21" s="26">
        <v>1.0</v>
      </c>
      <c r="K21" s="27">
        <f>0.09*3.3</f>
        <v>0.297</v>
      </c>
      <c r="L21" s="60">
        <v>1.0</v>
      </c>
      <c r="M21" s="29">
        <f t="shared" ref="M21:M27" si="12">J21*K21*L21</f>
        <v>0.297</v>
      </c>
      <c r="N21" s="30" t="s">
        <v>14</v>
      </c>
      <c r="O21" s="30"/>
      <c r="P21" s="30"/>
    </row>
    <row r="22">
      <c r="A22" s="17" t="s">
        <v>31</v>
      </c>
      <c r="B22" s="18">
        <v>0.0</v>
      </c>
      <c r="C22" s="19">
        <f>0.004*3.3</f>
        <v>0.0132</v>
      </c>
      <c r="D22" s="58">
        <v>2.0</v>
      </c>
      <c r="E22" s="21">
        <f t="shared" si="10"/>
        <v>0</v>
      </c>
      <c r="F22" s="22">
        <v>1.0</v>
      </c>
      <c r="G22" s="23">
        <f>0.004*3.3</f>
        <v>0.0132</v>
      </c>
      <c r="H22" s="59">
        <v>2.0</v>
      </c>
      <c r="I22" s="25">
        <f t="shared" si="11"/>
        <v>0.0264</v>
      </c>
      <c r="J22" s="26">
        <v>1.0</v>
      </c>
      <c r="K22" s="27">
        <f>0.004*3.3</f>
        <v>0.0132</v>
      </c>
      <c r="L22" s="60">
        <v>2.0</v>
      </c>
      <c r="M22" s="29">
        <f t="shared" si="12"/>
        <v>0.0264</v>
      </c>
      <c r="N22" s="30" t="s">
        <v>14</v>
      </c>
      <c r="O22" s="30"/>
      <c r="P22" s="30"/>
    </row>
    <row r="23">
      <c r="A23" s="17" t="s">
        <v>32</v>
      </c>
      <c r="B23" s="18">
        <v>0.0</v>
      </c>
      <c r="C23" s="19">
        <f>3.3*0.00001+3.3*0.003</f>
        <v>0.009933</v>
      </c>
      <c r="D23" s="58">
        <v>12.0</v>
      </c>
      <c r="E23" s="21">
        <f t="shared" si="10"/>
        <v>0</v>
      </c>
      <c r="F23" s="22">
        <v>1.0</v>
      </c>
      <c r="G23" s="23">
        <f>3.3*0.00001+3.3*0.003</f>
        <v>0.009933</v>
      </c>
      <c r="H23" s="59">
        <v>12.0</v>
      </c>
      <c r="I23" s="25">
        <f t="shared" si="11"/>
        <v>0.119196</v>
      </c>
      <c r="J23" s="26">
        <v>1.0</v>
      </c>
      <c r="K23" s="27">
        <f>3.3*0.00001+3.3*0.003</f>
        <v>0.009933</v>
      </c>
      <c r="L23" s="60">
        <v>12.0</v>
      </c>
      <c r="M23" s="29">
        <f t="shared" si="12"/>
        <v>0.119196</v>
      </c>
      <c r="N23" s="30" t="s">
        <v>14</v>
      </c>
      <c r="O23" s="61"/>
      <c r="P23" s="61"/>
    </row>
    <row r="24">
      <c r="A24" s="17" t="s">
        <v>33</v>
      </c>
      <c r="B24" s="18">
        <v>0.0</v>
      </c>
      <c r="C24" s="19">
        <v>0.15</v>
      </c>
      <c r="D24" s="58">
        <v>3.0</v>
      </c>
      <c r="E24" s="21">
        <f t="shared" si="10"/>
        <v>0</v>
      </c>
      <c r="F24" s="22">
        <v>1.0</v>
      </c>
      <c r="G24" s="23">
        <v>0.1125</v>
      </c>
      <c r="H24" s="59">
        <v>3.0</v>
      </c>
      <c r="I24" s="25">
        <f t="shared" si="11"/>
        <v>0.3375</v>
      </c>
      <c r="J24" s="26">
        <v>1.0</v>
      </c>
      <c r="K24" s="27">
        <v>0.15</v>
      </c>
      <c r="L24" s="60">
        <v>3.0</v>
      </c>
      <c r="M24" s="29">
        <f t="shared" si="12"/>
        <v>0.45</v>
      </c>
      <c r="N24" s="30" t="s">
        <v>14</v>
      </c>
      <c r="O24" s="61"/>
      <c r="P24" s="61"/>
    </row>
    <row r="25">
      <c r="A25" s="17" t="s">
        <v>34</v>
      </c>
      <c r="B25" s="62">
        <v>0.0</v>
      </c>
      <c r="C25" s="63">
        <v>0.2</v>
      </c>
      <c r="D25" s="64">
        <v>3.0</v>
      </c>
      <c r="E25" s="21">
        <f t="shared" si="10"/>
        <v>0</v>
      </c>
      <c r="F25" s="22">
        <v>0.2</v>
      </c>
      <c r="G25" s="65">
        <v>0.2</v>
      </c>
      <c r="H25" s="66">
        <v>3.0</v>
      </c>
      <c r="I25" s="25">
        <f t="shared" si="11"/>
        <v>0.12</v>
      </c>
      <c r="J25" s="26">
        <v>1.0</v>
      </c>
      <c r="K25" s="67">
        <v>0.2</v>
      </c>
      <c r="L25" s="68">
        <v>3.0</v>
      </c>
      <c r="M25" s="29">
        <f t="shared" si="12"/>
        <v>0.6</v>
      </c>
      <c r="N25" s="30" t="s">
        <v>14</v>
      </c>
      <c r="O25" s="30"/>
      <c r="P25" s="30"/>
    </row>
    <row r="26">
      <c r="A26" s="69" t="s">
        <v>35</v>
      </c>
      <c r="B26" s="70">
        <v>0.0</v>
      </c>
      <c r="C26" s="71">
        <v>0.75</v>
      </c>
      <c r="D26" s="72">
        <v>3.0</v>
      </c>
      <c r="E26" s="21">
        <f t="shared" si="10"/>
        <v>0</v>
      </c>
      <c r="F26" s="45">
        <v>0.1</v>
      </c>
      <c r="G26" s="73">
        <v>0.75</v>
      </c>
      <c r="H26" s="74">
        <v>3.0</v>
      </c>
      <c r="I26" s="25">
        <f t="shared" si="11"/>
        <v>0.225</v>
      </c>
      <c r="J26" s="57">
        <v>0.1</v>
      </c>
      <c r="K26" s="75">
        <v>0.75</v>
      </c>
      <c r="L26" s="76">
        <v>3.0</v>
      </c>
      <c r="M26" s="29">
        <f t="shared" si="12"/>
        <v>0.225</v>
      </c>
      <c r="N26" s="30" t="s">
        <v>14</v>
      </c>
      <c r="O26" s="30" t="s">
        <v>36</v>
      </c>
      <c r="P26" s="30"/>
    </row>
    <row r="27">
      <c r="A27" s="17" t="s">
        <v>16</v>
      </c>
      <c r="B27" s="18">
        <v>0.0</v>
      </c>
      <c r="C27" s="19">
        <f>3.3*0.021
</f>
        <v>0.0693</v>
      </c>
      <c r="D27" s="20">
        <v>1.0</v>
      </c>
      <c r="E27" s="21">
        <f t="shared" si="10"/>
        <v>0</v>
      </c>
      <c r="F27" s="22">
        <v>1.0</v>
      </c>
      <c r="G27" s="23">
        <f>3.3*0.021
</f>
        <v>0.0693</v>
      </c>
      <c r="H27" s="24">
        <v>1.0</v>
      </c>
      <c r="I27" s="25">
        <f t="shared" si="11"/>
        <v>0.0693</v>
      </c>
      <c r="J27" s="26">
        <v>1.0</v>
      </c>
      <c r="K27" s="27">
        <f>3.3*0.021
</f>
        <v>0.0693</v>
      </c>
      <c r="L27" s="28">
        <v>1.0</v>
      </c>
      <c r="M27" s="29">
        <f t="shared" si="12"/>
        <v>0.0693</v>
      </c>
      <c r="N27" s="30" t="s">
        <v>14</v>
      </c>
      <c r="O27" s="11"/>
      <c r="P27" s="11"/>
    </row>
    <row r="28">
      <c r="A28" s="17" t="s">
        <v>17</v>
      </c>
      <c r="B28" s="34"/>
      <c r="C28" s="34"/>
      <c r="D28" s="34"/>
      <c r="E28" s="19">
        <f>sum(E21:E27)</f>
        <v>0</v>
      </c>
      <c r="F28" s="34"/>
      <c r="G28" s="34"/>
      <c r="H28" s="34"/>
      <c r="I28" s="23">
        <f>sum(I21:I27)</f>
        <v>1.194396</v>
      </c>
      <c r="J28" s="34"/>
      <c r="K28" s="34"/>
      <c r="L28" s="34"/>
      <c r="M28" s="27">
        <f>sum(M21:M27)</f>
        <v>1.786896</v>
      </c>
      <c r="N28" s="30" t="s">
        <v>14</v>
      </c>
      <c r="O28" s="11"/>
      <c r="P28" s="11"/>
    </row>
    <row r="29">
      <c r="A29" s="77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11"/>
      <c r="O29" s="11"/>
      <c r="P29" s="11"/>
    </row>
    <row r="30">
      <c r="A30" s="17" t="s">
        <v>38</v>
      </c>
      <c r="B30" s="18">
        <v>1.0</v>
      </c>
      <c r="C30" s="19">
        <v>1.0</v>
      </c>
      <c r="D30" s="20">
        <v>1.0</v>
      </c>
      <c r="E30" s="21">
        <f t="shared" ref="E30:E31" si="13">B30*C30*D30</f>
        <v>1</v>
      </c>
      <c r="F30" s="22">
        <v>1.0</v>
      </c>
      <c r="G30" s="23">
        <v>1.0</v>
      </c>
      <c r="H30" s="24">
        <v>1.0</v>
      </c>
      <c r="I30" s="25">
        <f t="shared" ref="I30:I31" si="14">F30*G30*H30</f>
        <v>1</v>
      </c>
      <c r="J30" s="26">
        <v>1.0</v>
      </c>
      <c r="K30" s="27">
        <v>1.0</v>
      </c>
      <c r="L30" s="28">
        <v>1.0</v>
      </c>
      <c r="M30" s="29">
        <f t="shared" ref="M30:M31" si="15">J30*K30*L30</f>
        <v>1</v>
      </c>
      <c r="N30" s="30" t="s">
        <v>14</v>
      </c>
      <c r="O30" s="30"/>
    </row>
    <row r="31">
      <c r="A31" s="17" t="s">
        <v>16</v>
      </c>
      <c r="B31" s="18">
        <v>1.0</v>
      </c>
      <c r="C31" s="19">
        <f>3.3*0.021+3.3/60
</f>
        <v>0.1243</v>
      </c>
      <c r="D31" s="20">
        <v>1.0</v>
      </c>
      <c r="E31" s="21">
        <f t="shared" si="13"/>
        <v>0.1243</v>
      </c>
      <c r="F31" s="22">
        <v>1.0</v>
      </c>
      <c r="G31" s="23">
        <f>3.3*0.021+3.3/60
</f>
        <v>0.1243</v>
      </c>
      <c r="H31" s="24">
        <v>1.0</v>
      </c>
      <c r="I31" s="25">
        <f t="shared" si="14"/>
        <v>0.1243</v>
      </c>
      <c r="J31" s="26">
        <v>1.0</v>
      </c>
      <c r="K31" s="27">
        <f>3.3*0.021+3.3/60
</f>
        <v>0.1243</v>
      </c>
      <c r="L31" s="28">
        <v>1.0</v>
      </c>
      <c r="M31" s="29">
        <f t="shared" si="15"/>
        <v>0.1243</v>
      </c>
      <c r="N31" s="30" t="s">
        <v>14</v>
      </c>
      <c r="O31" s="30"/>
    </row>
    <row r="32">
      <c r="A32" s="17" t="s">
        <v>17</v>
      </c>
      <c r="B32" s="33"/>
      <c r="C32" s="33"/>
      <c r="D32" s="34"/>
      <c r="E32" s="19">
        <f>sum(E30:E31)</f>
        <v>1.1243</v>
      </c>
      <c r="F32" s="53"/>
      <c r="G32" s="33"/>
      <c r="H32" s="34"/>
      <c r="I32" s="25">
        <f>sum(I30:I31)</f>
        <v>1.1243</v>
      </c>
      <c r="J32" s="53"/>
      <c r="K32" s="33"/>
      <c r="L32" s="34"/>
      <c r="M32" s="27">
        <f>sum(M30:M31)</f>
        <v>1.1243</v>
      </c>
      <c r="N32" s="30"/>
      <c r="O32" s="30"/>
      <c r="P32" s="30"/>
    </row>
    <row r="33">
      <c r="A33" s="2" t="s">
        <v>39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  <c r="N33" s="11"/>
      <c r="O33" s="11"/>
      <c r="P33" s="11"/>
    </row>
    <row r="34">
      <c r="A34" s="17" t="s">
        <v>40</v>
      </c>
      <c r="B34" s="78">
        <f>sum(E9,E19,E15,E28,E32)</f>
        <v>2.373866667</v>
      </c>
      <c r="C34" s="3"/>
      <c r="D34" s="3"/>
      <c r="E34" s="4"/>
      <c r="F34" s="79">
        <f>sum(I9,I15,I19,I28,I32)</f>
        <v>5.466196</v>
      </c>
      <c r="G34" s="3"/>
      <c r="H34" s="3"/>
      <c r="I34" s="4"/>
      <c r="J34" s="80">
        <f>sum(M9,M15,M19,M28,M32)</f>
        <v>6.854236</v>
      </c>
      <c r="K34" s="3"/>
      <c r="L34" s="3"/>
      <c r="M34" s="4"/>
      <c r="N34" s="11"/>
      <c r="O34" s="11"/>
      <c r="P34" s="11"/>
    </row>
    <row r="35">
      <c r="A35" s="17" t="s">
        <v>41</v>
      </c>
      <c r="B35" s="78">
        <f>B34*0.2</f>
        <v>0.4747733333</v>
      </c>
      <c r="C35" s="3"/>
      <c r="D35" s="3"/>
      <c r="E35" s="4"/>
      <c r="F35" s="79">
        <f>F34*0.2</f>
        <v>1.0932392</v>
      </c>
      <c r="G35" s="3"/>
      <c r="H35" s="3"/>
      <c r="I35" s="4"/>
      <c r="J35" s="80">
        <f>(J34)*0.2</f>
        <v>1.3708472</v>
      </c>
      <c r="K35" s="3"/>
      <c r="L35" s="3"/>
      <c r="M35" s="4"/>
      <c r="N35" s="11"/>
      <c r="O35" s="11"/>
      <c r="P35" s="11"/>
    </row>
    <row r="36">
      <c r="A36" s="17" t="s">
        <v>17</v>
      </c>
      <c r="B36" s="78">
        <f>B34 + B35</f>
        <v>2.84864</v>
      </c>
      <c r="C36" s="3"/>
      <c r="D36" s="3"/>
      <c r="E36" s="4"/>
      <c r="F36" s="79">
        <f>F34 + F35</f>
        <v>6.5594352</v>
      </c>
      <c r="G36" s="3"/>
      <c r="H36" s="3"/>
      <c r="I36" s="4"/>
      <c r="J36" s="80">
        <f>J34 + J35</f>
        <v>8.2250832</v>
      </c>
      <c r="K36" s="3"/>
      <c r="L36" s="3"/>
      <c r="M36" s="4"/>
      <c r="N36" s="11"/>
      <c r="O36" s="11"/>
      <c r="P36" s="11"/>
    </row>
    <row r="39">
      <c r="A39" s="81" t="s">
        <v>42</v>
      </c>
      <c r="B39" s="81" t="s">
        <v>42</v>
      </c>
      <c r="C39" s="82"/>
      <c r="D39" s="82"/>
      <c r="E39" s="82"/>
      <c r="F39" s="82"/>
      <c r="G39" s="82"/>
    </row>
  </sheetData>
  <mergeCells count="33">
    <mergeCell ref="F36:I36"/>
    <mergeCell ref="J36:M36"/>
    <mergeCell ref="B34:E34"/>
    <mergeCell ref="F34:I34"/>
    <mergeCell ref="J34:M34"/>
    <mergeCell ref="B35:E35"/>
    <mergeCell ref="F35:I35"/>
    <mergeCell ref="J35:M35"/>
    <mergeCell ref="B36:E36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:A2"/>
    <mergeCell ref="B1:M1"/>
    <mergeCell ref="B2:E2"/>
    <mergeCell ref="F2:I2"/>
    <mergeCell ref="J2:M2"/>
    <mergeCell ref="A3:A4"/>
    <mergeCell ref="B3:B4"/>
    <mergeCell ref="M3:M4"/>
    <mergeCell ref="A5:M5"/>
    <mergeCell ref="A10:M10"/>
    <mergeCell ref="A16:M16"/>
    <mergeCell ref="A20:M20"/>
    <mergeCell ref="A29:M29"/>
    <mergeCell ref="A33:M33"/>
  </mergeCells>
  <hyperlinks>
    <hyperlink r:id="rId1" ref="P11"/>
    <hyperlink r:id="rId2" ref="P12"/>
    <hyperlink r:id="rId3" ref="P1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12" max="12" width="28.57"/>
    <col customWidth="1" min="13" max="13" width="85.57"/>
    <col customWidth="1" min="14" max="14" width="68.43"/>
  </cols>
  <sheetData>
    <row r="1">
      <c r="A1" s="83"/>
      <c r="B1" s="84" t="s">
        <v>0</v>
      </c>
      <c r="C1" s="3"/>
      <c r="D1" s="3"/>
      <c r="E1" s="3"/>
      <c r="F1" s="3"/>
      <c r="G1" s="3"/>
      <c r="H1" s="3"/>
      <c r="I1" s="3"/>
      <c r="J1" s="4"/>
      <c r="K1" s="85" t="s">
        <v>43</v>
      </c>
      <c r="L1" s="85" t="s">
        <v>44</v>
      </c>
      <c r="M1" s="85" t="s">
        <v>2</v>
      </c>
      <c r="N1" s="85" t="s">
        <v>3</v>
      </c>
      <c r="O1" s="86"/>
      <c r="P1" s="86"/>
      <c r="Q1" s="86"/>
    </row>
    <row r="2">
      <c r="A2" s="7"/>
      <c r="B2" s="87" t="s">
        <v>4</v>
      </c>
      <c r="C2" s="88"/>
      <c r="D2" s="89"/>
      <c r="E2" s="90" t="s">
        <v>5</v>
      </c>
      <c r="F2" s="88"/>
      <c r="G2" s="89"/>
      <c r="H2" s="91" t="s">
        <v>6</v>
      </c>
      <c r="I2" s="88"/>
      <c r="J2" s="89"/>
      <c r="K2" s="92"/>
      <c r="L2" s="92"/>
      <c r="M2" s="92"/>
      <c r="N2" s="92"/>
      <c r="O2" s="86"/>
      <c r="P2" s="86"/>
      <c r="Q2" s="86"/>
    </row>
    <row r="3">
      <c r="A3" s="93" t="s">
        <v>7</v>
      </c>
      <c r="B3" s="94" t="s">
        <v>8</v>
      </c>
      <c r="C3" s="94" t="s">
        <v>45</v>
      </c>
      <c r="D3" s="94" t="s">
        <v>46</v>
      </c>
      <c r="E3" s="95" t="s">
        <v>8</v>
      </c>
      <c r="F3" s="95" t="s">
        <v>45</v>
      </c>
      <c r="G3" s="95" t="s">
        <v>46</v>
      </c>
      <c r="H3" s="96" t="s">
        <v>8</v>
      </c>
      <c r="I3" s="96" t="s">
        <v>45</v>
      </c>
      <c r="J3" s="96" t="s">
        <v>46</v>
      </c>
      <c r="K3" s="92"/>
      <c r="L3" s="92"/>
      <c r="M3" s="92"/>
      <c r="N3" s="92"/>
      <c r="O3" s="86"/>
      <c r="P3" s="86"/>
      <c r="Q3" s="86"/>
    </row>
    <row r="4">
      <c r="A4" s="7"/>
      <c r="B4" s="89"/>
      <c r="C4" s="89"/>
      <c r="D4" s="89"/>
      <c r="E4" s="89"/>
      <c r="F4" s="89"/>
      <c r="G4" s="89"/>
      <c r="H4" s="89"/>
      <c r="I4" s="89"/>
      <c r="J4" s="89"/>
      <c r="K4" s="92"/>
      <c r="L4" s="92"/>
      <c r="M4" s="92"/>
      <c r="N4" s="92"/>
      <c r="O4" s="86"/>
      <c r="P4" s="86"/>
      <c r="Q4" s="86"/>
    </row>
    <row r="5">
      <c r="A5" s="97" t="s">
        <v>12</v>
      </c>
      <c r="B5" s="88"/>
      <c r="C5" s="88"/>
      <c r="D5" s="88"/>
      <c r="E5" s="88"/>
      <c r="F5" s="88"/>
      <c r="G5" s="88"/>
      <c r="H5" s="88"/>
      <c r="I5" s="88"/>
      <c r="J5" s="89"/>
      <c r="K5" s="92"/>
      <c r="L5" s="92"/>
      <c r="M5" s="92"/>
      <c r="N5" s="92"/>
      <c r="O5" s="86"/>
      <c r="P5" s="86"/>
      <c r="Q5" s="86"/>
    </row>
    <row r="6">
      <c r="A6" s="98" t="s">
        <v>13</v>
      </c>
      <c r="B6" s="99">
        <f>'Preliminary Power Budget'!B6</f>
        <v>0.1</v>
      </c>
      <c r="C6" s="100">
        <f>(7.2/7.8)</f>
        <v>0.9230769231</v>
      </c>
      <c r="D6" s="101">
        <f t="shared" ref="D6:D7" si="1">B6*C6</f>
        <v>0.09230769231</v>
      </c>
      <c r="E6" s="102">
        <f>'Preliminary Power Budget'!F6</f>
        <v>0.1</v>
      </c>
      <c r="F6" s="103">
        <f>C6</f>
        <v>0.9230769231</v>
      </c>
      <c r="G6" s="104">
        <f t="shared" ref="G6:G7" si="2">E6*F6</f>
        <v>0.09230769231</v>
      </c>
      <c r="H6" s="105">
        <f>'Preliminary Power Budget'!J6</f>
        <v>0.2</v>
      </c>
      <c r="I6" s="106">
        <f>C6</f>
        <v>0.9230769231</v>
      </c>
      <c r="J6" s="107">
        <f t="shared" ref="J6:J7" si="3">H6*I6</f>
        <v>0.1846153846</v>
      </c>
      <c r="K6" s="92" t="s">
        <v>47</v>
      </c>
      <c r="L6" s="108">
        <v>7.2</v>
      </c>
      <c r="M6" s="109" t="s">
        <v>48</v>
      </c>
      <c r="N6" s="92"/>
      <c r="O6" s="86"/>
      <c r="P6" s="86"/>
      <c r="Q6" s="86"/>
    </row>
    <row r="7">
      <c r="A7" s="98" t="s">
        <v>49</v>
      </c>
      <c r="B7" s="110">
        <f>'Preliminary Power Budget'!B7</f>
        <v>1</v>
      </c>
      <c r="C7" s="100">
        <v>0.2</v>
      </c>
      <c r="D7" s="111">
        <f t="shared" si="1"/>
        <v>0.2</v>
      </c>
      <c r="E7" s="112">
        <f>'Preliminary Power Budget'!F7</f>
        <v>1</v>
      </c>
      <c r="F7" s="103">
        <v>0.2</v>
      </c>
      <c r="G7" s="104">
        <f t="shared" si="2"/>
        <v>0.2</v>
      </c>
      <c r="H7" s="105">
        <f>'Preliminary Power Budget'!J7</f>
        <v>1</v>
      </c>
      <c r="I7" s="106">
        <v>0.2</v>
      </c>
      <c r="J7" s="107">
        <f t="shared" si="3"/>
        <v>0.2</v>
      </c>
      <c r="K7" s="92" t="s">
        <v>47</v>
      </c>
      <c r="L7" s="92"/>
      <c r="M7" s="109" t="s">
        <v>50</v>
      </c>
      <c r="N7" s="113" t="s">
        <v>51</v>
      </c>
      <c r="O7" s="86"/>
      <c r="P7" s="86"/>
      <c r="Q7" s="86"/>
    </row>
    <row r="8">
      <c r="A8" s="98" t="s">
        <v>17</v>
      </c>
      <c r="B8" s="114" t="s">
        <v>18</v>
      </c>
      <c r="C8" s="115"/>
      <c r="D8" s="111">
        <f>sum(D6:D7)</f>
        <v>0.2923076923</v>
      </c>
      <c r="E8" s="115"/>
      <c r="F8" s="115"/>
      <c r="G8" s="104">
        <f>sum(G6:G7)</f>
        <v>0.2923076923</v>
      </c>
      <c r="H8" s="115"/>
      <c r="I8" s="115"/>
      <c r="J8" s="107">
        <f>sum(J6:J7)</f>
        <v>0.3846153846</v>
      </c>
      <c r="K8" s="92"/>
      <c r="L8" s="92"/>
      <c r="M8" s="92"/>
      <c r="N8" s="92"/>
      <c r="O8" s="86"/>
      <c r="P8" s="86"/>
      <c r="Q8" s="86"/>
    </row>
    <row r="9">
      <c r="A9" s="97" t="s">
        <v>19</v>
      </c>
      <c r="B9" s="88"/>
      <c r="C9" s="88"/>
      <c r="D9" s="88"/>
      <c r="E9" s="88"/>
      <c r="F9" s="88"/>
      <c r="G9" s="88"/>
      <c r="H9" s="88"/>
      <c r="I9" s="88"/>
      <c r="J9" s="89"/>
      <c r="K9" s="92"/>
      <c r="L9" s="92"/>
      <c r="M9" s="92"/>
      <c r="N9" s="92"/>
      <c r="O9" s="86"/>
      <c r="P9" s="86"/>
      <c r="Q9" s="86"/>
    </row>
    <row r="10">
      <c r="A10" s="116" t="s">
        <v>52</v>
      </c>
      <c r="B10" s="117">
        <f>'Preliminary Power Budget'!B11</f>
        <v>0.1222222222</v>
      </c>
      <c r="C10" s="118">
        <v>0.8</v>
      </c>
      <c r="D10" s="119">
        <f t="shared" ref="D10:D12" si="4">B10*C10</f>
        <v>0.09777777778</v>
      </c>
      <c r="E10" s="120">
        <f>'Preliminary Power Budget'!F11</f>
        <v>0.22</v>
      </c>
      <c r="F10" s="121">
        <v>0.8</v>
      </c>
      <c r="G10" s="104">
        <f t="shared" ref="G10:G12" si="5">E10*F10</f>
        <v>0.176</v>
      </c>
      <c r="H10" s="122">
        <f>'Preliminary Power Budget'!J11</f>
        <v>1</v>
      </c>
      <c r="I10" s="123">
        <v>0.8</v>
      </c>
      <c r="J10" s="107">
        <f t="shared" ref="J10:J12" si="6">H10*I10</f>
        <v>0.8</v>
      </c>
      <c r="K10" s="92" t="s">
        <v>47</v>
      </c>
      <c r="L10" s="92" t="s">
        <v>53</v>
      </c>
      <c r="M10" s="40" t="s">
        <v>54</v>
      </c>
      <c r="N10" s="124" t="s">
        <v>42</v>
      </c>
      <c r="O10" s="86"/>
      <c r="P10" s="86"/>
      <c r="Q10" s="86"/>
    </row>
    <row r="11">
      <c r="A11" s="116" t="s">
        <v>55</v>
      </c>
      <c r="B11" s="117">
        <f>'Preliminary Power Budget'!B12</f>
        <v>0.122</v>
      </c>
      <c r="C11" s="125">
        <v>0.03</v>
      </c>
      <c r="D11" s="119">
        <f t="shared" si="4"/>
        <v>0.00366</v>
      </c>
      <c r="E11" s="120">
        <f>'Preliminary Power Budget'!F12</f>
        <v>0.22</v>
      </c>
      <c r="F11" s="126">
        <v>0.03</v>
      </c>
      <c r="G11" s="104">
        <f t="shared" si="5"/>
        <v>0.0066</v>
      </c>
      <c r="H11" s="122">
        <f>'Preliminary Power Budget'!J12</f>
        <v>0.2222</v>
      </c>
      <c r="I11" s="127">
        <v>0.03</v>
      </c>
      <c r="J11" s="107">
        <f t="shared" si="6"/>
        <v>0.006666</v>
      </c>
      <c r="K11" s="92" t="s">
        <v>47</v>
      </c>
      <c r="L11" s="92" t="s">
        <v>53</v>
      </c>
      <c r="M11" s="40" t="s">
        <v>54</v>
      </c>
      <c r="N11" s="124" t="s">
        <v>42</v>
      </c>
      <c r="O11" s="86"/>
      <c r="P11" s="86"/>
      <c r="Q11" s="86"/>
    </row>
    <row r="12">
      <c r="A12" s="98" t="s">
        <v>56</v>
      </c>
      <c r="B12" s="128">
        <f>'Preliminary Power Budget'!B13</f>
        <v>0</v>
      </c>
      <c r="C12" s="125">
        <v>1.0</v>
      </c>
      <c r="D12" s="118">
        <f t="shared" si="4"/>
        <v>0</v>
      </c>
      <c r="E12" s="120">
        <f>'Preliminary Power Budget'!F13</f>
        <v>0.22</v>
      </c>
      <c r="F12" s="126">
        <v>1.0</v>
      </c>
      <c r="G12" s="104">
        <f t="shared" si="5"/>
        <v>0.22</v>
      </c>
      <c r="H12" s="122">
        <f>'Preliminary Power Budget'!J13</f>
        <v>0.2222</v>
      </c>
      <c r="I12" s="127">
        <v>1.0</v>
      </c>
      <c r="J12" s="107">
        <f t="shared" si="6"/>
        <v>0.2222</v>
      </c>
      <c r="K12" s="92" t="s">
        <v>47</v>
      </c>
      <c r="L12" s="108">
        <v>5.0</v>
      </c>
      <c r="M12" s="30" t="s">
        <v>57</v>
      </c>
      <c r="N12" s="124" t="s">
        <v>42</v>
      </c>
      <c r="O12" s="86"/>
      <c r="P12" s="86"/>
      <c r="Q12" s="86"/>
    </row>
    <row r="13">
      <c r="A13" s="116" t="s">
        <v>17</v>
      </c>
      <c r="B13" s="115"/>
      <c r="C13" s="115"/>
      <c r="D13" s="119">
        <f>sum(D10:D12)</f>
        <v>0.1014377778</v>
      </c>
      <c r="E13" s="115"/>
      <c r="F13" s="115"/>
      <c r="G13" s="104">
        <f>sum(G10:G12)</f>
        <v>0.4026</v>
      </c>
      <c r="H13" s="129"/>
      <c r="I13" s="115"/>
      <c r="J13" s="107">
        <f>sum(J10:J12)</f>
        <v>1.028866</v>
      </c>
      <c r="K13" s="92"/>
      <c r="L13" s="92"/>
      <c r="M13" s="92"/>
      <c r="N13" s="92"/>
      <c r="O13" s="86"/>
      <c r="P13" s="86"/>
      <c r="Q13" s="86"/>
    </row>
    <row r="14">
      <c r="A14" s="97" t="s">
        <v>26</v>
      </c>
      <c r="B14" s="88"/>
      <c r="C14" s="88"/>
      <c r="D14" s="88"/>
      <c r="E14" s="88"/>
      <c r="F14" s="88"/>
      <c r="G14" s="88"/>
      <c r="H14" s="88"/>
      <c r="I14" s="88"/>
      <c r="J14" s="89"/>
      <c r="K14" s="92"/>
      <c r="L14" s="92"/>
      <c r="M14" s="92"/>
      <c r="N14" s="92"/>
      <c r="O14" s="86"/>
      <c r="P14" s="86"/>
      <c r="Q14" s="86"/>
    </row>
    <row r="15">
      <c r="A15" s="98" t="s">
        <v>58</v>
      </c>
      <c r="B15" s="110">
        <f>'Preliminary Power Budget'!B17</f>
        <v>0</v>
      </c>
      <c r="C15" s="118">
        <v>0.572</v>
      </c>
      <c r="D15" s="118">
        <f t="shared" ref="D15:D16" si="7">B15*C15</f>
        <v>0</v>
      </c>
      <c r="E15" s="102">
        <f>'Preliminary Power Budget'!F17</f>
        <v>0.06</v>
      </c>
      <c r="F15" s="121">
        <v>0.572</v>
      </c>
      <c r="G15" s="130">
        <f t="shared" ref="G15:G16" si="8">E15*F15</f>
        <v>0.03432</v>
      </c>
      <c r="H15" s="131">
        <f>'Preliminary Power Budget'!J17</f>
        <v>0.111</v>
      </c>
      <c r="I15" s="123">
        <v>0.572</v>
      </c>
      <c r="J15" s="132">
        <f>I15*H15</f>
        <v>0.063492</v>
      </c>
      <c r="K15" s="92" t="s">
        <v>47</v>
      </c>
      <c r="L15" s="92" t="s">
        <v>59</v>
      </c>
      <c r="M15" s="92" t="s">
        <v>60</v>
      </c>
      <c r="N15" s="133" t="s">
        <v>61</v>
      </c>
      <c r="O15" s="86"/>
      <c r="P15" s="86"/>
      <c r="Q15" s="86"/>
    </row>
    <row r="16">
      <c r="A16" s="98" t="s">
        <v>62</v>
      </c>
      <c r="B16" s="110"/>
      <c r="C16" s="101">
        <f>2/3.3</f>
        <v>0.6060606061</v>
      </c>
      <c r="D16" s="118">
        <f t="shared" si="7"/>
        <v>0</v>
      </c>
      <c r="E16" s="102"/>
      <c r="F16" s="121">
        <v>0.606</v>
      </c>
      <c r="G16" s="130">
        <f t="shared" si="8"/>
        <v>0</v>
      </c>
      <c r="H16" s="131"/>
      <c r="I16" s="123">
        <v>0.606</v>
      </c>
      <c r="J16" s="132">
        <f>H16*I16</f>
        <v>0</v>
      </c>
      <c r="K16" s="92"/>
      <c r="L16" s="92" t="s">
        <v>63</v>
      </c>
      <c r="M16" s="92"/>
      <c r="N16" s="92"/>
      <c r="O16" s="86"/>
      <c r="P16" s="86"/>
      <c r="Q16" s="86"/>
    </row>
    <row r="17">
      <c r="A17" s="134" t="s">
        <v>17</v>
      </c>
      <c r="B17" s="115"/>
      <c r="C17" s="115"/>
      <c r="D17" s="118">
        <f>sum(D15,D16)</f>
        <v>0</v>
      </c>
      <c r="E17" s="115"/>
      <c r="F17" s="115"/>
      <c r="G17" s="130">
        <f>sum(G15,G16)</f>
        <v>0.03432</v>
      </c>
      <c r="H17" s="115"/>
      <c r="I17" s="115"/>
      <c r="J17" s="132">
        <f>sum(J15,J16)</f>
        <v>0.063492</v>
      </c>
      <c r="K17" s="92"/>
      <c r="L17" s="92"/>
      <c r="M17" s="92"/>
      <c r="N17" s="92"/>
      <c r="O17" s="86"/>
      <c r="P17" s="86"/>
      <c r="Q17" s="86"/>
    </row>
    <row r="18">
      <c r="A18" s="97" t="s">
        <v>29</v>
      </c>
      <c r="B18" s="88"/>
      <c r="C18" s="88"/>
      <c r="D18" s="88"/>
      <c r="E18" s="88"/>
      <c r="F18" s="88"/>
      <c r="G18" s="88"/>
      <c r="H18" s="88"/>
      <c r="I18" s="88"/>
      <c r="J18" s="89"/>
      <c r="K18" s="92"/>
      <c r="L18" s="92"/>
      <c r="M18" s="92"/>
      <c r="N18" s="92"/>
      <c r="O18" s="86"/>
      <c r="P18" s="86"/>
      <c r="Q18" s="86"/>
    </row>
    <row r="19">
      <c r="A19" s="135" t="s">
        <v>64</v>
      </c>
      <c r="B19" s="110">
        <f>'Preliminary Power Budget'!B22</f>
        <v>0</v>
      </c>
      <c r="C19" s="118">
        <f>0.01*6</f>
        <v>0.06</v>
      </c>
      <c r="D19" s="118">
        <f t="shared" ref="D19:D23" si="9">B19*C19</f>
        <v>0</v>
      </c>
      <c r="E19" s="112">
        <f>'Preliminary Power Budget'!F22</f>
        <v>1</v>
      </c>
      <c r="F19" s="121">
        <f>0.01*6</f>
        <v>0.06</v>
      </c>
      <c r="G19" s="136">
        <f t="shared" ref="G19:G23" si="10">E19*F19</f>
        <v>0.06</v>
      </c>
      <c r="H19" s="105">
        <f>'Preliminary Power Budget'!J22</f>
        <v>1</v>
      </c>
      <c r="I19" s="123">
        <f>0.01*6</f>
        <v>0.06</v>
      </c>
      <c r="J19" s="137">
        <f t="shared" ref="J19:J23" si="11">H19*I19</f>
        <v>0.06</v>
      </c>
      <c r="K19" s="92" t="s">
        <v>47</v>
      </c>
      <c r="L19" s="138">
        <v>5.0</v>
      </c>
      <c r="M19" s="109" t="s">
        <v>65</v>
      </c>
      <c r="N19" s="133" t="s">
        <v>66</v>
      </c>
      <c r="O19" s="86"/>
      <c r="P19" s="86"/>
      <c r="Q19" s="86"/>
    </row>
    <row r="20">
      <c r="A20" s="98" t="s">
        <v>67</v>
      </c>
      <c r="B20" s="110"/>
      <c r="C20" s="101">
        <f>0.12/3.3</f>
        <v>0.03636363636</v>
      </c>
      <c r="D20" s="118">
        <f t="shared" si="9"/>
        <v>0</v>
      </c>
      <c r="E20" s="112"/>
      <c r="F20" s="139">
        <f>0.12/3.3</f>
        <v>0.03636363636</v>
      </c>
      <c r="G20" s="139">
        <f t="shared" si="10"/>
        <v>0</v>
      </c>
      <c r="H20" s="105"/>
      <c r="I20" s="140">
        <f>0.12/3.3</f>
        <v>0.03636363636</v>
      </c>
      <c r="J20" s="140">
        <f t="shared" si="11"/>
        <v>0</v>
      </c>
      <c r="K20" s="92" t="s">
        <v>47</v>
      </c>
      <c r="L20" s="92" t="s">
        <v>68</v>
      </c>
      <c r="M20" s="92"/>
      <c r="N20" s="133" t="s">
        <v>69</v>
      </c>
      <c r="O20" s="86"/>
      <c r="P20" s="86"/>
      <c r="Q20" s="86"/>
    </row>
    <row r="21">
      <c r="A21" s="135" t="s">
        <v>33</v>
      </c>
      <c r="B21" s="110">
        <f>'Preliminary Power Budget'!B24</f>
        <v>0</v>
      </c>
      <c r="C21" s="118">
        <f>('Preliminary Power Budget'!C24/8)</f>
        <v>0.01875</v>
      </c>
      <c r="D21" s="118">
        <f t="shared" si="9"/>
        <v>0</v>
      </c>
      <c r="E21" s="112">
        <f>'Preliminary Power Budget'!F24</f>
        <v>1</v>
      </c>
      <c r="F21" s="121">
        <f>C21</f>
        <v>0.01875</v>
      </c>
      <c r="G21" s="104">
        <f t="shared" si="10"/>
        <v>0.01875</v>
      </c>
      <c r="H21" s="105">
        <f>'Preliminary Power Budget'!J24</f>
        <v>1</v>
      </c>
      <c r="I21" s="140">
        <f>('Preliminary Power Budget'!K24/16)</f>
        <v>0.009375</v>
      </c>
      <c r="J21" s="137">
        <f t="shared" si="11"/>
        <v>0.009375</v>
      </c>
      <c r="K21" s="92" t="s">
        <v>47</v>
      </c>
      <c r="L21" s="108" t="s">
        <v>70</v>
      </c>
      <c r="M21" s="109" t="s">
        <v>71</v>
      </c>
      <c r="N21" s="133" t="s">
        <v>72</v>
      </c>
      <c r="O21" s="86"/>
      <c r="P21" s="86"/>
      <c r="Q21" s="86"/>
    </row>
    <row r="22">
      <c r="A22" s="135" t="s">
        <v>34</v>
      </c>
      <c r="B22" s="110">
        <f>'Preliminary Power Budget'!B25</f>
        <v>0</v>
      </c>
      <c r="C22" s="118">
        <f>(0.6/5)*3</f>
        <v>0.36</v>
      </c>
      <c r="D22" s="118">
        <f t="shared" si="9"/>
        <v>0</v>
      </c>
      <c r="E22" s="102">
        <v>0.0</v>
      </c>
      <c r="F22" s="121">
        <v>0.36</v>
      </c>
      <c r="G22" s="136">
        <f t="shared" si="10"/>
        <v>0</v>
      </c>
      <c r="H22" s="105">
        <f>'Preliminary Power Budget'!J25</f>
        <v>1</v>
      </c>
      <c r="I22" s="123">
        <v>0.36</v>
      </c>
      <c r="J22" s="137">
        <f t="shared" si="11"/>
        <v>0.36</v>
      </c>
      <c r="K22" s="92" t="s">
        <v>47</v>
      </c>
      <c r="L22" s="138">
        <v>5.0</v>
      </c>
      <c r="M22" s="92"/>
      <c r="N22" s="133" t="s">
        <v>73</v>
      </c>
      <c r="O22" s="86"/>
      <c r="P22" s="86"/>
      <c r="Q22" s="86"/>
    </row>
    <row r="23">
      <c r="A23" s="141" t="s">
        <v>35</v>
      </c>
      <c r="B23" s="99">
        <f>'Preliminary Power Budget'!B26</f>
        <v>0</v>
      </c>
      <c r="C23" s="118">
        <f>0.624</f>
        <v>0.624</v>
      </c>
      <c r="D23" s="118">
        <f t="shared" si="9"/>
        <v>0</v>
      </c>
      <c r="E23" s="102">
        <f>'Preliminary Power Budget'!F26</f>
        <v>0.1</v>
      </c>
      <c r="F23" s="121">
        <f>0.624</f>
        <v>0.624</v>
      </c>
      <c r="G23" s="136">
        <f t="shared" si="10"/>
        <v>0.0624</v>
      </c>
      <c r="H23" s="131">
        <f>'Preliminary Power Budget'!J26</f>
        <v>0.1</v>
      </c>
      <c r="I23" s="123">
        <f>0.624</f>
        <v>0.624</v>
      </c>
      <c r="J23" s="137">
        <f t="shared" si="11"/>
        <v>0.0624</v>
      </c>
      <c r="K23" s="92"/>
      <c r="L23" s="108">
        <v>7.2</v>
      </c>
      <c r="M23" s="109" t="s">
        <v>48</v>
      </c>
      <c r="N23" s="133"/>
      <c r="O23" s="86"/>
      <c r="P23" s="86"/>
      <c r="Q23" s="86"/>
    </row>
    <row r="24">
      <c r="A24" s="134" t="s">
        <v>17</v>
      </c>
      <c r="B24" s="115"/>
      <c r="C24" s="115"/>
      <c r="D24" s="118">
        <f>sum(D19:D23)</f>
        <v>0</v>
      </c>
      <c r="E24" s="115"/>
      <c r="F24" s="115"/>
      <c r="G24" s="139">
        <f>sum(G19:G23)</f>
        <v>0.14115</v>
      </c>
      <c r="H24" s="115"/>
      <c r="I24" s="115"/>
      <c r="J24" s="140">
        <f>sum(J19,J20,J21,J22,J23)</f>
        <v>0.491775</v>
      </c>
      <c r="K24" s="92"/>
      <c r="L24" s="138" t="s">
        <v>42</v>
      </c>
      <c r="M24" s="92"/>
      <c r="N24" s="92" t="s">
        <v>42</v>
      </c>
      <c r="O24" s="86"/>
      <c r="P24" s="86"/>
      <c r="Q24" s="86"/>
    </row>
    <row r="25">
      <c r="A25" s="142" t="s">
        <v>37</v>
      </c>
      <c r="B25" s="88"/>
      <c r="C25" s="88"/>
      <c r="D25" s="88"/>
      <c r="E25" s="88"/>
      <c r="F25" s="88"/>
      <c r="G25" s="88"/>
      <c r="H25" s="88"/>
      <c r="I25" s="88"/>
      <c r="J25" s="89"/>
      <c r="K25" s="92"/>
      <c r="L25" s="138"/>
      <c r="M25" s="92"/>
      <c r="N25" s="92"/>
      <c r="O25" s="86"/>
      <c r="P25" s="86"/>
      <c r="Q25" s="86"/>
    </row>
    <row r="26">
      <c r="A26" s="98" t="s">
        <v>38</v>
      </c>
      <c r="B26" s="99">
        <f>'Preliminary Power Budget'!B30</f>
        <v>1</v>
      </c>
      <c r="C26" s="143">
        <v>0.21</v>
      </c>
      <c r="D26" s="101">
        <f>B26*C26</f>
        <v>0.21</v>
      </c>
      <c r="E26" s="102">
        <f>'Preliminary Power Budget'!F31</f>
        <v>1</v>
      </c>
      <c r="F26" s="126">
        <v>0.39</v>
      </c>
      <c r="G26" s="136">
        <f>E26*F26</f>
        <v>0.39</v>
      </c>
      <c r="H26" s="105">
        <f>'Preliminary Power Budget'!J31</f>
        <v>1</v>
      </c>
      <c r="I26" s="123">
        <v>0.46</v>
      </c>
      <c r="J26" s="137">
        <f>H26*I26</f>
        <v>0.46</v>
      </c>
      <c r="K26" s="92" t="s">
        <v>47</v>
      </c>
      <c r="L26" s="138">
        <v>3.3</v>
      </c>
      <c r="M26" s="92" t="s">
        <v>74</v>
      </c>
      <c r="N26" s="133" t="s">
        <v>75</v>
      </c>
      <c r="O26" s="86"/>
      <c r="P26" s="86"/>
      <c r="Q26" s="86"/>
    </row>
    <row r="27">
      <c r="A27" s="98" t="s">
        <v>17</v>
      </c>
      <c r="B27" s="115"/>
      <c r="C27" s="115"/>
      <c r="D27" s="101">
        <f>sum(D26)</f>
        <v>0.21</v>
      </c>
      <c r="E27" s="129"/>
      <c r="F27" s="115"/>
      <c r="G27" s="136">
        <f>sum(G26)</f>
        <v>0.39</v>
      </c>
      <c r="H27" s="129"/>
      <c r="I27" s="115"/>
      <c r="J27" s="137">
        <f>sum(J26)</f>
        <v>0.46</v>
      </c>
      <c r="K27" s="92"/>
      <c r="L27" s="92"/>
      <c r="M27" s="92"/>
      <c r="N27" s="92"/>
      <c r="O27" s="86"/>
      <c r="P27" s="86"/>
      <c r="Q27" s="86"/>
    </row>
    <row r="28">
      <c r="A28" s="144" t="s">
        <v>39</v>
      </c>
      <c r="B28" s="88"/>
      <c r="C28" s="88"/>
      <c r="D28" s="88"/>
      <c r="E28" s="88"/>
      <c r="F28" s="88"/>
      <c r="G28" s="88"/>
      <c r="H28" s="88"/>
      <c r="I28" s="88"/>
      <c r="J28" s="89"/>
      <c r="K28" s="92"/>
      <c r="L28" s="92"/>
      <c r="M28" s="92"/>
      <c r="N28" s="92"/>
      <c r="O28" s="86"/>
      <c r="P28" s="86"/>
      <c r="Q28" s="86"/>
    </row>
    <row r="29">
      <c r="A29" s="135" t="s">
        <v>40</v>
      </c>
      <c r="B29" s="145">
        <f>sum(D8,D13,D24,D17,D27)</f>
        <v>0.6037454701</v>
      </c>
      <c r="C29" s="88"/>
      <c r="D29" s="89"/>
      <c r="E29" s="146">
        <f>sum(G8,G13,G17,G24,G27)</f>
        <v>1.260377692</v>
      </c>
      <c r="F29" s="88"/>
      <c r="G29" s="89"/>
      <c r="H29" s="147">
        <f>sum(J8,J13,J17,J24,J27)</f>
        <v>2.428748385</v>
      </c>
      <c r="I29" s="88"/>
      <c r="J29" s="89"/>
      <c r="K29" s="92"/>
      <c r="L29" s="92"/>
      <c r="M29" s="92"/>
      <c r="N29" s="92"/>
      <c r="O29" s="86"/>
      <c r="P29" s="86"/>
      <c r="Q29" s="86"/>
    </row>
    <row r="30">
      <c r="A30" s="98" t="s">
        <v>41</v>
      </c>
      <c r="B30" s="148">
        <f>0.2*B29</f>
        <v>0.120749094</v>
      </c>
      <c r="C30" s="88"/>
      <c r="D30" s="89"/>
      <c r="E30" s="149">
        <f>0.2*E29</f>
        <v>0.2520755385</v>
      </c>
      <c r="F30" s="88"/>
      <c r="G30" s="89"/>
      <c r="H30" s="150">
        <f>0.2*H29</f>
        <v>0.4857496769</v>
      </c>
      <c r="I30" s="88"/>
      <c r="J30" s="89"/>
      <c r="K30" s="92"/>
      <c r="L30" s="92"/>
      <c r="M30" s="92"/>
      <c r="N30" s="92"/>
      <c r="O30" s="86"/>
      <c r="P30" s="86"/>
      <c r="Q30" s="86"/>
    </row>
    <row r="31">
      <c r="A31" s="98" t="s">
        <v>17</v>
      </c>
      <c r="B31" s="148">
        <f>sum(B29:D30)</f>
        <v>0.7244945641</v>
      </c>
      <c r="C31" s="88"/>
      <c r="D31" s="89"/>
      <c r="E31" s="151">
        <f>sum(E29:G30)</f>
        <v>1.512453231</v>
      </c>
      <c r="F31" s="88"/>
      <c r="G31" s="89"/>
      <c r="H31" s="152">
        <f>sum(H29:J30)</f>
        <v>2.914498062</v>
      </c>
      <c r="I31" s="88"/>
      <c r="J31" s="89"/>
      <c r="K31" s="92"/>
      <c r="L31" s="92"/>
      <c r="M31" s="92"/>
      <c r="N31" s="92"/>
      <c r="O31" s="86"/>
      <c r="P31" s="86"/>
      <c r="Q31" s="86"/>
    </row>
    <row r="3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</row>
    <row r="33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</row>
    <row r="34">
      <c r="A34" s="86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</row>
    <row r="35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</row>
    <row r="36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</row>
    <row r="37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</row>
    <row r="38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</row>
  </sheetData>
  <mergeCells count="30">
    <mergeCell ref="C3:C4"/>
    <mergeCell ref="D3:D4"/>
    <mergeCell ref="E3:E4"/>
    <mergeCell ref="F3:F4"/>
    <mergeCell ref="G3:G4"/>
    <mergeCell ref="H3:H4"/>
    <mergeCell ref="I3:I4"/>
    <mergeCell ref="J3:J4"/>
    <mergeCell ref="A1:A2"/>
    <mergeCell ref="B1:J1"/>
    <mergeCell ref="B2:D2"/>
    <mergeCell ref="E2:G2"/>
    <mergeCell ref="H2:J2"/>
    <mergeCell ref="A3:A4"/>
    <mergeCell ref="B3:B4"/>
    <mergeCell ref="E29:G29"/>
    <mergeCell ref="H29:J29"/>
    <mergeCell ref="B30:D30"/>
    <mergeCell ref="E30:G30"/>
    <mergeCell ref="H30:J30"/>
    <mergeCell ref="B31:D31"/>
    <mergeCell ref="E31:G31"/>
    <mergeCell ref="H31:J31"/>
    <mergeCell ref="A5:J5"/>
    <mergeCell ref="A9:J9"/>
    <mergeCell ref="A14:J14"/>
    <mergeCell ref="A18:J18"/>
    <mergeCell ref="A25:J25"/>
    <mergeCell ref="A28:J28"/>
    <mergeCell ref="B29:D29"/>
  </mergeCells>
  <hyperlinks>
    <hyperlink r:id="rId1" ref="N7"/>
    <hyperlink r:id="rId2" ref="N15"/>
    <hyperlink r:id="rId3" ref="N19"/>
    <hyperlink r:id="rId4" ref="N20"/>
    <hyperlink r:id="rId5" ref="N21"/>
    <hyperlink r:id="rId6" ref="N22"/>
    <hyperlink r:id="rId7" ref="N26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6" max="6" width="16.29"/>
  </cols>
  <sheetData>
    <row r="1">
      <c r="A1" s="153" t="s">
        <v>76</v>
      </c>
      <c r="B1" s="154" t="s">
        <v>77</v>
      </c>
      <c r="C1" s="154" t="s">
        <v>78</v>
      </c>
      <c r="D1" s="154" t="s">
        <v>79</v>
      </c>
      <c r="E1" s="154" t="s">
        <v>80</v>
      </c>
      <c r="F1" s="154" t="s">
        <v>81</v>
      </c>
      <c r="G1" s="154" t="s">
        <v>82</v>
      </c>
    </row>
    <row r="2">
      <c r="A2" s="155" t="s">
        <v>83</v>
      </c>
      <c r="B2" s="156">
        <v>0.003018</v>
      </c>
      <c r="C2" s="157">
        <v>0.28</v>
      </c>
      <c r="D2" s="156">
        <v>0.84</v>
      </c>
      <c r="E2" s="156">
        <v>1.062</v>
      </c>
      <c r="F2" s="158">
        <f>'Power Generation Calculations'!S12</f>
        <v>11.54882997</v>
      </c>
      <c r="G2" s="159">
        <v>9.0</v>
      </c>
    </row>
    <row r="3">
      <c r="A3" s="155" t="s">
        <v>84</v>
      </c>
      <c r="B3" s="156">
        <v>0.0027</v>
      </c>
      <c r="C3" s="157">
        <v>0.3</v>
      </c>
      <c r="D3" s="156">
        <v>0.5</v>
      </c>
      <c r="E3" s="156">
        <v>1.018</v>
      </c>
      <c r="F3" s="158">
        <f>'Power Generation Calculations'!S17</f>
        <v>11.95104491</v>
      </c>
      <c r="G3" s="159">
        <v>9.0</v>
      </c>
    </row>
    <row r="4">
      <c r="A4" s="155" t="s">
        <v>85</v>
      </c>
      <c r="B4" s="156">
        <v>0.003018</v>
      </c>
      <c r="C4" s="160">
        <v>0.295</v>
      </c>
      <c r="D4" s="156">
        <v>0.86</v>
      </c>
      <c r="E4" s="156">
        <v>1.119</v>
      </c>
      <c r="F4" s="158">
        <f>'Power Generation Calculations'!S23</f>
        <v>10.96160133</v>
      </c>
      <c r="G4" s="159">
        <v>8.0</v>
      </c>
    </row>
    <row r="5">
      <c r="A5" s="155" t="s">
        <v>86</v>
      </c>
      <c r="B5" s="156">
        <v>0.00265</v>
      </c>
      <c r="C5" s="160">
        <v>0.295</v>
      </c>
      <c r="D5" s="156">
        <v>0.85</v>
      </c>
      <c r="E5" s="156">
        <v>1.118</v>
      </c>
      <c r="F5" s="158">
        <f>'Power Generation Calculations'!S28</f>
        <v>10.97250839</v>
      </c>
      <c r="G5" s="159">
        <v>9.0</v>
      </c>
    </row>
  </sheetData>
  <hyperlinks>
    <hyperlink r:id="rId1" ref="A2"/>
    <hyperlink r:id="rId2" ref="A3"/>
    <hyperlink r:id="rId3" ref="A4"/>
    <hyperlink r:id="rId4" ref="A5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24.14"/>
    <col customWidth="1" min="3" max="3" width="21.86"/>
    <col customWidth="1" min="4" max="4" width="18.14"/>
    <col customWidth="1" min="5" max="5" width="25.0"/>
    <col customWidth="1" min="6" max="6" width="19.0"/>
    <col customWidth="1" min="7" max="7" width="18.14"/>
    <col customWidth="1" min="12" max="12" width="17.29"/>
  </cols>
  <sheetData>
    <row r="1" ht="39.75" customHeight="1">
      <c r="A1" s="161" t="s">
        <v>87</v>
      </c>
      <c r="B1" s="162" t="s">
        <v>88</v>
      </c>
      <c r="C1" s="162" t="s">
        <v>89</v>
      </c>
      <c r="D1" s="163" t="s">
        <v>90</v>
      </c>
      <c r="E1" s="4"/>
      <c r="F1" s="164">
        <f>'Preliminary Power Budget'!F36</f>
        <v>6.5594352</v>
      </c>
      <c r="G1" s="165"/>
      <c r="H1" s="166"/>
      <c r="I1" s="167"/>
      <c r="J1" s="167"/>
      <c r="K1" s="167"/>
      <c r="P1" s="168"/>
      <c r="R1" s="169"/>
      <c r="S1" s="169"/>
      <c r="U1" s="168"/>
    </row>
    <row r="2">
      <c r="A2" s="170">
        <v>1.018074816</v>
      </c>
      <c r="B2" s="171">
        <v>1366.0</v>
      </c>
      <c r="C2" s="172" t="s">
        <v>91</v>
      </c>
      <c r="D2" s="163" t="s">
        <v>92</v>
      </c>
      <c r="E2" s="4"/>
      <c r="F2" s="173">
        <f>'Preliminary Power Budget'!J36</f>
        <v>8.2250832</v>
      </c>
      <c r="G2" s="174"/>
      <c r="H2" s="175"/>
      <c r="R2" s="169"/>
      <c r="S2" s="169"/>
    </row>
    <row r="3">
      <c r="A3" s="176"/>
      <c r="B3" s="176"/>
      <c r="C3" s="176"/>
      <c r="D3" s="163" t="s">
        <v>93</v>
      </c>
      <c r="E3" s="4"/>
      <c r="F3" s="177">
        <f>'Battery Calculations'!C8</f>
        <v>4.1125416</v>
      </c>
      <c r="H3" s="178"/>
      <c r="R3" s="169"/>
      <c r="S3" s="169"/>
    </row>
    <row r="4">
      <c r="A4" s="176"/>
      <c r="B4" s="176"/>
      <c r="C4" s="176"/>
      <c r="D4" s="163" t="s">
        <v>94</v>
      </c>
      <c r="E4" s="4"/>
      <c r="F4" s="179">
        <f>'Preliminary Power Budget'!F36*0.5</f>
        <v>3.2797176</v>
      </c>
      <c r="H4" s="178"/>
      <c r="R4" s="169"/>
      <c r="S4" s="169"/>
    </row>
    <row r="5">
      <c r="A5" s="176"/>
      <c r="B5" s="176"/>
      <c r="C5" s="176"/>
      <c r="D5" s="180" t="s">
        <v>95</v>
      </c>
      <c r="E5" s="4"/>
      <c r="F5" s="179">
        <f>F4/A2</f>
        <v>3.221489765</v>
      </c>
      <c r="H5" s="178"/>
      <c r="R5" s="169"/>
      <c r="S5" s="169"/>
    </row>
    <row r="6">
      <c r="A6" s="176"/>
      <c r="B6" s="176"/>
      <c r="C6" s="176"/>
      <c r="D6" s="180" t="s">
        <v>96</v>
      </c>
      <c r="E6" s="4"/>
      <c r="F6" s="179">
        <f>F3/A2</f>
        <v>4.039527877</v>
      </c>
      <c r="H6" s="178"/>
      <c r="R6" s="169"/>
      <c r="S6" s="169"/>
    </row>
    <row r="7">
      <c r="A7" s="176"/>
      <c r="B7" s="176"/>
      <c r="C7" s="176"/>
      <c r="D7" s="181" t="s">
        <v>97</v>
      </c>
      <c r="E7" s="4"/>
      <c r="F7" s="179">
        <f t="shared" ref="F7:F8" si="1">F1+F5</f>
        <v>9.780924965</v>
      </c>
      <c r="H7" s="178"/>
      <c r="R7" s="169"/>
      <c r="S7" s="169"/>
    </row>
    <row r="8">
      <c r="A8" s="176"/>
      <c r="B8" s="176"/>
      <c r="C8" s="176"/>
      <c r="D8" s="181" t="s">
        <v>98</v>
      </c>
      <c r="E8" s="4"/>
      <c r="F8" s="182">
        <f t="shared" si="1"/>
        <v>12.26461108</v>
      </c>
      <c r="H8" s="178"/>
      <c r="R8" s="169"/>
      <c r="S8" s="169"/>
    </row>
    <row r="9">
      <c r="A9" s="176"/>
      <c r="B9" s="176"/>
      <c r="C9" s="176"/>
      <c r="D9" s="181" t="s">
        <v>99</v>
      </c>
      <c r="E9" s="4"/>
      <c r="F9" s="183">
        <v>0.92</v>
      </c>
      <c r="H9" s="178"/>
      <c r="R9" s="169"/>
      <c r="S9" s="169"/>
    </row>
    <row r="10">
      <c r="A10" s="176"/>
      <c r="B10" s="176"/>
      <c r="C10" s="176"/>
      <c r="H10" s="178"/>
      <c r="R10" s="169"/>
      <c r="S10" s="169"/>
    </row>
    <row r="11">
      <c r="A11" s="184" t="s">
        <v>100</v>
      </c>
      <c r="B11" s="184" t="s">
        <v>101</v>
      </c>
      <c r="C11" s="184" t="s">
        <v>102</v>
      </c>
      <c r="D11" s="184" t="s">
        <v>103</v>
      </c>
      <c r="E11" s="184" t="s">
        <v>104</v>
      </c>
      <c r="F11" s="184" t="s">
        <v>105</v>
      </c>
      <c r="G11" s="184" t="s">
        <v>106</v>
      </c>
      <c r="H11" s="185" t="s">
        <v>107</v>
      </c>
      <c r="I11" s="186" t="s">
        <v>108</v>
      </c>
      <c r="J11" s="186" t="s">
        <v>109</v>
      </c>
      <c r="K11" s="186" t="s">
        <v>110</v>
      </c>
      <c r="L11" s="186" t="s">
        <v>111</v>
      </c>
      <c r="M11" s="186" t="s">
        <v>112</v>
      </c>
      <c r="N11" s="186" t="s">
        <v>113</v>
      </c>
      <c r="O11" s="186" t="s">
        <v>114</v>
      </c>
      <c r="P11" s="186" t="s">
        <v>115</v>
      </c>
      <c r="Q11" s="186" t="s">
        <v>116</v>
      </c>
      <c r="R11" s="187" t="s">
        <v>117</v>
      </c>
      <c r="S11" s="187" t="s">
        <v>118</v>
      </c>
      <c r="T11" s="188"/>
      <c r="U11" s="188" t="s">
        <v>119</v>
      </c>
      <c r="V11" s="189"/>
      <c r="W11" s="189"/>
      <c r="X11" s="188"/>
      <c r="Y11" s="190" t="s">
        <v>120</v>
      </c>
      <c r="Z11" s="189"/>
      <c r="AA11" s="189"/>
      <c r="AB11" s="188" t="s">
        <v>121</v>
      </c>
      <c r="AC11" s="189"/>
      <c r="AD11" s="189"/>
      <c r="AE11" s="189"/>
      <c r="AF11" s="189"/>
      <c r="AG11" s="189"/>
      <c r="AH11" s="189"/>
    </row>
    <row r="12">
      <c r="A12" s="191" t="s">
        <v>122</v>
      </c>
      <c r="B12" s="191" t="s">
        <v>123</v>
      </c>
      <c r="C12" s="192" t="str">
        <f t="shared" ref="C12:C16" si="2">HYPERLINK("https://www.spectrolab.com/DataSheets/cells/PV%20UTJ%20Cell%205-20-10.pdf","Spectrolab UTJ ")</f>
        <v>Spectrolab UTJ </v>
      </c>
      <c r="D12" s="193">
        <v>7.0</v>
      </c>
      <c r="E12" s="193">
        <v>0.003018</v>
      </c>
      <c r="F12" s="193">
        <v>1.0</v>
      </c>
      <c r="G12" s="183">
        <v>0.28</v>
      </c>
      <c r="H12" s="179">
        <f t="shared" ref="H12:H31" si="3">$B$2*D12*E12*F12*G12</f>
        <v>8.08027248</v>
      </c>
      <c r="I12" s="194">
        <f>H12*F9</f>
        <v>7.433850682</v>
      </c>
      <c r="J12" s="195">
        <f>I12-F1</f>
        <v>0.8744154816</v>
      </c>
      <c r="K12" s="182">
        <f>I12-F2</f>
        <v>-0.7912325184</v>
      </c>
      <c r="L12" s="193">
        <f>J12*A2</f>
        <v>0.8902203805</v>
      </c>
      <c r="M12" s="193">
        <f>K12*A2</f>
        <v>-0.8055339006</v>
      </c>
      <c r="N12" s="193"/>
      <c r="O12" s="193">
        <v>0.84</v>
      </c>
      <c r="P12" s="196">
        <f t="shared" ref="P12:P31" si="4">D12*E12*O12*F12*1000</f>
        <v>17.74584</v>
      </c>
      <c r="Q12" s="196"/>
      <c r="R12" s="197">
        <f t="shared" ref="R12:R31" si="5">(I12)/(D12*F12)</f>
        <v>1.061978669</v>
      </c>
      <c r="S12" s="197">
        <f>F8/(I12/D12)</f>
        <v>11.54882997</v>
      </c>
    </row>
    <row r="13">
      <c r="A13" s="191" t="s">
        <v>124</v>
      </c>
      <c r="B13" s="191" t="s">
        <v>125</v>
      </c>
      <c r="C13" s="192" t="str">
        <f t="shared" si="2"/>
        <v>Spectrolab UTJ </v>
      </c>
      <c r="D13" s="193">
        <v>7.0</v>
      </c>
      <c r="E13" s="193">
        <v>0.003018</v>
      </c>
      <c r="F13" s="193">
        <v>2.0</v>
      </c>
      <c r="G13" s="183">
        <v>0.28</v>
      </c>
      <c r="H13" s="179">
        <f t="shared" si="3"/>
        <v>16.16054496</v>
      </c>
      <c r="I13" s="194">
        <f>H13*F9</f>
        <v>14.86770136</v>
      </c>
      <c r="J13" s="195">
        <f>I13-F1</f>
        <v>8.308266163</v>
      </c>
      <c r="K13" s="198">
        <f>I13-F2</f>
        <v>6.642618163</v>
      </c>
      <c r="L13" s="193">
        <f>J13*A2</f>
        <v>8.458436545</v>
      </c>
      <c r="M13" s="193">
        <f>K13*A2</f>
        <v>6.762682264</v>
      </c>
      <c r="N13" s="199"/>
      <c r="O13" s="193">
        <v>0.84</v>
      </c>
      <c r="P13" s="196">
        <f t="shared" si="4"/>
        <v>35.49168</v>
      </c>
      <c r="Q13" s="196"/>
      <c r="R13" s="197">
        <f t="shared" si="5"/>
        <v>1.061978669</v>
      </c>
      <c r="S13" s="197">
        <f>F8/(I12/D12)</f>
        <v>11.54882997</v>
      </c>
    </row>
    <row r="14">
      <c r="A14" s="191" t="s">
        <v>126</v>
      </c>
      <c r="B14" s="191" t="s">
        <v>127</v>
      </c>
      <c r="C14" s="192" t="str">
        <f t="shared" si="2"/>
        <v>Spectrolab UTJ </v>
      </c>
      <c r="D14" s="193">
        <v>7.0</v>
      </c>
      <c r="E14" s="193">
        <v>0.003018</v>
      </c>
      <c r="F14" s="193">
        <v>3.0</v>
      </c>
      <c r="G14" s="183">
        <v>0.28</v>
      </c>
      <c r="H14" s="179">
        <f t="shared" si="3"/>
        <v>24.24081744</v>
      </c>
      <c r="I14" s="194">
        <f>H14*F9</f>
        <v>22.30155204</v>
      </c>
      <c r="J14" s="195">
        <f>I14-F1</f>
        <v>15.74211684</v>
      </c>
      <c r="K14" s="195">
        <f>I14-F2</f>
        <v>14.07646884</v>
      </c>
      <c r="L14" s="193">
        <f>J14*A2</f>
        <v>16.02665271</v>
      </c>
      <c r="M14" s="193">
        <f>K14*A2</f>
        <v>14.33089843</v>
      </c>
      <c r="N14" s="193"/>
      <c r="O14" s="193">
        <v>0.84</v>
      </c>
      <c r="P14" s="196">
        <f t="shared" si="4"/>
        <v>53.23752</v>
      </c>
      <c r="Q14" s="196"/>
      <c r="R14" s="197">
        <f t="shared" si="5"/>
        <v>1.061978669</v>
      </c>
      <c r="S14" s="197">
        <f>F8/(I12/D12)</f>
        <v>11.54882997</v>
      </c>
    </row>
    <row r="15">
      <c r="A15" s="191" t="s">
        <v>128</v>
      </c>
      <c r="B15" s="191" t="s">
        <v>129</v>
      </c>
      <c r="C15" s="192" t="str">
        <f t="shared" si="2"/>
        <v>Spectrolab UTJ </v>
      </c>
      <c r="D15" s="193">
        <v>7.0</v>
      </c>
      <c r="E15" s="193">
        <v>0.003018</v>
      </c>
      <c r="F15" s="193">
        <v>5.0</v>
      </c>
      <c r="G15" s="183">
        <v>0.28</v>
      </c>
      <c r="H15" s="179">
        <f t="shared" si="3"/>
        <v>40.4013624</v>
      </c>
      <c r="I15" s="194">
        <f>H15*F9</f>
        <v>37.16925341</v>
      </c>
      <c r="J15" s="195">
        <f>I15-F1</f>
        <v>30.60981821</v>
      </c>
      <c r="K15" s="195">
        <f>I15-F2</f>
        <v>28.94417021</v>
      </c>
      <c r="L15" s="193">
        <f>J15*A2</f>
        <v>31.16308504</v>
      </c>
      <c r="M15" s="193">
        <f>K15*A2</f>
        <v>29.46733076</v>
      </c>
      <c r="N15" s="193"/>
      <c r="O15" s="193">
        <v>0.84</v>
      </c>
      <c r="P15" s="196">
        <f t="shared" si="4"/>
        <v>88.7292</v>
      </c>
      <c r="Q15" s="196"/>
      <c r="R15" s="197">
        <f t="shared" si="5"/>
        <v>1.061978669</v>
      </c>
      <c r="S15" s="197">
        <f>F8/(I12/D12)</f>
        <v>11.54882997</v>
      </c>
    </row>
    <row r="16">
      <c r="A16" s="191" t="s">
        <v>130</v>
      </c>
      <c r="B16" s="191" t="s">
        <v>131</v>
      </c>
      <c r="C16" s="192" t="str">
        <f t="shared" si="2"/>
        <v>Spectrolab UTJ </v>
      </c>
      <c r="D16" s="193">
        <v>7.0</v>
      </c>
      <c r="E16" s="193">
        <v>0.003018</v>
      </c>
      <c r="F16" s="193">
        <v>6.0</v>
      </c>
      <c r="G16" s="183">
        <v>0.28</v>
      </c>
      <c r="H16" s="179">
        <f t="shared" si="3"/>
        <v>48.48163488</v>
      </c>
      <c r="I16" s="194">
        <f>H16*F9</f>
        <v>44.60310409</v>
      </c>
      <c r="J16" s="195">
        <f>I16-F1</f>
        <v>38.04366889</v>
      </c>
      <c r="K16" s="195">
        <f>I16-F2</f>
        <v>36.37802089</v>
      </c>
      <c r="L16" s="193">
        <f>J16*A2</f>
        <v>38.7313012</v>
      </c>
      <c r="M16" s="193">
        <f>K16*A2</f>
        <v>37.03554692</v>
      </c>
      <c r="N16" s="193"/>
      <c r="O16" s="193">
        <v>0.84</v>
      </c>
      <c r="P16" s="196">
        <f t="shared" si="4"/>
        <v>106.47504</v>
      </c>
      <c r="Q16" s="196"/>
      <c r="R16" s="197">
        <f t="shared" si="5"/>
        <v>1.061978669</v>
      </c>
      <c r="S16" s="197">
        <f>F8/(I12/D12)</f>
        <v>11.54882997</v>
      </c>
    </row>
    <row r="17">
      <c r="A17" s="191" t="s">
        <v>132</v>
      </c>
      <c r="B17" s="191" t="s">
        <v>123</v>
      </c>
      <c r="C17" s="192" t="str">
        <f t="shared" ref="C17:C21" si="6">HYPERLINK("https://www.spectrolab.com/photovoltaics/XTJ-Prime_Data_Sheet.pdf","Spectrolab XJT Prime")</f>
        <v>Spectrolab XJT Prime</v>
      </c>
      <c r="D17" s="193">
        <v>7.0</v>
      </c>
      <c r="E17" s="193">
        <v>0.002722</v>
      </c>
      <c r="F17" s="193">
        <v>1.0</v>
      </c>
      <c r="G17" s="183">
        <v>0.3</v>
      </c>
      <c r="H17" s="179">
        <f t="shared" si="3"/>
        <v>7.8083292</v>
      </c>
      <c r="I17" s="194">
        <f>H17*F9</f>
        <v>7.183662864</v>
      </c>
      <c r="J17" s="195">
        <f>I17-F1</f>
        <v>0.624227664</v>
      </c>
      <c r="K17" s="195">
        <f>I17-F2</f>
        <v>-1.041420336</v>
      </c>
      <c r="L17" s="193">
        <f>J17*A2</f>
        <v>0.6355104642</v>
      </c>
      <c r="M17" s="193">
        <f>K17*A2</f>
        <v>-1.060243817</v>
      </c>
      <c r="N17" s="200" t="str">
        <f t="shared" ref="N17:N18" si="7">HYPERLINK("https://www.clyde.space/products/76-triple-deployable-solar-panels","Clyde Space ")</f>
        <v>Clyde Space </v>
      </c>
      <c r="O17" s="193">
        <v>0.5</v>
      </c>
      <c r="P17" s="196">
        <f t="shared" si="4"/>
        <v>9.527</v>
      </c>
      <c r="Q17" s="196"/>
      <c r="R17" s="197">
        <f t="shared" si="5"/>
        <v>1.026237552</v>
      </c>
      <c r="S17" s="197">
        <f>F8/(I17/D17)</f>
        <v>11.95104491</v>
      </c>
    </row>
    <row r="18">
      <c r="A18" s="191" t="s">
        <v>133</v>
      </c>
      <c r="B18" s="191" t="s">
        <v>125</v>
      </c>
      <c r="C18" s="192" t="str">
        <f t="shared" si="6"/>
        <v>Spectrolab XJT Prime</v>
      </c>
      <c r="D18" s="193">
        <v>7.0</v>
      </c>
      <c r="E18" s="193">
        <v>0.0027</v>
      </c>
      <c r="F18" s="193">
        <v>2.0</v>
      </c>
      <c r="G18" s="183">
        <v>0.3</v>
      </c>
      <c r="H18" s="179">
        <f t="shared" si="3"/>
        <v>15.49044</v>
      </c>
      <c r="I18" s="194">
        <f>H18*F9</f>
        <v>14.2512048</v>
      </c>
      <c r="J18" s="195">
        <f>I18-F1</f>
        <v>7.6917696</v>
      </c>
      <c r="K18" s="195">
        <f>I18-F2</f>
        <v>6.0261216</v>
      </c>
      <c r="L18" s="193">
        <f>J18*A2</f>
        <v>7.83079692</v>
      </c>
      <c r="M18" s="193">
        <f>K18*A2</f>
        <v>6.135042639</v>
      </c>
      <c r="N18" s="200" t="str">
        <f t="shared" si="7"/>
        <v>Clyde Space </v>
      </c>
      <c r="O18" s="193">
        <v>0.5</v>
      </c>
      <c r="P18" s="196">
        <f t="shared" si="4"/>
        <v>18.9</v>
      </c>
      <c r="Q18" s="196"/>
      <c r="R18" s="197">
        <f t="shared" si="5"/>
        <v>1.0179432</v>
      </c>
      <c r="S18" s="197">
        <f>F8/(I17/D17)</f>
        <v>11.95104491</v>
      </c>
    </row>
    <row r="19">
      <c r="A19" s="191" t="s">
        <v>134</v>
      </c>
      <c r="B19" s="191" t="s">
        <v>127</v>
      </c>
      <c r="C19" s="192" t="str">
        <f t="shared" si="6"/>
        <v>Spectrolab XJT Prime</v>
      </c>
      <c r="D19" s="193">
        <v>7.0</v>
      </c>
      <c r="E19" s="193">
        <v>0.0027</v>
      </c>
      <c r="F19" s="193">
        <v>3.0</v>
      </c>
      <c r="G19" s="183">
        <v>0.3</v>
      </c>
      <c r="H19" s="179">
        <f t="shared" si="3"/>
        <v>23.23566</v>
      </c>
      <c r="I19" s="194">
        <f>H19*F9</f>
        <v>21.3768072</v>
      </c>
      <c r="J19" s="195">
        <f>I19-F1</f>
        <v>14.817372</v>
      </c>
      <c r="K19" s="195">
        <f>I19-F2</f>
        <v>13.151724</v>
      </c>
      <c r="L19" s="193">
        <f>J19*A2</f>
        <v>15.08519327</v>
      </c>
      <c r="M19" s="193">
        <f>K19*A2</f>
        <v>13.38943899</v>
      </c>
      <c r="N19" s="201" t="str">
        <f t="shared" ref="N19:N21" si="8">HYPERLINK("https://www.clyde.space/products/76-triple-deployable-solar-panels","Clyde Space")</f>
        <v>Clyde Space</v>
      </c>
      <c r="O19" s="193">
        <v>0.5</v>
      </c>
      <c r="P19" s="196">
        <f t="shared" si="4"/>
        <v>28.35</v>
      </c>
      <c r="Q19" s="196"/>
      <c r="R19" s="197">
        <f t="shared" si="5"/>
        <v>1.0179432</v>
      </c>
      <c r="S19" s="197">
        <f>F8/(I17/D17)</f>
        <v>11.95104491</v>
      </c>
    </row>
    <row r="20">
      <c r="A20" s="191" t="s">
        <v>135</v>
      </c>
      <c r="B20" s="191" t="s">
        <v>136</v>
      </c>
      <c r="C20" s="192" t="str">
        <f t="shared" si="6"/>
        <v>Spectrolab XJT Prime</v>
      </c>
      <c r="D20" s="193">
        <v>7.0</v>
      </c>
      <c r="E20" s="193">
        <v>0.0027</v>
      </c>
      <c r="F20" s="193">
        <v>5.0</v>
      </c>
      <c r="G20" s="183">
        <v>0.3</v>
      </c>
      <c r="H20" s="179">
        <f t="shared" si="3"/>
        <v>38.7261</v>
      </c>
      <c r="I20" s="194">
        <f>H20*F9</f>
        <v>35.628012</v>
      </c>
      <c r="J20" s="194">
        <f>I20-F12</f>
        <v>34.628012</v>
      </c>
      <c r="K20" s="195">
        <f>I20-F2</f>
        <v>27.4029288</v>
      </c>
      <c r="L20" s="193">
        <f>J20*A2</f>
        <v>35.25390695</v>
      </c>
      <c r="M20" s="193">
        <f>K20*A2</f>
        <v>27.8982317</v>
      </c>
      <c r="N20" s="202" t="str">
        <f t="shared" si="8"/>
        <v>Clyde Space</v>
      </c>
      <c r="O20" s="193">
        <v>0.5</v>
      </c>
      <c r="P20" s="196">
        <f t="shared" si="4"/>
        <v>47.25</v>
      </c>
      <c r="Q20" s="196"/>
      <c r="R20" s="197">
        <f t="shared" si="5"/>
        <v>1.0179432</v>
      </c>
      <c r="S20" s="197">
        <f>F8/(I17/D17)</f>
        <v>11.95104491</v>
      </c>
    </row>
    <row r="21">
      <c r="A21" s="191" t="s">
        <v>137</v>
      </c>
      <c r="B21" s="191" t="s">
        <v>131</v>
      </c>
      <c r="C21" s="192" t="str">
        <f t="shared" si="6"/>
        <v>Spectrolab XJT Prime</v>
      </c>
      <c r="D21" s="193">
        <v>7.0</v>
      </c>
      <c r="E21" s="193">
        <v>0.0027</v>
      </c>
      <c r="F21" s="193">
        <v>6.0</v>
      </c>
      <c r="G21" s="183">
        <v>0.3</v>
      </c>
      <c r="H21" s="179">
        <f t="shared" si="3"/>
        <v>46.47132</v>
      </c>
      <c r="I21" s="194">
        <f>H21*F9</f>
        <v>42.7536144</v>
      </c>
      <c r="J21" s="195">
        <f>I21-F1</f>
        <v>36.1941792</v>
      </c>
      <c r="K21" s="195">
        <f>I21-F2</f>
        <v>34.5285312</v>
      </c>
      <c r="L21" s="193">
        <f>J21*A2</f>
        <v>36.84838233</v>
      </c>
      <c r="M21" s="193">
        <f>K21*A2</f>
        <v>35.15262805</v>
      </c>
      <c r="N21" s="202" t="str">
        <f t="shared" si="8"/>
        <v>Clyde Space</v>
      </c>
      <c r="O21" s="193">
        <v>0.5</v>
      </c>
      <c r="P21" s="196">
        <f t="shared" si="4"/>
        <v>56.7</v>
      </c>
      <c r="Q21" s="196"/>
      <c r="R21" s="197">
        <f t="shared" si="5"/>
        <v>1.0179432</v>
      </c>
      <c r="S21" s="197">
        <f>F8/(I17/D17)</f>
        <v>11.95104491</v>
      </c>
    </row>
    <row r="22">
      <c r="A22" s="191" t="s">
        <v>138</v>
      </c>
      <c r="B22" s="191" t="s">
        <v>123</v>
      </c>
      <c r="C22" s="192" t="str">
        <f t="shared" ref="C22:C26" si="9">HYPERLINK("http://www.azurspace.com/images/0003429-01-01_DB_3G30C-Advanced.pdf","TJ 3G30C")</f>
        <v>TJ 3G30C</v>
      </c>
      <c r="D22" s="193">
        <v>7.0</v>
      </c>
      <c r="E22" s="193">
        <v>0.003018</v>
      </c>
      <c r="F22" s="193">
        <v>1.0</v>
      </c>
      <c r="G22" s="203">
        <v>0.295</v>
      </c>
      <c r="H22" s="179">
        <f t="shared" si="3"/>
        <v>8.51314422</v>
      </c>
      <c r="I22" s="194">
        <f>H22*F9</f>
        <v>7.832092682</v>
      </c>
      <c r="J22" s="195">
        <f>I22-F1</f>
        <v>1.272657482</v>
      </c>
      <c r="K22" s="195">
        <f>I22-F2</f>
        <v>-0.3929905176</v>
      </c>
      <c r="L22" s="204">
        <f>J22*A2</f>
        <v>1.295660532</v>
      </c>
      <c r="M22" s="193">
        <f>K22*A2</f>
        <v>-0.4000937489</v>
      </c>
      <c r="N22" s="205" t="str">
        <f t="shared" ref="N22:N26" si="10">HYPERLINK("https://dhvtechnology.com/","DHV")</f>
        <v>DHV</v>
      </c>
      <c r="O22" s="193">
        <v>0.86</v>
      </c>
      <c r="P22" s="196">
        <f t="shared" si="4"/>
        <v>18.16836</v>
      </c>
      <c r="Q22" s="196"/>
      <c r="R22" s="197">
        <f t="shared" si="5"/>
        <v>1.118870383</v>
      </c>
      <c r="S22" s="197">
        <f>F8/(I22/D22)</f>
        <v>10.96160133</v>
      </c>
    </row>
    <row r="23">
      <c r="A23" s="191" t="s">
        <v>139</v>
      </c>
      <c r="B23" s="191" t="s">
        <v>140</v>
      </c>
      <c r="C23" s="192" t="str">
        <f t="shared" si="9"/>
        <v>TJ 3G30C</v>
      </c>
      <c r="D23" s="193">
        <v>7.0</v>
      </c>
      <c r="E23" s="193">
        <v>0.003018</v>
      </c>
      <c r="F23" s="193">
        <v>2.0</v>
      </c>
      <c r="G23" s="203">
        <v>0.295</v>
      </c>
      <c r="H23" s="179">
        <f t="shared" si="3"/>
        <v>17.02628844</v>
      </c>
      <c r="I23" s="194">
        <f>H23*F9</f>
        <v>15.66418536</v>
      </c>
      <c r="J23" s="194">
        <f>I23-F15</f>
        <v>10.66418536</v>
      </c>
      <c r="K23" s="195">
        <f>I23-F2</f>
        <v>7.439102165</v>
      </c>
      <c r="L23" s="193">
        <f>J23*A2</f>
        <v>10.85693855</v>
      </c>
      <c r="M23" s="193">
        <f>K23*A2</f>
        <v>7.573562568</v>
      </c>
      <c r="N23" s="205" t="str">
        <f t="shared" si="10"/>
        <v>DHV</v>
      </c>
      <c r="O23" s="206">
        <v>0.86</v>
      </c>
      <c r="P23" s="196">
        <f t="shared" si="4"/>
        <v>36.33672</v>
      </c>
      <c r="Q23" s="196"/>
      <c r="R23" s="197">
        <f t="shared" si="5"/>
        <v>1.118870383</v>
      </c>
      <c r="S23" s="197">
        <f>F8/(I23/(D23*F23))</f>
        <v>10.96160133</v>
      </c>
    </row>
    <row r="24">
      <c r="A24" s="191" t="s">
        <v>91</v>
      </c>
      <c r="B24" s="191" t="s">
        <v>127</v>
      </c>
      <c r="C24" s="192" t="str">
        <f t="shared" si="9"/>
        <v>TJ 3G30C</v>
      </c>
      <c r="D24" s="193">
        <v>7.0</v>
      </c>
      <c r="E24" s="193">
        <v>0.003018</v>
      </c>
      <c r="F24" s="193">
        <v>3.0</v>
      </c>
      <c r="G24" s="203">
        <v>0.295</v>
      </c>
      <c r="H24" s="179">
        <f t="shared" si="3"/>
        <v>25.53943266</v>
      </c>
      <c r="I24" s="194">
        <f>H24*F9</f>
        <v>23.49627805</v>
      </c>
      <c r="J24" s="195">
        <f>I24-F1</f>
        <v>16.93684285</v>
      </c>
      <c r="K24" s="195">
        <f>I24-F2</f>
        <v>15.27119485</v>
      </c>
      <c r="L24" s="193">
        <f>J24*A2</f>
        <v>17.24297317</v>
      </c>
      <c r="M24" s="193">
        <f>K24*A2</f>
        <v>15.54721888</v>
      </c>
      <c r="N24" s="205" t="str">
        <f t="shared" si="10"/>
        <v>DHV</v>
      </c>
      <c r="O24" s="206">
        <v>0.86</v>
      </c>
      <c r="P24" s="196">
        <f t="shared" si="4"/>
        <v>54.50508</v>
      </c>
      <c r="Q24" s="196"/>
      <c r="R24" s="197">
        <f t="shared" si="5"/>
        <v>1.118870383</v>
      </c>
      <c r="S24" s="197">
        <f>F8/(I22/D26)</f>
        <v>10.96160133</v>
      </c>
    </row>
    <row r="25">
      <c r="A25" s="191" t="s">
        <v>141</v>
      </c>
      <c r="B25" s="191" t="s">
        <v>136</v>
      </c>
      <c r="C25" s="192" t="str">
        <f t="shared" si="9"/>
        <v>TJ 3G30C</v>
      </c>
      <c r="D25" s="193">
        <v>7.0</v>
      </c>
      <c r="E25" s="193">
        <v>0.003018</v>
      </c>
      <c r="F25" s="193">
        <v>5.0</v>
      </c>
      <c r="G25" s="203">
        <v>0.295</v>
      </c>
      <c r="H25" s="179">
        <f t="shared" si="3"/>
        <v>42.5657211</v>
      </c>
      <c r="I25" s="194">
        <f>H25*F9</f>
        <v>39.16046341</v>
      </c>
      <c r="J25" s="195">
        <f>I25-F1</f>
        <v>32.60102821</v>
      </c>
      <c r="K25" s="195">
        <f>I25-F2</f>
        <v>30.93538021</v>
      </c>
      <c r="L25" s="193">
        <f>J25*A2</f>
        <v>33.1902858</v>
      </c>
      <c r="M25" s="193">
        <f>K25*A2</f>
        <v>31.49453152</v>
      </c>
      <c r="N25" s="205" t="str">
        <f t="shared" si="10"/>
        <v>DHV</v>
      </c>
      <c r="O25" s="206">
        <v>0.86</v>
      </c>
      <c r="P25" s="196">
        <f t="shared" si="4"/>
        <v>90.8418</v>
      </c>
      <c r="Q25" s="196"/>
      <c r="R25" s="197">
        <f t="shared" si="5"/>
        <v>1.118870383</v>
      </c>
      <c r="S25" s="197">
        <f>F8/(I22/D26)</f>
        <v>10.96160133</v>
      </c>
    </row>
    <row r="26">
      <c r="A26" s="191" t="s">
        <v>142</v>
      </c>
      <c r="B26" s="191" t="s">
        <v>131</v>
      </c>
      <c r="C26" s="192" t="str">
        <f t="shared" si="9"/>
        <v>TJ 3G30C</v>
      </c>
      <c r="D26" s="193">
        <v>7.0</v>
      </c>
      <c r="E26" s="193">
        <v>0.003018</v>
      </c>
      <c r="F26" s="193">
        <v>6.0</v>
      </c>
      <c r="G26" s="203">
        <v>0.295</v>
      </c>
      <c r="H26" s="179">
        <f t="shared" si="3"/>
        <v>51.07886532</v>
      </c>
      <c r="I26" s="194">
        <f>H26*F9</f>
        <v>46.99255609</v>
      </c>
      <c r="J26" s="207">
        <f>H26-F1</f>
        <v>44.51943012</v>
      </c>
      <c r="K26" s="195">
        <f>I26-F2</f>
        <v>38.76747289</v>
      </c>
      <c r="L26" s="193">
        <f>J26*A2</f>
        <v>45.32411063</v>
      </c>
      <c r="M26" s="193">
        <f>K26*A2</f>
        <v>39.46818783</v>
      </c>
      <c r="N26" s="205" t="str">
        <f t="shared" si="10"/>
        <v>DHV</v>
      </c>
      <c r="O26" s="206">
        <v>0.86</v>
      </c>
      <c r="P26" s="196">
        <f t="shared" si="4"/>
        <v>109.01016</v>
      </c>
      <c r="Q26" s="196"/>
      <c r="R26" s="197">
        <f t="shared" si="5"/>
        <v>1.118870383</v>
      </c>
      <c r="S26" s="197">
        <f>F8/(I22/D26)</f>
        <v>10.96160133</v>
      </c>
    </row>
    <row r="27">
      <c r="A27" s="191" t="s">
        <v>143</v>
      </c>
      <c r="B27" s="191" t="s">
        <v>123</v>
      </c>
      <c r="C27" s="192" t="str">
        <f t="shared" ref="C27:C31" si="11">HYPERLINK("https://www.cesi.it/services/solar_cells/Documents/CTJ30-2015.pdf","CJT30")</f>
        <v>CJT30</v>
      </c>
      <c r="D27" s="193">
        <v>7.0</v>
      </c>
      <c r="E27" s="193">
        <v>0.003015</v>
      </c>
      <c r="F27" s="193">
        <v>1.0</v>
      </c>
      <c r="G27" s="203">
        <v>0.295</v>
      </c>
      <c r="H27" s="179">
        <f t="shared" si="3"/>
        <v>8.50468185</v>
      </c>
      <c r="I27" s="194">
        <f>H27*F9</f>
        <v>7.824307302</v>
      </c>
      <c r="J27" s="194">
        <f>I27-F14</f>
        <v>4.824307302</v>
      </c>
      <c r="K27" s="207">
        <f>H27-F2</f>
        <v>0.27959865</v>
      </c>
      <c r="L27" s="204">
        <f>J27*A2</f>
        <v>4.911505769</v>
      </c>
      <c r="M27" s="193">
        <f>K27*A2</f>
        <v>0.2846523442</v>
      </c>
      <c r="N27" s="205" t="str">
        <f t="shared" ref="N27:N31" si="12">HYPERLINK("https://www.endurosat.com/products/cubesat-3u-solar-panel-x-y/","Endurosat")</f>
        <v>Endurosat</v>
      </c>
      <c r="O27" s="193">
        <v>0.87</v>
      </c>
      <c r="P27" s="196">
        <f t="shared" si="4"/>
        <v>18.36135</v>
      </c>
      <c r="Q27" s="196"/>
      <c r="R27" s="197">
        <f t="shared" si="5"/>
        <v>1.117758186</v>
      </c>
      <c r="S27" s="197">
        <f>F8/(I27/D31)</f>
        <v>10.97250839</v>
      </c>
    </row>
    <row r="28">
      <c r="A28" s="191" t="s">
        <v>144</v>
      </c>
      <c r="B28" s="191" t="s">
        <v>125</v>
      </c>
      <c r="C28" s="192" t="str">
        <f t="shared" si="11"/>
        <v>CJT30</v>
      </c>
      <c r="D28" s="193">
        <v>7.0</v>
      </c>
      <c r="E28" s="206">
        <v>0.003015</v>
      </c>
      <c r="F28" s="193">
        <v>2.0</v>
      </c>
      <c r="G28" s="203">
        <v>0.295</v>
      </c>
      <c r="H28" s="179">
        <f t="shared" si="3"/>
        <v>17.0093637</v>
      </c>
      <c r="I28" s="194">
        <f>H28*F9</f>
        <v>15.6486146</v>
      </c>
      <c r="J28" s="195">
        <f>I28-F1</f>
        <v>9.089179404</v>
      </c>
      <c r="K28" s="195">
        <f>I28-F2</f>
        <v>7.423531404</v>
      </c>
      <c r="L28" s="193">
        <f>J28*A2</f>
        <v>9.253464649</v>
      </c>
      <c r="M28" s="193">
        <f>K28*A2</f>
        <v>7.557710368</v>
      </c>
      <c r="N28" s="208" t="str">
        <f t="shared" si="12"/>
        <v>Endurosat</v>
      </c>
      <c r="O28" s="206">
        <v>0.87</v>
      </c>
      <c r="P28" s="196">
        <f t="shared" si="4"/>
        <v>36.7227</v>
      </c>
      <c r="Q28" s="196"/>
      <c r="R28" s="197">
        <f t="shared" si="5"/>
        <v>1.117758186</v>
      </c>
      <c r="S28" s="197">
        <f>F8/(I27/D31)</f>
        <v>10.97250839</v>
      </c>
    </row>
    <row r="29">
      <c r="A29" s="191" t="s">
        <v>145</v>
      </c>
      <c r="B29" s="191" t="s">
        <v>127</v>
      </c>
      <c r="C29" s="192" t="str">
        <f t="shared" si="11"/>
        <v>CJT30</v>
      </c>
      <c r="D29" s="193">
        <v>7.0</v>
      </c>
      <c r="E29" s="206">
        <v>0.003015</v>
      </c>
      <c r="F29" s="193">
        <v>3.0</v>
      </c>
      <c r="G29" s="203">
        <v>0.295</v>
      </c>
      <c r="H29" s="179">
        <f t="shared" si="3"/>
        <v>25.51404555</v>
      </c>
      <c r="I29" s="194">
        <f>H29*F9</f>
        <v>23.47292191</v>
      </c>
      <c r="J29" s="195">
        <f>I29-F1</f>
        <v>16.91348671</v>
      </c>
      <c r="K29" s="195">
        <f>I29-F2</f>
        <v>15.24783871</v>
      </c>
      <c r="L29" s="193">
        <f>J29*A2</f>
        <v>17.21919487</v>
      </c>
      <c r="M29" s="193">
        <f>K29*A2</f>
        <v>15.52344059</v>
      </c>
      <c r="N29" s="209" t="str">
        <f t="shared" si="12"/>
        <v>Endurosat</v>
      </c>
      <c r="O29" s="206">
        <v>0.87</v>
      </c>
      <c r="P29" s="196">
        <f t="shared" si="4"/>
        <v>55.08405</v>
      </c>
      <c r="Q29" s="196"/>
      <c r="R29" s="197">
        <f t="shared" si="5"/>
        <v>1.117758186</v>
      </c>
      <c r="S29" s="197">
        <f>F8/(I27/D31)</f>
        <v>10.97250839</v>
      </c>
    </row>
    <row r="30">
      <c r="A30" s="191" t="s">
        <v>146</v>
      </c>
      <c r="B30" s="191" t="s">
        <v>136</v>
      </c>
      <c r="C30" s="192" t="str">
        <f t="shared" si="11"/>
        <v>CJT30</v>
      </c>
      <c r="D30" s="193">
        <v>7.0</v>
      </c>
      <c r="E30" s="206">
        <v>0.003015</v>
      </c>
      <c r="F30" s="193">
        <v>5.0</v>
      </c>
      <c r="G30" s="203">
        <v>0.295</v>
      </c>
      <c r="H30" s="179">
        <f t="shared" si="3"/>
        <v>42.52340925</v>
      </c>
      <c r="I30" s="194">
        <f>H30*F9</f>
        <v>39.12153651</v>
      </c>
      <c r="J30" s="195">
        <f>I30-F1</f>
        <v>32.56210131</v>
      </c>
      <c r="K30" s="195">
        <f>I30-F2</f>
        <v>30.89645331</v>
      </c>
      <c r="L30" s="193">
        <f>J30*A2</f>
        <v>33.1506553</v>
      </c>
      <c r="M30" s="193">
        <f>K30*A2</f>
        <v>31.45490102</v>
      </c>
      <c r="N30" s="209" t="str">
        <f t="shared" si="12"/>
        <v>Endurosat</v>
      </c>
      <c r="O30" s="206">
        <v>0.87</v>
      </c>
      <c r="P30" s="196">
        <f t="shared" si="4"/>
        <v>91.80675</v>
      </c>
      <c r="Q30" s="196"/>
      <c r="R30" s="197">
        <f t="shared" si="5"/>
        <v>1.117758186</v>
      </c>
      <c r="S30" s="197">
        <f>F8/(I27/D31)</f>
        <v>10.97250839</v>
      </c>
    </row>
    <row r="31">
      <c r="A31" s="191" t="s">
        <v>147</v>
      </c>
      <c r="B31" s="191" t="s">
        <v>131</v>
      </c>
      <c r="C31" s="192" t="str">
        <f t="shared" si="11"/>
        <v>CJT30</v>
      </c>
      <c r="D31" s="193">
        <v>7.0</v>
      </c>
      <c r="E31" s="206">
        <v>0.003015</v>
      </c>
      <c r="F31" s="193">
        <v>6.0</v>
      </c>
      <c r="G31" s="203">
        <v>0.295</v>
      </c>
      <c r="H31" s="179">
        <f t="shared" si="3"/>
        <v>51.0280911</v>
      </c>
      <c r="I31" s="194">
        <f>H31*F9</f>
        <v>46.94584381</v>
      </c>
      <c r="J31" s="195">
        <f>I31-F1</f>
        <v>40.38640861</v>
      </c>
      <c r="K31" s="195">
        <f>I31-F2</f>
        <v>38.72076061</v>
      </c>
      <c r="L31" s="193">
        <f>J31*A2</f>
        <v>41.11638552</v>
      </c>
      <c r="M31" s="193">
        <f>K31*A2</f>
        <v>39.42063124</v>
      </c>
      <c r="N31" s="209" t="str">
        <f t="shared" si="12"/>
        <v>Endurosat</v>
      </c>
      <c r="O31" s="206">
        <v>0.85</v>
      </c>
      <c r="P31" s="196">
        <f t="shared" si="4"/>
        <v>107.6355</v>
      </c>
      <c r="Q31" s="196"/>
      <c r="R31" s="197">
        <f t="shared" si="5"/>
        <v>1.117758186</v>
      </c>
      <c r="S31" s="197">
        <f>F8/(I27/D31)</f>
        <v>10.97250839</v>
      </c>
    </row>
    <row r="32">
      <c r="A32" s="167"/>
      <c r="C32" s="176"/>
      <c r="H32" s="178"/>
      <c r="R32" s="169"/>
      <c r="S32" s="169"/>
    </row>
    <row r="33">
      <c r="A33" s="210"/>
      <c r="B33" s="167"/>
      <c r="C33" s="176"/>
      <c r="H33" s="178"/>
      <c r="R33" s="169"/>
      <c r="S33" s="169"/>
    </row>
    <row r="34">
      <c r="A34" s="211"/>
      <c r="B34" s="212"/>
      <c r="C34" s="211"/>
      <c r="D34" s="211"/>
      <c r="E34" s="176"/>
      <c r="H34" s="178"/>
      <c r="R34" s="169"/>
      <c r="S34" s="169"/>
    </row>
    <row r="35">
      <c r="A35" s="213"/>
      <c r="B35" s="167"/>
      <c r="C35" s="213"/>
      <c r="D35" s="213"/>
      <c r="E35" s="6"/>
      <c r="G35" s="213"/>
      <c r="H35" s="214"/>
      <c r="I35" s="215"/>
      <c r="J35" s="213"/>
      <c r="K35" s="213"/>
      <c r="L35" s="215"/>
      <c r="M35" s="167"/>
      <c r="N35" s="216"/>
      <c r="O35" s="216"/>
      <c r="P35" s="216"/>
      <c r="Q35" s="216"/>
      <c r="R35" s="217"/>
      <c r="S35" s="217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16"/>
      <c r="AE35" s="216"/>
      <c r="AF35" s="216"/>
      <c r="AG35" s="216"/>
      <c r="AH35" s="216"/>
    </row>
    <row r="36">
      <c r="A36" s="211"/>
      <c r="B36" s="211"/>
      <c r="C36" s="211"/>
      <c r="D36" s="168"/>
      <c r="E36" s="168"/>
      <c r="F36" s="168"/>
      <c r="G36" s="168"/>
      <c r="H36" s="218"/>
      <c r="I36" s="168"/>
      <c r="J36" s="211"/>
      <c r="K36" s="168"/>
      <c r="M36" s="168"/>
      <c r="R36" s="169"/>
      <c r="S36" s="169"/>
    </row>
    <row r="37">
      <c r="A37" s="211"/>
      <c r="B37" s="211"/>
      <c r="C37" s="211"/>
      <c r="D37" s="168"/>
      <c r="E37" s="168"/>
      <c r="F37" s="168"/>
      <c r="G37" s="168"/>
      <c r="H37" s="218"/>
      <c r="I37" s="168"/>
      <c r="J37" s="211"/>
      <c r="K37" s="168"/>
      <c r="M37" s="168"/>
      <c r="R37" s="169"/>
      <c r="S37" s="169"/>
    </row>
    <row r="38">
      <c r="A38" s="211"/>
      <c r="B38" s="211"/>
      <c r="C38" s="176"/>
      <c r="H38" s="218"/>
      <c r="J38" s="176"/>
      <c r="R38" s="169"/>
      <c r="S38" s="169"/>
    </row>
    <row r="39">
      <c r="A39" s="211"/>
      <c r="B39" s="211"/>
      <c r="C39" s="211"/>
      <c r="D39" s="168"/>
      <c r="E39" s="168"/>
      <c r="F39" s="168"/>
      <c r="G39" s="168"/>
      <c r="H39" s="218"/>
      <c r="I39" s="168"/>
      <c r="J39" s="211"/>
      <c r="K39" s="168"/>
      <c r="M39" s="168"/>
      <c r="R39" s="169"/>
      <c r="S39" s="169"/>
    </row>
    <row r="40">
      <c r="A40" s="211"/>
      <c r="B40" s="211"/>
      <c r="C40" s="211"/>
      <c r="D40" s="168"/>
      <c r="E40" s="168"/>
      <c r="F40" s="168"/>
      <c r="G40" s="168"/>
      <c r="H40" s="218"/>
      <c r="I40" s="168"/>
      <c r="J40" s="211"/>
      <c r="K40" s="168"/>
      <c r="M40" s="168"/>
      <c r="R40" s="169"/>
      <c r="S40" s="169"/>
    </row>
    <row r="41">
      <c r="A41" s="211"/>
      <c r="B41" s="176"/>
      <c r="C41" s="176"/>
      <c r="H41" s="219"/>
      <c r="J41" s="176"/>
      <c r="R41" s="169"/>
      <c r="S41" s="169"/>
    </row>
    <row r="42">
      <c r="A42" s="176"/>
      <c r="B42" s="176"/>
      <c r="C42" s="176"/>
      <c r="H42" s="178"/>
      <c r="R42" s="169"/>
      <c r="S42" s="169"/>
    </row>
    <row r="43">
      <c r="A43" s="176"/>
      <c r="B43" s="176"/>
      <c r="C43" s="176"/>
      <c r="H43" s="178"/>
      <c r="R43" s="169"/>
      <c r="S43" s="169"/>
    </row>
    <row r="44">
      <c r="A44" s="176"/>
      <c r="B44" s="176"/>
      <c r="C44" s="176"/>
      <c r="H44" s="178"/>
      <c r="R44" s="169"/>
      <c r="S44" s="169"/>
    </row>
    <row r="45">
      <c r="A45" s="176"/>
      <c r="B45" s="176"/>
      <c r="C45" s="176"/>
      <c r="H45" s="178"/>
      <c r="R45" s="169"/>
      <c r="S45" s="169"/>
    </row>
    <row r="46">
      <c r="A46" s="176"/>
      <c r="B46" s="176"/>
      <c r="C46" s="176"/>
      <c r="H46" s="178"/>
      <c r="R46" s="169"/>
      <c r="S46" s="169"/>
    </row>
    <row r="47">
      <c r="A47" s="176"/>
      <c r="B47" s="176"/>
      <c r="C47" s="176"/>
      <c r="H47" s="178"/>
      <c r="R47" s="169"/>
      <c r="S47" s="169"/>
    </row>
    <row r="48">
      <c r="A48" s="176"/>
      <c r="B48" s="176"/>
      <c r="C48" s="176"/>
      <c r="H48" s="178"/>
      <c r="R48" s="169"/>
      <c r="S48" s="169"/>
    </row>
    <row r="49">
      <c r="A49" s="176"/>
      <c r="B49" s="176"/>
      <c r="C49" s="176"/>
      <c r="H49" s="178"/>
      <c r="R49" s="169"/>
      <c r="S49" s="169"/>
    </row>
    <row r="50">
      <c r="A50" s="176"/>
      <c r="B50" s="176"/>
      <c r="C50" s="176"/>
      <c r="H50" s="178"/>
      <c r="R50" s="169"/>
      <c r="S50" s="169"/>
    </row>
    <row r="51">
      <c r="A51" s="176"/>
      <c r="B51" s="176"/>
      <c r="C51" s="176"/>
      <c r="H51" s="178"/>
      <c r="R51" s="169"/>
      <c r="S51" s="169"/>
    </row>
    <row r="52">
      <c r="A52" s="176"/>
      <c r="B52" s="176"/>
      <c r="C52" s="176"/>
      <c r="H52" s="178"/>
      <c r="R52" s="169"/>
      <c r="S52" s="169"/>
    </row>
    <row r="53">
      <c r="A53" s="176"/>
      <c r="B53" s="176"/>
      <c r="C53" s="176"/>
      <c r="H53" s="178"/>
      <c r="R53" s="169"/>
      <c r="S53" s="169"/>
    </row>
    <row r="54">
      <c r="A54" s="176"/>
      <c r="B54" s="176"/>
      <c r="C54" s="176"/>
      <c r="H54" s="178"/>
      <c r="R54" s="169"/>
      <c r="S54" s="169"/>
    </row>
    <row r="55">
      <c r="A55" s="176"/>
      <c r="B55" s="176"/>
      <c r="C55" s="176"/>
      <c r="H55" s="178"/>
      <c r="R55" s="169"/>
      <c r="S55" s="169"/>
    </row>
    <row r="56">
      <c r="A56" s="176"/>
      <c r="B56" s="176"/>
      <c r="C56" s="176"/>
      <c r="H56" s="178"/>
      <c r="R56" s="169"/>
      <c r="S56" s="169"/>
    </row>
    <row r="57">
      <c r="A57" s="176"/>
      <c r="B57" s="176"/>
      <c r="C57" s="176"/>
      <c r="H57" s="178"/>
      <c r="R57" s="169"/>
      <c r="S57" s="169"/>
    </row>
    <row r="58">
      <c r="A58" s="176"/>
      <c r="B58" s="176"/>
      <c r="C58" s="176"/>
      <c r="H58" s="178"/>
      <c r="R58" s="169"/>
      <c r="S58" s="169"/>
    </row>
    <row r="59">
      <c r="A59" s="176"/>
      <c r="B59" s="176"/>
      <c r="C59" s="176"/>
      <c r="H59" s="178"/>
      <c r="R59" s="169"/>
      <c r="S59" s="169"/>
    </row>
    <row r="60">
      <c r="A60" s="176"/>
      <c r="B60" s="176"/>
      <c r="C60" s="176"/>
      <c r="H60" s="178"/>
      <c r="R60" s="169"/>
      <c r="S60" s="169"/>
    </row>
    <row r="61">
      <c r="A61" s="176"/>
      <c r="B61" s="176"/>
      <c r="C61" s="176"/>
      <c r="H61" s="178"/>
      <c r="R61" s="169"/>
      <c r="S61" s="169"/>
    </row>
    <row r="62">
      <c r="A62" s="176"/>
      <c r="B62" s="176"/>
      <c r="C62" s="176"/>
      <c r="H62" s="178"/>
      <c r="R62" s="169"/>
      <c r="S62" s="169"/>
    </row>
    <row r="63">
      <c r="A63" s="176"/>
      <c r="B63" s="176"/>
      <c r="C63" s="176"/>
      <c r="H63" s="178"/>
      <c r="R63" s="169"/>
      <c r="S63" s="169"/>
    </row>
    <row r="64">
      <c r="A64" s="176"/>
      <c r="B64" s="176"/>
      <c r="C64" s="176"/>
      <c r="H64" s="178"/>
      <c r="R64" s="169"/>
      <c r="S64" s="169"/>
    </row>
    <row r="65">
      <c r="A65" s="176"/>
      <c r="B65" s="176"/>
      <c r="C65" s="176"/>
      <c r="H65" s="178"/>
      <c r="R65" s="169"/>
      <c r="S65" s="169"/>
    </row>
    <row r="66">
      <c r="A66" s="176"/>
      <c r="B66" s="176"/>
      <c r="C66" s="176"/>
      <c r="H66" s="178"/>
      <c r="R66" s="169"/>
      <c r="S66" s="169"/>
    </row>
    <row r="67">
      <c r="A67" s="176"/>
      <c r="B67" s="176"/>
      <c r="C67" s="176"/>
      <c r="H67" s="178"/>
      <c r="R67" s="169"/>
      <c r="S67" s="169"/>
    </row>
    <row r="68">
      <c r="A68" s="176"/>
      <c r="B68" s="176"/>
      <c r="C68" s="176"/>
      <c r="H68" s="178"/>
      <c r="R68" s="169"/>
      <c r="S68" s="169"/>
    </row>
    <row r="69">
      <c r="A69" s="176"/>
      <c r="B69" s="176"/>
      <c r="C69" s="176"/>
      <c r="H69" s="178"/>
      <c r="R69" s="169"/>
      <c r="S69" s="169"/>
    </row>
    <row r="70">
      <c r="A70" s="176"/>
      <c r="B70" s="176"/>
      <c r="C70" s="176"/>
      <c r="H70" s="178"/>
      <c r="R70" s="169"/>
      <c r="S70" s="169"/>
    </row>
    <row r="71">
      <c r="A71" s="176"/>
      <c r="B71" s="176"/>
      <c r="C71" s="176"/>
      <c r="H71" s="178"/>
      <c r="R71" s="169"/>
      <c r="S71" s="169"/>
    </row>
    <row r="72">
      <c r="A72" s="176"/>
      <c r="B72" s="176"/>
      <c r="C72" s="176"/>
      <c r="H72" s="178"/>
      <c r="R72" s="169"/>
      <c r="S72" s="169"/>
    </row>
    <row r="73">
      <c r="A73" s="176"/>
      <c r="B73" s="176"/>
      <c r="C73" s="176"/>
      <c r="H73" s="178"/>
      <c r="R73" s="169"/>
      <c r="S73" s="169"/>
    </row>
    <row r="74">
      <c r="A74" s="176"/>
      <c r="B74" s="176"/>
      <c r="C74" s="176"/>
      <c r="H74" s="178"/>
      <c r="R74" s="169"/>
      <c r="S74" s="169"/>
    </row>
    <row r="75">
      <c r="A75" s="176"/>
      <c r="B75" s="176"/>
      <c r="C75" s="176"/>
      <c r="H75" s="178"/>
      <c r="R75" s="169"/>
      <c r="S75" s="169"/>
    </row>
    <row r="76">
      <c r="A76" s="176"/>
      <c r="B76" s="176"/>
      <c r="C76" s="176"/>
      <c r="H76" s="178"/>
      <c r="R76" s="169"/>
      <c r="S76" s="169"/>
    </row>
    <row r="77">
      <c r="A77" s="176"/>
      <c r="B77" s="176"/>
      <c r="C77" s="176"/>
      <c r="H77" s="178"/>
      <c r="R77" s="169"/>
      <c r="S77" s="169"/>
    </row>
    <row r="78">
      <c r="A78" s="176"/>
      <c r="B78" s="176"/>
      <c r="C78" s="176"/>
      <c r="H78" s="178"/>
      <c r="R78" s="169"/>
      <c r="S78" s="169"/>
    </row>
    <row r="79">
      <c r="A79" s="176"/>
      <c r="B79" s="176"/>
      <c r="C79" s="176"/>
      <c r="H79" s="178"/>
      <c r="R79" s="169"/>
      <c r="S79" s="169"/>
    </row>
    <row r="80">
      <c r="A80" s="176"/>
      <c r="B80" s="176"/>
      <c r="C80" s="176"/>
      <c r="H80" s="178"/>
      <c r="R80" s="169"/>
      <c r="S80" s="169"/>
    </row>
    <row r="81">
      <c r="A81" s="176"/>
      <c r="B81" s="176"/>
      <c r="C81" s="176"/>
      <c r="H81" s="178"/>
      <c r="R81" s="169"/>
      <c r="S81" s="169"/>
    </row>
    <row r="82">
      <c r="A82" s="176"/>
      <c r="B82" s="176"/>
      <c r="C82" s="176"/>
      <c r="H82" s="178"/>
      <c r="R82" s="169"/>
      <c r="S82" s="169"/>
    </row>
    <row r="83">
      <c r="A83" s="176"/>
      <c r="B83" s="176"/>
      <c r="C83" s="176"/>
      <c r="H83" s="178"/>
      <c r="R83" s="169"/>
      <c r="S83" s="169"/>
    </row>
    <row r="84">
      <c r="A84" s="176"/>
      <c r="B84" s="176"/>
      <c r="C84" s="176"/>
      <c r="H84" s="178"/>
      <c r="R84" s="169"/>
      <c r="S84" s="169"/>
    </row>
    <row r="85">
      <c r="A85" s="176"/>
      <c r="B85" s="176"/>
      <c r="C85" s="176"/>
      <c r="H85" s="178"/>
      <c r="R85" s="169"/>
      <c r="S85" s="169"/>
    </row>
    <row r="86">
      <c r="A86" s="176"/>
      <c r="B86" s="176"/>
      <c r="C86" s="176"/>
      <c r="H86" s="178"/>
      <c r="R86" s="169"/>
      <c r="S86" s="169"/>
    </row>
    <row r="87">
      <c r="A87" s="176"/>
      <c r="B87" s="176"/>
      <c r="C87" s="176"/>
      <c r="H87" s="178"/>
      <c r="R87" s="169"/>
      <c r="S87" s="169"/>
    </row>
    <row r="88">
      <c r="A88" s="176"/>
      <c r="B88" s="176"/>
      <c r="C88" s="176"/>
      <c r="H88" s="178"/>
      <c r="R88" s="169"/>
      <c r="S88" s="169"/>
    </row>
    <row r="89">
      <c r="A89" s="176"/>
      <c r="B89" s="176"/>
      <c r="C89" s="176"/>
      <c r="H89" s="178"/>
      <c r="R89" s="169"/>
      <c r="S89" s="169"/>
    </row>
    <row r="90">
      <c r="A90" s="176"/>
      <c r="B90" s="176"/>
      <c r="C90" s="176"/>
      <c r="H90" s="178"/>
      <c r="R90" s="169"/>
      <c r="S90" s="169"/>
    </row>
    <row r="91">
      <c r="A91" s="176"/>
      <c r="B91" s="176"/>
      <c r="C91" s="176"/>
      <c r="H91" s="178"/>
      <c r="R91" s="169"/>
      <c r="S91" s="169"/>
    </row>
    <row r="92">
      <c r="A92" s="176"/>
      <c r="B92" s="176"/>
      <c r="C92" s="176"/>
      <c r="H92" s="178"/>
      <c r="R92" s="169"/>
      <c r="S92" s="169"/>
    </row>
    <row r="93">
      <c r="A93" s="176"/>
      <c r="B93" s="176"/>
      <c r="C93" s="176"/>
      <c r="H93" s="178"/>
      <c r="R93" s="169"/>
      <c r="S93" s="169"/>
    </row>
    <row r="94">
      <c r="A94" s="176"/>
      <c r="B94" s="176"/>
      <c r="C94" s="176"/>
      <c r="H94" s="178"/>
      <c r="R94" s="169"/>
      <c r="S94" s="169"/>
    </row>
    <row r="95">
      <c r="A95" s="176"/>
      <c r="B95" s="176"/>
      <c r="C95" s="176"/>
      <c r="H95" s="178"/>
      <c r="R95" s="169"/>
      <c r="S95" s="169"/>
    </row>
    <row r="96">
      <c r="A96" s="176"/>
      <c r="B96" s="176"/>
      <c r="C96" s="176"/>
      <c r="H96" s="178"/>
      <c r="R96" s="169"/>
      <c r="S96" s="169"/>
    </row>
    <row r="97">
      <c r="A97" s="176"/>
      <c r="B97" s="176"/>
      <c r="C97" s="176"/>
      <c r="H97" s="178"/>
      <c r="R97" s="169"/>
      <c r="S97" s="169"/>
    </row>
    <row r="98">
      <c r="A98" s="176"/>
      <c r="B98" s="176"/>
      <c r="C98" s="176"/>
      <c r="H98" s="178"/>
      <c r="R98" s="169"/>
      <c r="S98" s="169"/>
    </row>
    <row r="99">
      <c r="A99" s="176"/>
      <c r="B99" s="176"/>
      <c r="C99" s="176"/>
      <c r="H99" s="178"/>
      <c r="R99" s="169"/>
      <c r="S99" s="169"/>
    </row>
    <row r="100">
      <c r="A100" s="176"/>
      <c r="B100" s="176"/>
      <c r="C100" s="176"/>
      <c r="H100" s="178"/>
      <c r="R100" s="169"/>
      <c r="S100" s="169"/>
    </row>
    <row r="101">
      <c r="A101" s="176"/>
      <c r="B101" s="176"/>
      <c r="C101" s="176"/>
      <c r="H101" s="178"/>
      <c r="R101" s="169"/>
      <c r="S101" s="169"/>
    </row>
    <row r="102">
      <c r="A102" s="176"/>
      <c r="B102" s="176"/>
      <c r="C102" s="176"/>
      <c r="H102" s="178"/>
      <c r="R102" s="169"/>
      <c r="S102" s="169"/>
    </row>
    <row r="103">
      <c r="A103" s="176"/>
      <c r="B103" s="176"/>
      <c r="C103" s="176"/>
      <c r="H103" s="178"/>
      <c r="R103" s="169"/>
      <c r="S103" s="169"/>
    </row>
    <row r="104">
      <c r="A104" s="176"/>
      <c r="B104" s="176"/>
      <c r="C104" s="176"/>
      <c r="H104" s="178"/>
      <c r="R104" s="169"/>
      <c r="S104" s="169"/>
    </row>
    <row r="105">
      <c r="A105" s="176"/>
      <c r="B105" s="176"/>
      <c r="C105" s="176"/>
      <c r="H105" s="178"/>
      <c r="R105" s="169"/>
      <c r="S105" s="169"/>
    </row>
    <row r="106">
      <c r="A106" s="176"/>
      <c r="B106" s="176"/>
      <c r="C106" s="176"/>
      <c r="H106" s="178"/>
      <c r="R106" s="169"/>
      <c r="S106" s="169"/>
    </row>
    <row r="107">
      <c r="A107" s="176"/>
      <c r="B107" s="176"/>
      <c r="C107" s="176"/>
      <c r="H107" s="178"/>
      <c r="R107" s="169"/>
      <c r="S107" s="169"/>
    </row>
    <row r="108">
      <c r="A108" s="176"/>
      <c r="B108" s="176"/>
      <c r="C108" s="176"/>
      <c r="H108" s="178"/>
      <c r="R108" s="169"/>
      <c r="S108" s="169"/>
    </row>
    <row r="109">
      <c r="A109" s="176"/>
      <c r="B109" s="176"/>
      <c r="C109" s="176"/>
      <c r="H109" s="178"/>
      <c r="R109" s="169"/>
      <c r="S109" s="169"/>
    </row>
    <row r="110">
      <c r="A110" s="176"/>
      <c r="B110" s="176"/>
      <c r="C110" s="176"/>
      <c r="H110" s="178"/>
      <c r="R110" s="169"/>
      <c r="S110" s="169"/>
    </row>
    <row r="111">
      <c r="A111" s="176"/>
      <c r="B111" s="176"/>
      <c r="C111" s="176"/>
      <c r="H111" s="178"/>
      <c r="R111" s="169"/>
      <c r="S111" s="169"/>
    </row>
    <row r="112">
      <c r="A112" s="176"/>
      <c r="B112" s="176"/>
      <c r="C112" s="176"/>
      <c r="H112" s="178"/>
      <c r="R112" s="169"/>
      <c r="S112" s="169"/>
    </row>
    <row r="113">
      <c r="A113" s="176"/>
      <c r="B113" s="176"/>
      <c r="C113" s="176"/>
      <c r="H113" s="178"/>
      <c r="R113" s="169"/>
      <c r="S113" s="169"/>
    </row>
    <row r="114">
      <c r="A114" s="176"/>
      <c r="B114" s="176"/>
      <c r="C114" s="176"/>
      <c r="H114" s="178"/>
      <c r="R114" s="169"/>
      <c r="S114" s="169"/>
    </row>
    <row r="115">
      <c r="A115" s="176"/>
      <c r="B115" s="176"/>
      <c r="C115" s="176"/>
      <c r="H115" s="178"/>
      <c r="R115" s="169"/>
      <c r="S115" s="169"/>
    </row>
    <row r="116">
      <c r="A116" s="176"/>
      <c r="B116" s="176"/>
      <c r="C116" s="176"/>
      <c r="H116" s="178"/>
      <c r="R116" s="169"/>
      <c r="S116" s="169"/>
    </row>
    <row r="117">
      <c r="A117" s="176"/>
      <c r="B117" s="176"/>
      <c r="C117" s="176"/>
      <c r="H117" s="178"/>
      <c r="R117" s="169"/>
      <c r="S117" s="169"/>
    </row>
    <row r="118">
      <c r="A118" s="176"/>
      <c r="B118" s="176"/>
      <c r="C118" s="176"/>
      <c r="H118" s="178"/>
      <c r="R118" s="169"/>
      <c r="S118" s="169"/>
    </row>
    <row r="119">
      <c r="A119" s="176"/>
      <c r="B119" s="176"/>
      <c r="C119" s="176"/>
      <c r="H119" s="178"/>
      <c r="R119" s="169"/>
      <c r="S119" s="169"/>
    </row>
    <row r="120">
      <c r="A120" s="176"/>
      <c r="B120" s="176"/>
      <c r="C120" s="176"/>
      <c r="H120" s="178"/>
      <c r="R120" s="169"/>
      <c r="S120" s="169"/>
    </row>
    <row r="121">
      <c r="A121" s="176"/>
      <c r="B121" s="176"/>
      <c r="C121" s="176"/>
      <c r="H121" s="178"/>
      <c r="R121" s="169"/>
      <c r="S121" s="169"/>
    </row>
    <row r="122">
      <c r="A122" s="176"/>
      <c r="B122" s="176"/>
      <c r="C122" s="176"/>
      <c r="H122" s="178"/>
      <c r="R122" s="169"/>
      <c r="S122" s="169"/>
    </row>
    <row r="123">
      <c r="A123" s="176"/>
      <c r="B123" s="176"/>
      <c r="C123" s="176"/>
      <c r="H123" s="178"/>
      <c r="R123" s="169"/>
      <c r="S123" s="169"/>
    </row>
    <row r="124">
      <c r="A124" s="176"/>
      <c r="B124" s="176"/>
      <c r="C124" s="176"/>
      <c r="H124" s="178"/>
      <c r="R124" s="169"/>
      <c r="S124" s="169"/>
    </row>
    <row r="125">
      <c r="A125" s="176"/>
      <c r="B125" s="176"/>
      <c r="C125" s="176"/>
      <c r="H125" s="178"/>
      <c r="R125" s="169"/>
      <c r="S125" s="169"/>
    </row>
    <row r="126">
      <c r="A126" s="176"/>
      <c r="B126" s="176"/>
      <c r="C126" s="176"/>
      <c r="H126" s="178"/>
      <c r="R126" s="169"/>
      <c r="S126" s="169"/>
    </row>
    <row r="127">
      <c r="A127" s="176"/>
      <c r="B127" s="176"/>
      <c r="C127" s="176"/>
      <c r="H127" s="178"/>
      <c r="R127" s="169"/>
      <c r="S127" s="169"/>
    </row>
    <row r="128">
      <c r="A128" s="176"/>
      <c r="B128" s="176"/>
      <c r="C128" s="176"/>
      <c r="H128" s="178"/>
      <c r="R128" s="169"/>
      <c r="S128" s="169"/>
    </row>
    <row r="129">
      <c r="A129" s="176"/>
      <c r="B129" s="176"/>
      <c r="C129" s="176"/>
      <c r="H129" s="178"/>
      <c r="R129" s="169"/>
      <c r="S129" s="169"/>
    </row>
    <row r="130">
      <c r="A130" s="176"/>
      <c r="B130" s="176"/>
      <c r="C130" s="176"/>
      <c r="H130" s="178"/>
      <c r="R130" s="169"/>
      <c r="S130" s="169"/>
    </row>
    <row r="131">
      <c r="A131" s="176"/>
      <c r="B131" s="176"/>
      <c r="C131" s="176"/>
      <c r="H131" s="178"/>
      <c r="R131" s="169"/>
      <c r="S131" s="169"/>
    </row>
    <row r="132">
      <c r="A132" s="176"/>
      <c r="B132" s="176"/>
      <c r="C132" s="176"/>
      <c r="H132" s="178"/>
      <c r="R132" s="169"/>
      <c r="S132" s="169"/>
    </row>
    <row r="133">
      <c r="A133" s="176"/>
      <c r="B133" s="176"/>
      <c r="C133" s="176"/>
      <c r="H133" s="178"/>
      <c r="R133" s="169"/>
      <c r="S133" s="169"/>
    </row>
    <row r="134">
      <c r="A134" s="176"/>
      <c r="B134" s="176"/>
      <c r="C134" s="176"/>
      <c r="H134" s="178"/>
      <c r="R134" s="169"/>
      <c r="S134" s="169"/>
    </row>
    <row r="135">
      <c r="A135" s="176"/>
      <c r="B135" s="176"/>
      <c r="C135" s="176"/>
      <c r="H135" s="178"/>
      <c r="R135" s="169"/>
      <c r="S135" s="169"/>
    </row>
    <row r="136">
      <c r="A136" s="176"/>
      <c r="B136" s="176"/>
      <c r="C136" s="176"/>
      <c r="H136" s="178"/>
      <c r="R136" s="169"/>
      <c r="S136" s="169"/>
    </row>
    <row r="137">
      <c r="A137" s="176"/>
      <c r="B137" s="176"/>
      <c r="C137" s="176"/>
      <c r="H137" s="178"/>
      <c r="R137" s="169"/>
      <c r="S137" s="169"/>
    </row>
    <row r="138">
      <c r="A138" s="176"/>
      <c r="B138" s="176"/>
      <c r="C138" s="176"/>
      <c r="H138" s="178"/>
      <c r="R138" s="169"/>
      <c r="S138" s="169"/>
    </row>
    <row r="139">
      <c r="A139" s="176"/>
      <c r="B139" s="176"/>
      <c r="C139" s="176"/>
      <c r="H139" s="178"/>
      <c r="R139" s="169"/>
      <c r="S139" s="169"/>
    </row>
    <row r="140">
      <c r="A140" s="176"/>
      <c r="B140" s="176"/>
      <c r="C140" s="176"/>
      <c r="H140" s="178"/>
      <c r="R140" s="169"/>
      <c r="S140" s="169"/>
    </row>
    <row r="141">
      <c r="A141" s="176"/>
      <c r="B141" s="176"/>
      <c r="C141" s="176"/>
      <c r="H141" s="178"/>
      <c r="R141" s="169"/>
      <c r="S141" s="169"/>
    </row>
    <row r="142">
      <c r="A142" s="176"/>
      <c r="B142" s="176"/>
      <c r="C142" s="176"/>
      <c r="H142" s="178"/>
      <c r="R142" s="169"/>
      <c r="S142" s="169"/>
    </row>
    <row r="143">
      <c r="A143" s="176"/>
      <c r="B143" s="176"/>
      <c r="C143" s="176"/>
      <c r="H143" s="178"/>
      <c r="R143" s="169"/>
      <c r="S143" s="169"/>
    </row>
    <row r="144">
      <c r="A144" s="176"/>
      <c r="B144" s="176"/>
      <c r="C144" s="176"/>
      <c r="H144" s="178"/>
      <c r="R144" s="169"/>
      <c r="S144" s="169"/>
    </row>
    <row r="145">
      <c r="A145" s="176"/>
      <c r="B145" s="176"/>
      <c r="C145" s="176"/>
      <c r="H145" s="178"/>
      <c r="R145" s="169"/>
      <c r="S145" s="169"/>
    </row>
    <row r="146">
      <c r="A146" s="176"/>
      <c r="B146" s="176"/>
      <c r="C146" s="176"/>
      <c r="H146" s="178"/>
      <c r="R146" s="169"/>
      <c r="S146" s="169"/>
    </row>
    <row r="147">
      <c r="A147" s="176"/>
      <c r="B147" s="176"/>
      <c r="C147" s="176"/>
      <c r="H147" s="178"/>
      <c r="R147" s="169"/>
      <c r="S147" s="169"/>
    </row>
    <row r="148">
      <c r="A148" s="176"/>
      <c r="B148" s="176"/>
      <c r="C148" s="176"/>
      <c r="H148" s="178"/>
      <c r="R148" s="169"/>
      <c r="S148" s="169"/>
    </row>
    <row r="149">
      <c r="A149" s="176"/>
      <c r="B149" s="176"/>
      <c r="C149" s="176"/>
      <c r="H149" s="178"/>
      <c r="R149" s="169"/>
      <c r="S149" s="169"/>
    </row>
    <row r="150">
      <c r="A150" s="176"/>
      <c r="B150" s="176"/>
      <c r="C150" s="176"/>
      <c r="H150" s="178"/>
      <c r="R150" s="169"/>
      <c r="S150" s="169"/>
    </row>
    <row r="151">
      <c r="A151" s="176"/>
      <c r="B151" s="176"/>
      <c r="C151" s="176"/>
      <c r="H151" s="178"/>
      <c r="R151" s="169"/>
      <c r="S151" s="169"/>
    </row>
    <row r="152">
      <c r="A152" s="176"/>
      <c r="B152" s="176"/>
      <c r="C152" s="176"/>
      <c r="H152" s="178"/>
      <c r="R152" s="169"/>
      <c r="S152" s="169"/>
    </row>
    <row r="153">
      <c r="A153" s="176"/>
      <c r="B153" s="176"/>
      <c r="C153" s="176"/>
      <c r="H153" s="178"/>
      <c r="R153" s="169"/>
      <c r="S153" s="169"/>
    </row>
    <row r="154">
      <c r="A154" s="176"/>
      <c r="B154" s="176"/>
      <c r="C154" s="176"/>
      <c r="H154" s="178"/>
      <c r="R154" s="169"/>
      <c r="S154" s="169"/>
    </row>
    <row r="155">
      <c r="A155" s="176"/>
      <c r="B155" s="176"/>
      <c r="C155" s="176"/>
      <c r="H155" s="178"/>
      <c r="R155" s="169"/>
      <c r="S155" s="169"/>
    </row>
    <row r="156">
      <c r="A156" s="176"/>
      <c r="B156" s="176"/>
      <c r="C156" s="176"/>
      <c r="H156" s="178"/>
      <c r="R156" s="169"/>
      <c r="S156" s="169"/>
    </row>
    <row r="157">
      <c r="A157" s="176"/>
      <c r="B157" s="176"/>
      <c r="C157" s="176"/>
      <c r="H157" s="178"/>
      <c r="R157" s="169"/>
      <c r="S157" s="169"/>
    </row>
    <row r="158">
      <c r="A158" s="176"/>
      <c r="B158" s="176"/>
      <c r="C158" s="176"/>
      <c r="H158" s="178"/>
      <c r="R158" s="169"/>
      <c r="S158" s="169"/>
    </row>
    <row r="159">
      <c r="A159" s="176"/>
      <c r="B159" s="176"/>
      <c r="C159" s="176"/>
      <c r="H159" s="178"/>
      <c r="R159" s="169"/>
      <c r="S159" s="169"/>
    </row>
    <row r="160">
      <c r="A160" s="176"/>
      <c r="B160" s="176"/>
      <c r="C160" s="176"/>
      <c r="H160" s="178"/>
      <c r="R160" s="169"/>
      <c r="S160" s="169"/>
    </row>
    <row r="161">
      <c r="A161" s="176"/>
      <c r="B161" s="176"/>
      <c r="C161" s="176"/>
      <c r="H161" s="178"/>
      <c r="R161" s="169"/>
      <c r="S161" s="169"/>
    </row>
    <row r="162">
      <c r="A162" s="176"/>
      <c r="B162" s="176"/>
      <c r="C162" s="176"/>
      <c r="H162" s="178"/>
      <c r="R162" s="169"/>
      <c r="S162" s="169"/>
    </row>
    <row r="163">
      <c r="A163" s="176"/>
      <c r="B163" s="176"/>
      <c r="C163" s="176"/>
      <c r="H163" s="178"/>
      <c r="R163" s="169"/>
      <c r="S163" s="169"/>
    </row>
    <row r="164">
      <c r="A164" s="176"/>
      <c r="B164" s="176"/>
      <c r="C164" s="176"/>
      <c r="H164" s="178"/>
      <c r="R164" s="169"/>
      <c r="S164" s="169"/>
    </row>
    <row r="165">
      <c r="A165" s="176"/>
      <c r="B165" s="176"/>
      <c r="C165" s="176"/>
      <c r="H165" s="178"/>
      <c r="R165" s="169"/>
      <c r="S165" s="169"/>
    </row>
    <row r="166">
      <c r="A166" s="176"/>
      <c r="B166" s="176"/>
      <c r="C166" s="176"/>
      <c r="H166" s="178"/>
      <c r="R166" s="169"/>
      <c r="S166" s="169"/>
    </row>
    <row r="167">
      <c r="A167" s="176"/>
      <c r="B167" s="176"/>
      <c r="C167" s="176"/>
      <c r="H167" s="178"/>
      <c r="R167" s="169"/>
      <c r="S167" s="169"/>
    </row>
    <row r="168">
      <c r="A168" s="176"/>
      <c r="B168" s="176"/>
      <c r="C168" s="176"/>
      <c r="H168" s="178"/>
      <c r="R168" s="169"/>
      <c r="S168" s="169"/>
    </row>
    <row r="169">
      <c r="A169" s="176"/>
      <c r="B169" s="176"/>
      <c r="C169" s="176"/>
      <c r="H169" s="178"/>
      <c r="R169" s="169"/>
      <c r="S169" s="169"/>
    </row>
    <row r="170">
      <c r="A170" s="176"/>
      <c r="B170" s="176"/>
      <c r="C170" s="176"/>
      <c r="H170" s="178"/>
      <c r="R170" s="169"/>
      <c r="S170" s="169"/>
    </row>
    <row r="171">
      <c r="A171" s="176"/>
      <c r="B171" s="176"/>
      <c r="C171" s="176"/>
      <c r="H171" s="178"/>
      <c r="R171" s="169"/>
      <c r="S171" s="169"/>
    </row>
    <row r="172">
      <c r="A172" s="176"/>
      <c r="B172" s="176"/>
      <c r="C172" s="176"/>
      <c r="H172" s="178"/>
      <c r="R172" s="169"/>
      <c r="S172" s="169"/>
    </row>
    <row r="173">
      <c r="A173" s="176"/>
      <c r="B173" s="176"/>
      <c r="C173" s="176"/>
      <c r="H173" s="178"/>
      <c r="R173" s="169"/>
      <c r="S173" s="169"/>
    </row>
    <row r="174">
      <c r="A174" s="176"/>
      <c r="B174" s="176"/>
      <c r="C174" s="176"/>
      <c r="H174" s="178"/>
      <c r="R174" s="169"/>
      <c r="S174" s="169"/>
    </row>
    <row r="175">
      <c r="A175" s="176"/>
      <c r="B175" s="176"/>
      <c r="C175" s="176"/>
      <c r="H175" s="178"/>
      <c r="R175" s="169"/>
      <c r="S175" s="169"/>
    </row>
    <row r="176">
      <c r="A176" s="176"/>
      <c r="B176" s="176"/>
      <c r="C176" s="176"/>
      <c r="H176" s="178"/>
      <c r="R176" s="169"/>
      <c r="S176" s="169"/>
    </row>
    <row r="177">
      <c r="A177" s="176"/>
      <c r="B177" s="176"/>
      <c r="C177" s="176"/>
      <c r="H177" s="178"/>
      <c r="R177" s="169"/>
      <c r="S177" s="169"/>
    </row>
    <row r="178">
      <c r="A178" s="176"/>
      <c r="B178" s="176"/>
      <c r="C178" s="176"/>
      <c r="H178" s="178"/>
      <c r="R178" s="169"/>
      <c r="S178" s="169"/>
    </row>
    <row r="179">
      <c r="A179" s="176"/>
      <c r="B179" s="176"/>
      <c r="C179" s="176"/>
      <c r="H179" s="178"/>
      <c r="R179" s="169"/>
      <c r="S179" s="169"/>
    </row>
    <row r="180">
      <c r="A180" s="176"/>
      <c r="B180" s="176"/>
      <c r="C180" s="176"/>
      <c r="H180" s="178"/>
      <c r="R180" s="169"/>
      <c r="S180" s="169"/>
    </row>
    <row r="181">
      <c r="A181" s="176"/>
      <c r="B181" s="176"/>
      <c r="C181" s="176"/>
      <c r="H181" s="178"/>
      <c r="R181" s="169"/>
      <c r="S181" s="169"/>
    </row>
    <row r="182">
      <c r="A182" s="176"/>
      <c r="B182" s="176"/>
      <c r="C182" s="176"/>
      <c r="H182" s="178"/>
      <c r="R182" s="169"/>
      <c r="S182" s="169"/>
    </row>
    <row r="183">
      <c r="A183" s="176"/>
      <c r="B183" s="176"/>
      <c r="C183" s="176"/>
      <c r="H183" s="178"/>
      <c r="R183" s="169"/>
      <c r="S183" s="169"/>
    </row>
    <row r="184">
      <c r="A184" s="176"/>
      <c r="B184" s="176"/>
      <c r="C184" s="176"/>
      <c r="H184" s="178"/>
      <c r="R184" s="169"/>
      <c r="S184" s="169"/>
    </row>
    <row r="185">
      <c r="A185" s="176"/>
      <c r="B185" s="176"/>
      <c r="C185" s="176"/>
      <c r="H185" s="178"/>
      <c r="R185" s="169"/>
      <c r="S185" s="169"/>
    </row>
    <row r="186">
      <c r="A186" s="176"/>
      <c r="B186" s="176"/>
      <c r="C186" s="176"/>
      <c r="H186" s="178"/>
      <c r="R186" s="169"/>
      <c r="S186" s="169"/>
    </row>
    <row r="187">
      <c r="A187" s="176"/>
      <c r="B187" s="176"/>
      <c r="C187" s="176"/>
      <c r="H187" s="178"/>
      <c r="R187" s="169"/>
      <c r="S187" s="169"/>
    </row>
    <row r="188">
      <c r="A188" s="176"/>
      <c r="B188" s="176"/>
      <c r="C188" s="176"/>
      <c r="H188" s="178"/>
      <c r="R188" s="169"/>
      <c r="S188" s="169"/>
    </row>
    <row r="189">
      <c r="A189" s="176"/>
      <c r="B189" s="176"/>
      <c r="C189" s="176"/>
      <c r="H189" s="178"/>
      <c r="R189" s="169"/>
      <c r="S189" s="169"/>
    </row>
    <row r="190">
      <c r="A190" s="176"/>
      <c r="B190" s="176"/>
      <c r="C190" s="176"/>
      <c r="H190" s="178"/>
      <c r="R190" s="169"/>
      <c r="S190" s="169"/>
    </row>
    <row r="191">
      <c r="A191" s="176"/>
      <c r="B191" s="176"/>
      <c r="C191" s="176"/>
      <c r="H191" s="178"/>
      <c r="R191" s="169"/>
      <c r="S191" s="169"/>
    </row>
    <row r="192">
      <c r="A192" s="176"/>
      <c r="B192" s="176"/>
      <c r="C192" s="176"/>
      <c r="H192" s="178"/>
      <c r="R192" s="169"/>
      <c r="S192" s="169"/>
    </row>
    <row r="193">
      <c r="A193" s="176"/>
      <c r="B193" s="176"/>
      <c r="C193" s="176"/>
      <c r="H193" s="178"/>
      <c r="R193" s="169"/>
      <c r="S193" s="169"/>
    </row>
    <row r="194">
      <c r="A194" s="176"/>
      <c r="B194" s="176"/>
      <c r="C194" s="176"/>
      <c r="H194" s="178"/>
      <c r="R194" s="169"/>
      <c r="S194" s="169"/>
    </row>
    <row r="195">
      <c r="A195" s="176"/>
      <c r="B195" s="176"/>
      <c r="C195" s="176"/>
      <c r="H195" s="178"/>
      <c r="R195" s="169"/>
      <c r="S195" s="169"/>
    </row>
    <row r="196">
      <c r="A196" s="176"/>
      <c r="B196" s="176"/>
      <c r="C196" s="176"/>
      <c r="H196" s="178"/>
      <c r="R196" s="169"/>
      <c r="S196" s="169"/>
    </row>
    <row r="197">
      <c r="A197" s="176"/>
      <c r="B197" s="176"/>
      <c r="C197" s="176"/>
      <c r="H197" s="178"/>
      <c r="R197" s="169"/>
      <c r="S197" s="169"/>
    </row>
    <row r="198">
      <c r="A198" s="176"/>
      <c r="B198" s="176"/>
      <c r="C198" s="176"/>
      <c r="H198" s="178"/>
      <c r="R198" s="169"/>
      <c r="S198" s="169"/>
    </row>
    <row r="199">
      <c r="A199" s="176"/>
      <c r="B199" s="176"/>
      <c r="C199" s="176"/>
      <c r="H199" s="178"/>
      <c r="R199" s="169"/>
      <c r="S199" s="169"/>
    </row>
    <row r="200">
      <c r="A200" s="176"/>
      <c r="B200" s="176"/>
      <c r="C200" s="176"/>
      <c r="H200" s="178"/>
      <c r="R200" s="169"/>
      <c r="S200" s="169"/>
    </row>
    <row r="201">
      <c r="A201" s="176"/>
      <c r="B201" s="176"/>
      <c r="C201" s="176"/>
      <c r="H201" s="178"/>
      <c r="R201" s="169"/>
      <c r="S201" s="169"/>
    </row>
    <row r="202">
      <c r="A202" s="176"/>
      <c r="B202" s="176"/>
      <c r="C202" s="176"/>
      <c r="H202" s="178"/>
      <c r="R202" s="169"/>
      <c r="S202" s="169"/>
    </row>
    <row r="203">
      <c r="A203" s="176"/>
      <c r="B203" s="176"/>
      <c r="C203" s="176"/>
      <c r="H203" s="178"/>
      <c r="R203" s="169"/>
      <c r="S203" s="169"/>
    </row>
    <row r="204">
      <c r="A204" s="176"/>
      <c r="B204" s="176"/>
      <c r="C204" s="176"/>
      <c r="H204" s="178"/>
      <c r="R204" s="169"/>
      <c r="S204" s="169"/>
    </row>
    <row r="205">
      <c r="A205" s="176"/>
      <c r="B205" s="176"/>
      <c r="C205" s="176"/>
      <c r="H205" s="178"/>
      <c r="R205" s="169"/>
      <c r="S205" s="169"/>
    </row>
    <row r="206">
      <c r="A206" s="176"/>
      <c r="B206" s="176"/>
      <c r="C206" s="176"/>
      <c r="H206" s="178"/>
      <c r="R206" s="169"/>
      <c r="S206" s="169"/>
    </row>
    <row r="207">
      <c r="A207" s="176"/>
      <c r="B207" s="176"/>
      <c r="C207" s="176"/>
      <c r="H207" s="178"/>
      <c r="R207" s="169"/>
      <c r="S207" s="169"/>
    </row>
    <row r="208">
      <c r="A208" s="176"/>
      <c r="B208" s="176"/>
      <c r="C208" s="176"/>
      <c r="H208" s="178"/>
      <c r="R208" s="169"/>
      <c r="S208" s="169"/>
    </row>
    <row r="209">
      <c r="A209" s="176"/>
      <c r="B209" s="176"/>
      <c r="C209" s="176"/>
      <c r="H209" s="178"/>
      <c r="R209" s="169"/>
      <c r="S209" s="169"/>
    </row>
    <row r="210">
      <c r="A210" s="176"/>
      <c r="B210" s="176"/>
      <c r="C210" s="176"/>
      <c r="H210" s="178"/>
      <c r="R210" s="169"/>
      <c r="S210" s="169"/>
    </row>
    <row r="211">
      <c r="A211" s="176"/>
      <c r="B211" s="176"/>
      <c r="C211" s="176"/>
      <c r="H211" s="178"/>
      <c r="R211" s="169"/>
      <c r="S211" s="169"/>
    </row>
    <row r="212">
      <c r="A212" s="176"/>
      <c r="B212" s="176"/>
      <c r="C212" s="176"/>
      <c r="H212" s="178"/>
      <c r="R212" s="169"/>
      <c r="S212" s="169"/>
    </row>
    <row r="213">
      <c r="A213" s="176"/>
      <c r="B213" s="176"/>
      <c r="C213" s="176"/>
      <c r="H213" s="178"/>
      <c r="R213" s="169"/>
      <c r="S213" s="169"/>
    </row>
    <row r="214">
      <c r="A214" s="176"/>
      <c r="B214" s="176"/>
      <c r="C214" s="176"/>
      <c r="H214" s="178"/>
      <c r="R214" s="169"/>
      <c r="S214" s="169"/>
    </row>
    <row r="215">
      <c r="A215" s="176"/>
      <c r="B215" s="176"/>
      <c r="C215" s="176"/>
      <c r="H215" s="178"/>
      <c r="R215" s="169"/>
      <c r="S215" s="169"/>
    </row>
    <row r="216">
      <c r="A216" s="176"/>
      <c r="B216" s="176"/>
      <c r="C216" s="176"/>
      <c r="H216" s="178"/>
      <c r="R216" s="169"/>
      <c r="S216" s="169"/>
    </row>
    <row r="217">
      <c r="A217" s="176"/>
      <c r="B217" s="176"/>
      <c r="C217" s="176"/>
      <c r="H217" s="178"/>
      <c r="R217" s="169"/>
      <c r="S217" s="169"/>
    </row>
    <row r="218">
      <c r="A218" s="176"/>
      <c r="B218" s="176"/>
      <c r="C218" s="176"/>
      <c r="H218" s="178"/>
      <c r="R218" s="169"/>
      <c r="S218" s="169"/>
    </row>
    <row r="219">
      <c r="A219" s="176"/>
      <c r="B219" s="176"/>
      <c r="C219" s="176"/>
      <c r="H219" s="178"/>
      <c r="R219" s="169"/>
      <c r="S219" s="169"/>
    </row>
    <row r="220">
      <c r="A220" s="176"/>
      <c r="B220" s="176"/>
      <c r="C220" s="176"/>
      <c r="H220" s="178"/>
      <c r="R220" s="169"/>
      <c r="S220" s="169"/>
    </row>
    <row r="221">
      <c r="A221" s="176"/>
      <c r="B221" s="176"/>
      <c r="C221" s="176"/>
      <c r="H221" s="178"/>
      <c r="R221" s="169"/>
      <c r="S221" s="169"/>
    </row>
    <row r="222">
      <c r="A222" s="176"/>
      <c r="B222" s="176"/>
      <c r="C222" s="176"/>
      <c r="H222" s="178"/>
      <c r="R222" s="169"/>
      <c r="S222" s="169"/>
    </row>
    <row r="223">
      <c r="A223" s="176"/>
      <c r="B223" s="176"/>
      <c r="C223" s="176"/>
      <c r="H223" s="178"/>
      <c r="R223" s="169"/>
      <c r="S223" s="169"/>
    </row>
    <row r="224">
      <c r="A224" s="176"/>
      <c r="B224" s="176"/>
      <c r="C224" s="176"/>
      <c r="H224" s="178"/>
      <c r="R224" s="169"/>
      <c r="S224" s="169"/>
    </row>
    <row r="225">
      <c r="A225" s="176"/>
      <c r="B225" s="176"/>
      <c r="C225" s="176"/>
      <c r="H225" s="178"/>
      <c r="R225" s="169"/>
      <c r="S225" s="169"/>
    </row>
    <row r="226">
      <c r="A226" s="176"/>
      <c r="B226" s="176"/>
      <c r="C226" s="176"/>
      <c r="H226" s="178"/>
      <c r="R226" s="169"/>
      <c r="S226" s="169"/>
    </row>
    <row r="227">
      <c r="A227" s="176"/>
      <c r="B227" s="176"/>
      <c r="C227" s="176"/>
      <c r="H227" s="178"/>
      <c r="R227" s="169"/>
      <c r="S227" s="169"/>
    </row>
    <row r="228">
      <c r="A228" s="176"/>
      <c r="B228" s="176"/>
      <c r="C228" s="176"/>
      <c r="H228" s="178"/>
      <c r="R228" s="169"/>
      <c r="S228" s="169"/>
    </row>
    <row r="229">
      <c r="A229" s="176"/>
      <c r="B229" s="176"/>
      <c r="C229" s="176"/>
      <c r="H229" s="178"/>
      <c r="R229" s="169"/>
      <c r="S229" s="169"/>
    </row>
    <row r="230">
      <c r="A230" s="176"/>
      <c r="B230" s="176"/>
      <c r="C230" s="176"/>
      <c r="H230" s="178"/>
      <c r="R230" s="169"/>
      <c r="S230" s="169"/>
    </row>
    <row r="231">
      <c r="A231" s="176"/>
      <c r="B231" s="176"/>
      <c r="C231" s="176"/>
      <c r="H231" s="178"/>
      <c r="R231" s="169"/>
      <c r="S231" s="169"/>
    </row>
    <row r="232">
      <c r="A232" s="176"/>
      <c r="B232" s="176"/>
      <c r="C232" s="176"/>
      <c r="H232" s="178"/>
      <c r="R232" s="169"/>
      <c r="S232" s="169"/>
    </row>
    <row r="233">
      <c r="A233" s="176"/>
      <c r="B233" s="176"/>
      <c r="C233" s="176"/>
      <c r="H233" s="178"/>
      <c r="R233" s="169"/>
      <c r="S233" s="169"/>
    </row>
    <row r="234">
      <c r="A234" s="176"/>
      <c r="B234" s="176"/>
      <c r="C234" s="176"/>
      <c r="H234" s="178"/>
      <c r="R234" s="169"/>
      <c r="S234" s="169"/>
    </row>
    <row r="235">
      <c r="A235" s="176"/>
      <c r="B235" s="176"/>
      <c r="C235" s="176"/>
      <c r="H235" s="178"/>
      <c r="R235" s="169"/>
      <c r="S235" s="169"/>
    </row>
    <row r="236">
      <c r="A236" s="176"/>
      <c r="B236" s="176"/>
      <c r="C236" s="176"/>
      <c r="H236" s="178"/>
      <c r="R236" s="169"/>
      <c r="S236" s="169"/>
    </row>
    <row r="237">
      <c r="A237" s="176"/>
      <c r="B237" s="176"/>
      <c r="C237" s="176"/>
      <c r="H237" s="178"/>
      <c r="R237" s="169"/>
      <c r="S237" s="169"/>
    </row>
    <row r="238">
      <c r="A238" s="176"/>
      <c r="B238" s="176"/>
      <c r="C238" s="176"/>
      <c r="H238" s="178"/>
      <c r="R238" s="169"/>
      <c r="S238" s="169"/>
    </row>
    <row r="239">
      <c r="A239" s="176"/>
      <c r="B239" s="176"/>
      <c r="C239" s="176"/>
      <c r="H239" s="178"/>
      <c r="R239" s="169"/>
      <c r="S239" s="169"/>
    </row>
    <row r="240">
      <c r="A240" s="176"/>
      <c r="B240" s="176"/>
      <c r="C240" s="176"/>
      <c r="H240" s="178"/>
      <c r="R240" s="169"/>
      <c r="S240" s="169"/>
    </row>
    <row r="241">
      <c r="A241" s="176"/>
      <c r="B241" s="176"/>
      <c r="C241" s="176"/>
      <c r="H241" s="178"/>
      <c r="R241" s="169"/>
      <c r="S241" s="169"/>
    </row>
    <row r="242">
      <c r="A242" s="176"/>
      <c r="B242" s="176"/>
      <c r="C242" s="176"/>
      <c r="H242" s="178"/>
      <c r="R242" s="169"/>
      <c r="S242" s="169"/>
    </row>
    <row r="243">
      <c r="A243" s="176"/>
      <c r="B243" s="176"/>
      <c r="C243" s="176"/>
      <c r="H243" s="178"/>
      <c r="R243" s="169"/>
      <c r="S243" s="169"/>
    </row>
    <row r="244">
      <c r="A244" s="176"/>
      <c r="B244" s="176"/>
      <c r="C244" s="176"/>
      <c r="H244" s="178"/>
      <c r="R244" s="169"/>
      <c r="S244" s="169"/>
    </row>
    <row r="245">
      <c r="A245" s="176"/>
      <c r="B245" s="176"/>
      <c r="C245" s="176"/>
      <c r="H245" s="178"/>
      <c r="R245" s="169"/>
      <c r="S245" s="169"/>
    </row>
    <row r="246">
      <c r="A246" s="176"/>
      <c r="B246" s="176"/>
      <c r="C246" s="176"/>
      <c r="H246" s="178"/>
      <c r="R246" s="169"/>
      <c r="S246" s="169"/>
    </row>
    <row r="247">
      <c r="A247" s="176"/>
      <c r="B247" s="176"/>
      <c r="C247" s="176"/>
      <c r="H247" s="178"/>
      <c r="R247" s="169"/>
      <c r="S247" s="169"/>
    </row>
    <row r="248">
      <c r="A248" s="176"/>
      <c r="B248" s="176"/>
      <c r="C248" s="176"/>
      <c r="H248" s="178"/>
      <c r="R248" s="169"/>
      <c r="S248" s="169"/>
    </row>
    <row r="249">
      <c r="A249" s="176"/>
      <c r="B249" s="176"/>
      <c r="C249" s="176"/>
      <c r="H249" s="178"/>
      <c r="R249" s="169"/>
      <c r="S249" s="169"/>
    </row>
    <row r="250">
      <c r="A250" s="176"/>
      <c r="B250" s="176"/>
      <c r="C250" s="176"/>
      <c r="H250" s="178"/>
      <c r="R250" s="169"/>
      <c r="S250" s="169"/>
    </row>
    <row r="251">
      <c r="A251" s="176"/>
      <c r="B251" s="176"/>
      <c r="C251" s="176"/>
      <c r="H251" s="178"/>
      <c r="R251" s="169"/>
      <c r="S251" s="169"/>
    </row>
    <row r="252">
      <c r="A252" s="176"/>
      <c r="B252" s="176"/>
      <c r="C252" s="176"/>
      <c r="H252" s="178"/>
      <c r="R252" s="169"/>
      <c r="S252" s="169"/>
    </row>
    <row r="253">
      <c r="A253" s="176"/>
      <c r="B253" s="176"/>
      <c r="C253" s="176"/>
      <c r="H253" s="178"/>
      <c r="R253" s="169"/>
      <c r="S253" s="169"/>
    </row>
    <row r="254">
      <c r="A254" s="176"/>
      <c r="B254" s="176"/>
      <c r="C254" s="176"/>
      <c r="H254" s="178"/>
      <c r="R254" s="169"/>
      <c r="S254" s="169"/>
    </row>
    <row r="255">
      <c r="A255" s="176"/>
      <c r="B255" s="176"/>
      <c r="C255" s="176"/>
      <c r="H255" s="178"/>
      <c r="R255" s="169"/>
      <c r="S255" s="169"/>
    </row>
    <row r="256">
      <c r="A256" s="176"/>
      <c r="B256" s="176"/>
      <c r="C256" s="176"/>
      <c r="H256" s="178"/>
      <c r="R256" s="169"/>
      <c r="S256" s="169"/>
    </row>
    <row r="257">
      <c r="A257" s="176"/>
      <c r="B257" s="176"/>
      <c r="C257" s="176"/>
      <c r="H257" s="178"/>
      <c r="R257" s="169"/>
      <c r="S257" s="169"/>
    </row>
    <row r="258">
      <c r="A258" s="176"/>
      <c r="B258" s="176"/>
      <c r="C258" s="176"/>
      <c r="H258" s="178"/>
      <c r="R258" s="169"/>
      <c r="S258" s="169"/>
    </row>
    <row r="259">
      <c r="A259" s="176"/>
      <c r="B259" s="176"/>
      <c r="C259" s="176"/>
      <c r="H259" s="178"/>
      <c r="R259" s="169"/>
      <c r="S259" s="169"/>
    </row>
    <row r="260">
      <c r="A260" s="176"/>
      <c r="B260" s="176"/>
      <c r="C260" s="176"/>
      <c r="H260" s="178"/>
      <c r="R260" s="169"/>
      <c r="S260" s="169"/>
    </row>
    <row r="261">
      <c r="A261" s="176"/>
      <c r="B261" s="176"/>
      <c r="C261" s="176"/>
      <c r="H261" s="178"/>
      <c r="R261" s="169"/>
      <c r="S261" s="169"/>
    </row>
    <row r="262">
      <c r="A262" s="176"/>
      <c r="B262" s="176"/>
      <c r="C262" s="176"/>
      <c r="H262" s="178"/>
      <c r="R262" s="169"/>
      <c r="S262" s="169"/>
    </row>
    <row r="263">
      <c r="A263" s="176"/>
      <c r="B263" s="176"/>
      <c r="C263" s="176"/>
      <c r="H263" s="178"/>
      <c r="R263" s="169"/>
      <c r="S263" s="169"/>
    </row>
    <row r="264">
      <c r="A264" s="176"/>
      <c r="B264" s="176"/>
      <c r="C264" s="176"/>
      <c r="H264" s="178"/>
      <c r="R264" s="169"/>
      <c r="S264" s="169"/>
    </row>
    <row r="265">
      <c r="A265" s="176"/>
      <c r="B265" s="176"/>
      <c r="C265" s="176"/>
      <c r="H265" s="178"/>
      <c r="R265" s="169"/>
      <c r="S265" s="169"/>
    </row>
    <row r="266">
      <c r="A266" s="176"/>
      <c r="B266" s="176"/>
      <c r="C266" s="176"/>
      <c r="H266" s="178"/>
      <c r="R266" s="169"/>
      <c r="S266" s="169"/>
    </row>
    <row r="267">
      <c r="A267" s="176"/>
      <c r="B267" s="176"/>
      <c r="C267" s="176"/>
      <c r="H267" s="178"/>
      <c r="R267" s="169"/>
      <c r="S267" s="169"/>
    </row>
    <row r="268">
      <c r="A268" s="176"/>
      <c r="B268" s="176"/>
      <c r="C268" s="176"/>
      <c r="H268" s="178"/>
      <c r="R268" s="169"/>
      <c r="S268" s="169"/>
    </row>
    <row r="269">
      <c r="A269" s="176"/>
      <c r="B269" s="176"/>
      <c r="C269" s="176"/>
      <c r="H269" s="178"/>
      <c r="R269" s="169"/>
      <c r="S269" s="169"/>
    </row>
    <row r="270">
      <c r="A270" s="176"/>
      <c r="B270" s="176"/>
      <c r="C270" s="176"/>
      <c r="H270" s="178"/>
      <c r="R270" s="169"/>
      <c r="S270" s="169"/>
    </row>
    <row r="271">
      <c r="A271" s="176"/>
      <c r="B271" s="176"/>
      <c r="C271" s="176"/>
      <c r="H271" s="178"/>
      <c r="R271" s="169"/>
      <c r="S271" s="169"/>
    </row>
    <row r="272">
      <c r="A272" s="176"/>
      <c r="B272" s="176"/>
      <c r="C272" s="176"/>
      <c r="H272" s="178"/>
      <c r="R272" s="169"/>
      <c r="S272" s="169"/>
    </row>
    <row r="273">
      <c r="A273" s="176"/>
      <c r="B273" s="176"/>
      <c r="C273" s="176"/>
      <c r="H273" s="178"/>
      <c r="R273" s="169"/>
      <c r="S273" s="169"/>
    </row>
    <row r="274">
      <c r="A274" s="176"/>
      <c r="B274" s="176"/>
      <c r="C274" s="176"/>
      <c r="H274" s="178"/>
      <c r="R274" s="169"/>
      <c r="S274" s="169"/>
    </row>
    <row r="275">
      <c r="A275" s="176"/>
      <c r="B275" s="176"/>
      <c r="C275" s="176"/>
      <c r="H275" s="178"/>
      <c r="R275" s="169"/>
      <c r="S275" s="169"/>
    </row>
    <row r="276">
      <c r="A276" s="176"/>
      <c r="B276" s="176"/>
      <c r="C276" s="176"/>
      <c r="H276" s="178"/>
      <c r="R276" s="169"/>
      <c r="S276" s="169"/>
    </row>
    <row r="277">
      <c r="A277" s="176"/>
      <c r="B277" s="176"/>
      <c r="C277" s="176"/>
      <c r="H277" s="178"/>
      <c r="R277" s="169"/>
      <c r="S277" s="169"/>
    </row>
    <row r="278">
      <c r="A278" s="176"/>
      <c r="B278" s="176"/>
      <c r="C278" s="176"/>
      <c r="H278" s="178"/>
      <c r="R278" s="169"/>
      <c r="S278" s="169"/>
    </row>
    <row r="279">
      <c r="A279" s="176"/>
      <c r="B279" s="176"/>
      <c r="C279" s="176"/>
      <c r="H279" s="178"/>
      <c r="R279" s="169"/>
      <c r="S279" s="169"/>
    </row>
    <row r="280">
      <c r="A280" s="176"/>
      <c r="B280" s="176"/>
      <c r="C280" s="176"/>
      <c r="H280" s="178"/>
      <c r="R280" s="169"/>
      <c r="S280" s="169"/>
    </row>
    <row r="281">
      <c r="A281" s="176"/>
      <c r="B281" s="176"/>
      <c r="C281" s="176"/>
      <c r="H281" s="178"/>
      <c r="R281" s="169"/>
      <c r="S281" s="169"/>
    </row>
    <row r="282">
      <c r="A282" s="176"/>
      <c r="B282" s="176"/>
      <c r="C282" s="176"/>
      <c r="H282" s="178"/>
      <c r="R282" s="169"/>
      <c r="S282" s="169"/>
    </row>
    <row r="283">
      <c r="A283" s="176"/>
      <c r="B283" s="176"/>
      <c r="C283" s="176"/>
      <c r="H283" s="178"/>
      <c r="R283" s="169"/>
      <c r="S283" s="169"/>
    </row>
    <row r="284">
      <c r="A284" s="176"/>
      <c r="B284" s="176"/>
      <c r="C284" s="176"/>
      <c r="H284" s="178"/>
      <c r="R284" s="169"/>
      <c r="S284" s="169"/>
    </row>
    <row r="285">
      <c r="A285" s="176"/>
      <c r="B285" s="176"/>
      <c r="C285" s="176"/>
      <c r="H285" s="178"/>
      <c r="R285" s="169"/>
      <c r="S285" s="169"/>
    </row>
    <row r="286">
      <c r="A286" s="176"/>
      <c r="B286" s="176"/>
      <c r="C286" s="176"/>
      <c r="H286" s="178"/>
      <c r="R286" s="169"/>
      <c r="S286" s="169"/>
    </row>
    <row r="287">
      <c r="A287" s="176"/>
      <c r="B287" s="176"/>
      <c r="C287" s="176"/>
      <c r="H287" s="178"/>
      <c r="R287" s="169"/>
      <c r="S287" s="169"/>
    </row>
    <row r="288">
      <c r="A288" s="176"/>
      <c r="B288" s="176"/>
      <c r="C288" s="176"/>
      <c r="H288" s="178"/>
      <c r="R288" s="169"/>
      <c r="S288" s="169"/>
    </row>
    <row r="289">
      <c r="A289" s="176"/>
      <c r="B289" s="176"/>
      <c r="C289" s="176"/>
      <c r="H289" s="178"/>
      <c r="R289" s="169"/>
      <c r="S289" s="169"/>
    </row>
    <row r="290">
      <c r="A290" s="176"/>
      <c r="B290" s="176"/>
      <c r="C290" s="176"/>
      <c r="H290" s="178"/>
      <c r="R290" s="169"/>
      <c r="S290" s="169"/>
    </row>
    <row r="291">
      <c r="A291" s="176"/>
      <c r="B291" s="176"/>
      <c r="C291" s="176"/>
      <c r="H291" s="178"/>
      <c r="R291" s="169"/>
      <c r="S291" s="169"/>
    </row>
    <row r="292">
      <c r="A292" s="176"/>
      <c r="B292" s="176"/>
      <c r="C292" s="176"/>
      <c r="H292" s="178"/>
      <c r="R292" s="169"/>
      <c r="S292" s="169"/>
    </row>
    <row r="293">
      <c r="A293" s="176"/>
      <c r="B293" s="176"/>
      <c r="C293" s="176"/>
      <c r="H293" s="178"/>
      <c r="R293" s="169"/>
      <c r="S293" s="169"/>
    </row>
    <row r="294">
      <c r="A294" s="176"/>
      <c r="B294" s="176"/>
      <c r="C294" s="176"/>
      <c r="H294" s="178"/>
      <c r="R294" s="169"/>
      <c r="S294" s="169"/>
    </row>
    <row r="295">
      <c r="A295" s="176"/>
      <c r="B295" s="176"/>
      <c r="C295" s="176"/>
      <c r="H295" s="178"/>
      <c r="R295" s="169"/>
      <c r="S295" s="169"/>
    </row>
    <row r="296">
      <c r="A296" s="176"/>
      <c r="B296" s="176"/>
      <c r="C296" s="176"/>
      <c r="H296" s="178"/>
      <c r="R296" s="169"/>
      <c r="S296" s="169"/>
    </row>
    <row r="297">
      <c r="A297" s="176"/>
      <c r="B297" s="176"/>
      <c r="C297" s="176"/>
      <c r="H297" s="178"/>
      <c r="R297" s="169"/>
      <c r="S297" s="169"/>
    </row>
    <row r="298">
      <c r="A298" s="176"/>
      <c r="B298" s="176"/>
      <c r="C298" s="176"/>
      <c r="H298" s="178"/>
      <c r="R298" s="169"/>
      <c r="S298" s="169"/>
    </row>
    <row r="299">
      <c r="A299" s="176"/>
      <c r="B299" s="176"/>
      <c r="C299" s="176"/>
      <c r="H299" s="178"/>
      <c r="R299" s="169"/>
      <c r="S299" s="169"/>
    </row>
    <row r="300">
      <c r="A300" s="176"/>
      <c r="B300" s="176"/>
      <c r="C300" s="176"/>
      <c r="H300" s="178"/>
      <c r="R300" s="169"/>
      <c r="S300" s="169"/>
    </row>
    <row r="301">
      <c r="A301" s="176"/>
      <c r="B301" s="176"/>
      <c r="C301" s="176"/>
      <c r="H301" s="178"/>
      <c r="R301" s="169"/>
      <c r="S301" s="169"/>
    </row>
    <row r="302">
      <c r="A302" s="176"/>
      <c r="B302" s="176"/>
      <c r="C302" s="176"/>
      <c r="H302" s="178"/>
      <c r="R302" s="169"/>
      <c r="S302" s="169"/>
    </row>
    <row r="303">
      <c r="A303" s="176"/>
      <c r="B303" s="176"/>
      <c r="C303" s="176"/>
      <c r="H303" s="178"/>
      <c r="R303" s="169"/>
      <c r="S303" s="169"/>
    </row>
    <row r="304">
      <c r="A304" s="176"/>
      <c r="B304" s="176"/>
      <c r="C304" s="176"/>
      <c r="H304" s="178"/>
      <c r="R304" s="169"/>
      <c r="S304" s="169"/>
    </row>
    <row r="305">
      <c r="A305" s="176"/>
      <c r="B305" s="176"/>
      <c r="C305" s="176"/>
      <c r="H305" s="178"/>
      <c r="R305" s="169"/>
      <c r="S305" s="169"/>
    </row>
    <row r="306">
      <c r="A306" s="176"/>
      <c r="B306" s="176"/>
      <c r="C306" s="176"/>
      <c r="H306" s="178"/>
      <c r="R306" s="169"/>
      <c r="S306" s="169"/>
    </row>
    <row r="307">
      <c r="A307" s="176"/>
      <c r="B307" s="176"/>
      <c r="C307" s="176"/>
      <c r="H307" s="178"/>
      <c r="R307" s="169"/>
      <c r="S307" s="169"/>
    </row>
    <row r="308">
      <c r="A308" s="176"/>
      <c r="B308" s="176"/>
      <c r="C308" s="176"/>
      <c r="H308" s="178"/>
      <c r="R308" s="169"/>
      <c r="S308" s="169"/>
    </row>
    <row r="309">
      <c r="A309" s="176"/>
      <c r="B309" s="176"/>
      <c r="C309" s="176"/>
      <c r="H309" s="178"/>
      <c r="R309" s="169"/>
      <c r="S309" s="169"/>
    </row>
    <row r="310">
      <c r="A310" s="176"/>
      <c r="B310" s="176"/>
      <c r="C310" s="176"/>
      <c r="H310" s="178"/>
      <c r="R310" s="169"/>
      <c r="S310" s="169"/>
    </row>
    <row r="311">
      <c r="A311" s="176"/>
      <c r="B311" s="176"/>
      <c r="C311" s="176"/>
      <c r="H311" s="178"/>
      <c r="R311" s="169"/>
      <c r="S311" s="169"/>
    </row>
    <row r="312">
      <c r="A312" s="176"/>
      <c r="B312" s="176"/>
      <c r="C312" s="176"/>
      <c r="H312" s="178"/>
      <c r="R312" s="169"/>
      <c r="S312" s="169"/>
    </row>
    <row r="313">
      <c r="A313" s="176"/>
      <c r="B313" s="176"/>
      <c r="C313" s="176"/>
      <c r="H313" s="178"/>
      <c r="R313" s="169"/>
      <c r="S313" s="169"/>
    </row>
    <row r="314">
      <c r="A314" s="176"/>
      <c r="B314" s="176"/>
      <c r="C314" s="176"/>
      <c r="H314" s="178"/>
      <c r="R314" s="169"/>
      <c r="S314" s="169"/>
    </row>
    <row r="315">
      <c r="A315" s="176"/>
      <c r="B315" s="176"/>
      <c r="C315" s="176"/>
      <c r="H315" s="178"/>
      <c r="R315" s="169"/>
      <c r="S315" s="169"/>
    </row>
    <row r="316">
      <c r="A316" s="176"/>
      <c r="B316" s="176"/>
      <c r="C316" s="176"/>
      <c r="H316" s="178"/>
      <c r="R316" s="169"/>
      <c r="S316" s="169"/>
    </row>
    <row r="317">
      <c r="A317" s="176"/>
      <c r="B317" s="176"/>
      <c r="C317" s="176"/>
      <c r="H317" s="178"/>
      <c r="R317" s="169"/>
      <c r="S317" s="169"/>
    </row>
    <row r="318">
      <c r="A318" s="176"/>
      <c r="B318" s="176"/>
      <c r="C318" s="176"/>
      <c r="H318" s="178"/>
      <c r="R318" s="169"/>
      <c r="S318" s="169"/>
    </row>
    <row r="319">
      <c r="A319" s="176"/>
      <c r="B319" s="176"/>
      <c r="C319" s="176"/>
      <c r="H319" s="178"/>
      <c r="R319" s="169"/>
      <c r="S319" s="169"/>
    </row>
    <row r="320">
      <c r="A320" s="176"/>
      <c r="B320" s="176"/>
      <c r="C320" s="176"/>
      <c r="H320" s="178"/>
      <c r="R320" s="169"/>
      <c r="S320" s="169"/>
    </row>
    <row r="321">
      <c r="A321" s="176"/>
      <c r="B321" s="176"/>
      <c r="C321" s="176"/>
      <c r="H321" s="178"/>
      <c r="R321" s="169"/>
      <c r="S321" s="169"/>
    </row>
    <row r="322">
      <c r="A322" s="176"/>
      <c r="B322" s="176"/>
      <c r="C322" s="176"/>
      <c r="H322" s="178"/>
      <c r="R322" s="169"/>
      <c r="S322" s="169"/>
    </row>
    <row r="323">
      <c r="A323" s="176"/>
      <c r="B323" s="176"/>
      <c r="C323" s="176"/>
      <c r="H323" s="178"/>
      <c r="R323" s="169"/>
      <c r="S323" s="169"/>
    </row>
    <row r="324">
      <c r="A324" s="176"/>
      <c r="B324" s="176"/>
      <c r="C324" s="176"/>
      <c r="H324" s="178"/>
      <c r="R324" s="169"/>
      <c r="S324" s="169"/>
    </row>
    <row r="325">
      <c r="A325" s="176"/>
      <c r="B325" s="176"/>
      <c r="C325" s="176"/>
      <c r="H325" s="178"/>
      <c r="R325" s="169"/>
      <c r="S325" s="169"/>
    </row>
    <row r="326">
      <c r="A326" s="176"/>
      <c r="B326" s="176"/>
      <c r="C326" s="176"/>
      <c r="H326" s="178"/>
      <c r="R326" s="169"/>
      <c r="S326" s="169"/>
    </row>
    <row r="327">
      <c r="A327" s="176"/>
      <c r="B327" s="176"/>
      <c r="C327" s="176"/>
      <c r="H327" s="178"/>
      <c r="R327" s="169"/>
      <c r="S327" s="169"/>
    </row>
    <row r="328">
      <c r="A328" s="176"/>
      <c r="B328" s="176"/>
      <c r="C328" s="176"/>
      <c r="H328" s="178"/>
      <c r="R328" s="169"/>
      <c r="S328" s="169"/>
    </row>
    <row r="329">
      <c r="A329" s="176"/>
      <c r="B329" s="176"/>
      <c r="C329" s="176"/>
      <c r="H329" s="178"/>
      <c r="R329" s="169"/>
      <c r="S329" s="169"/>
    </row>
    <row r="330">
      <c r="A330" s="176"/>
      <c r="B330" s="176"/>
      <c r="C330" s="176"/>
      <c r="H330" s="178"/>
      <c r="R330" s="169"/>
      <c r="S330" s="169"/>
    </row>
    <row r="331">
      <c r="A331" s="176"/>
      <c r="B331" s="176"/>
      <c r="C331" s="176"/>
      <c r="H331" s="178"/>
      <c r="R331" s="169"/>
      <c r="S331" s="169"/>
    </row>
    <row r="332">
      <c r="A332" s="176"/>
      <c r="B332" s="176"/>
      <c r="C332" s="176"/>
      <c r="H332" s="178"/>
      <c r="R332" s="169"/>
      <c r="S332" s="169"/>
    </row>
    <row r="333">
      <c r="A333" s="176"/>
      <c r="B333" s="176"/>
      <c r="C333" s="176"/>
      <c r="H333" s="178"/>
      <c r="R333" s="169"/>
      <c r="S333" s="169"/>
    </row>
    <row r="334">
      <c r="A334" s="176"/>
      <c r="B334" s="176"/>
      <c r="C334" s="176"/>
      <c r="H334" s="178"/>
      <c r="R334" s="169"/>
      <c r="S334" s="169"/>
    </row>
    <row r="335">
      <c r="A335" s="176"/>
      <c r="B335" s="176"/>
      <c r="C335" s="176"/>
      <c r="H335" s="178"/>
      <c r="R335" s="169"/>
      <c r="S335" s="169"/>
    </row>
    <row r="336">
      <c r="A336" s="176"/>
      <c r="B336" s="176"/>
      <c r="C336" s="176"/>
      <c r="H336" s="178"/>
      <c r="R336" s="169"/>
      <c r="S336" s="169"/>
    </row>
    <row r="337">
      <c r="A337" s="176"/>
      <c r="B337" s="176"/>
      <c r="C337" s="176"/>
      <c r="H337" s="178"/>
      <c r="R337" s="169"/>
      <c r="S337" s="169"/>
    </row>
    <row r="338">
      <c r="A338" s="176"/>
      <c r="B338" s="176"/>
      <c r="C338" s="176"/>
      <c r="H338" s="178"/>
      <c r="R338" s="169"/>
      <c r="S338" s="169"/>
    </row>
    <row r="339">
      <c r="A339" s="176"/>
      <c r="B339" s="176"/>
      <c r="C339" s="176"/>
      <c r="H339" s="178"/>
      <c r="R339" s="169"/>
      <c r="S339" s="169"/>
    </row>
    <row r="340">
      <c r="A340" s="176"/>
      <c r="B340" s="176"/>
      <c r="C340" s="176"/>
      <c r="H340" s="178"/>
      <c r="R340" s="169"/>
      <c r="S340" s="169"/>
    </row>
    <row r="341">
      <c r="A341" s="176"/>
      <c r="B341" s="176"/>
      <c r="C341" s="176"/>
      <c r="H341" s="178"/>
      <c r="R341" s="169"/>
      <c r="S341" s="169"/>
    </row>
    <row r="342">
      <c r="A342" s="176"/>
      <c r="B342" s="176"/>
      <c r="C342" s="176"/>
      <c r="H342" s="178"/>
      <c r="R342" s="169"/>
      <c r="S342" s="169"/>
    </row>
    <row r="343">
      <c r="A343" s="176"/>
      <c r="B343" s="176"/>
      <c r="C343" s="176"/>
      <c r="H343" s="178"/>
      <c r="R343" s="169"/>
      <c r="S343" s="169"/>
    </row>
    <row r="344">
      <c r="A344" s="176"/>
      <c r="B344" s="176"/>
      <c r="C344" s="176"/>
      <c r="H344" s="178"/>
      <c r="R344" s="169"/>
      <c r="S344" s="169"/>
    </row>
    <row r="345">
      <c r="A345" s="176"/>
      <c r="B345" s="176"/>
      <c r="C345" s="176"/>
      <c r="H345" s="178"/>
      <c r="R345" s="169"/>
      <c r="S345" s="169"/>
    </row>
    <row r="346">
      <c r="A346" s="176"/>
      <c r="B346" s="176"/>
      <c r="C346" s="176"/>
      <c r="H346" s="178"/>
      <c r="R346" s="169"/>
      <c r="S346" s="169"/>
    </row>
    <row r="347">
      <c r="A347" s="176"/>
      <c r="B347" s="176"/>
      <c r="C347" s="176"/>
      <c r="H347" s="178"/>
      <c r="R347" s="169"/>
      <c r="S347" s="169"/>
    </row>
    <row r="348">
      <c r="A348" s="176"/>
      <c r="B348" s="176"/>
      <c r="C348" s="176"/>
      <c r="H348" s="178"/>
      <c r="R348" s="169"/>
      <c r="S348" s="169"/>
    </row>
    <row r="349">
      <c r="A349" s="176"/>
      <c r="B349" s="176"/>
      <c r="C349" s="176"/>
      <c r="H349" s="178"/>
      <c r="R349" s="169"/>
      <c r="S349" s="169"/>
    </row>
    <row r="350">
      <c r="A350" s="176"/>
      <c r="B350" s="176"/>
      <c r="C350" s="176"/>
      <c r="H350" s="178"/>
      <c r="R350" s="169"/>
      <c r="S350" s="169"/>
    </row>
    <row r="351">
      <c r="A351" s="176"/>
      <c r="B351" s="176"/>
      <c r="C351" s="176"/>
      <c r="H351" s="178"/>
      <c r="R351" s="169"/>
      <c r="S351" s="169"/>
    </row>
    <row r="352">
      <c r="A352" s="176"/>
      <c r="B352" s="176"/>
      <c r="C352" s="176"/>
      <c r="H352" s="178"/>
      <c r="R352" s="169"/>
      <c r="S352" s="169"/>
    </row>
    <row r="353">
      <c r="A353" s="176"/>
      <c r="B353" s="176"/>
      <c r="C353" s="176"/>
      <c r="H353" s="178"/>
      <c r="R353" s="169"/>
      <c r="S353" s="169"/>
    </row>
    <row r="354">
      <c r="A354" s="176"/>
      <c r="B354" s="176"/>
      <c r="C354" s="176"/>
      <c r="H354" s="178"/>
      <c r="R354" s="169"/>
      <c r="S354" s="169"/>
    </row>
    <row r="355">
      <c r="A355" s="176"/>
      <c r="B355" s="176"/>
      <c r="C355" s="176"/>
      <c r="H355" s="178"/>
      <c r="R355" s="169"/>
      <c r="S355" s="169"/>
    </row>
    <row r="356">
      <c r="A356" s="176"/>
      <c r="B356" s="176"/>
      <c r="C356" s="176"/>
      <c r="H356" s="178"/>
      <c r="R356" s="169"/>
      <c r="S356" s="169"/>
    </row>
    <row r="357">
      <c r="A357" s="176"/>
      <c r="B357" s="176"/>
      <c r="C357" s="176"/>
      <c r="H357" s="178"/>
      <c r="R357" s="169"/>
      <c r="S357" s="169"/>
    </row>
    <row r="358">
      <c r="A358" s="176"/>
      <c r="B358" s="176"/>
      <c r="C358" s="176"/>
      <c r="H358" s="178"/>
      <c r="R358" s="169"/>
      <c r="S358" s="169"/>
    </row>
    <row r="359">
      <c r="A359" s="176"/>
      <c r="B359" s="176"/>
      <c r="C359" s="176"/>
      <c r="H359" s="178"/>
      <c r="R359" s="169"/>
      <c r="S359" s="169"/>
    </row>
    <row r="360">
      <c r="A360" s="176"/>
      <c r="B360" s="176"/>
      <c r="C360" s="176"/>
      <c r="H360" s="178"/>
      <c r="R360" s="169"/>
      <c r="S360" s="169"/>
    </row>
    <row r="361">
      <c r="A361" s="176"/>
      <c r="B361" s="176"/>
      <c r="C361" s="176"/>
      <c r="H361" s="178"/>
      <c r="R361" s="169"/>
      <c r="S361" s="169"/>
    </row>
    <row r="362">
      <c r="A362" s="176"/>
      <c r="B362" s="176"/>
      <c r="C362" s="176"/>
      <c r="H362" s="178"/>
      <c r="R362" s="169"/>
      <c r="S362" s="169"/>
    </row>
    <row r="363">
      <c r="A363" s="176"/>
      <c r="B363" s="176"/>
      <c r="C363" s="176"/>
      <c r="H363" s="178"/>
      <c r="R363" s="169"/>
      <c r="S363" s="169"/>
    </row>
    <row r="364">
      <c r="A364" s="176"/>
      <c r="B364" s="176"/>
      <c r="C364" s="176"/>
      <c r="H364" s="178"/>
      <c r="R364" s="169"/>
      <c r="S364" s="169"/>
    </row>
    <row r="365">
      <c r="A365" s="176"/>
      <c r="B365" s="176"/>
      <c r="C365" s="176"/>
      <c r="H365" s="178"/>
      <c r="R365" s="169"/>
      <c r="S365" s="169"/>
    </row>
    <row r="366">
      <c r="A366" s="176"/>
      <c r="B366" s="176"/>
      <c r="C366" s="176"/>
      <c r="H366" s="178"/>
      <c r="R366" s="169"/>
      <c r="S366" s="169"/>
    </row>
    <row r="367">
      <c r="A367" s="176"/>
      <c r="B367" s="176"/>
      <c r="C367" s="176"/>
      <c r="H367" s="178"/>
      <c r="R367" s="169"/>
      <c r="S367" s="169"/>
    </row>
    <row r="368">
      <c r="A368" s="176"/>
      <c r="B368" s="176"/>
      <c r="C368" s="176"/>
      <c r="H368" s="178"/>
      <c r="R368" s="169"/>
      <c r="S368" s="169"/>
    </row>
    <row r="369">
      <c r="A369" s="176"/>
      <c r="B369" s="176"/>
      <c r="C369" s="176"/>
      <c r="H369" s="178"/>
      <c r="R369" s="169"/>
      <c r="S369" s="169"/>
    </row>
    <row r="370">
      <c r="A370" s="176"/>
      <c r="B370" s="176"/>
      <c r="C370" s="176"/>
      <c r="H370" s="178"/>
      <c r="R370" s="169"/>
      <c r="S370" s="169"/>
    </row>
    <row r="371">
      <c r="A371" s="176"/>
      <c r="B371" s="176"/>
      <c r="C371" s="176"/>
      <c r="H371" s="178"/>
      <c r="R371" s="169"/>
      <c r="S371" s="169"/>
    </row>
    <row r="372">
      <c r="A372" s="176"/>
      <c r="B372" s="176"/>
      <c r="C372" s="176"/>
      <c r="H372" s="178"/>
      <c r="R372" s="169"/>
      <c r="S372" s="169"/>
    </row>
    <row r="373">
      <c r="A373" s="176"/>
      <c r="B373" s="176"/>
      <c r="C373" s="176"/>
      <c r="H373" s="178"/>
      <c r="R373" s="169"/>
      <c r="S373" s="169"/>
    </row>
    <row r="374">
      <c r="A374" s="176"/>
      <c r="B374" s="176"/>
      <c r="C374" s="176"/>
      <c r="H374" s="178"/>
      <c r="R374" s="169"/>
      <c r="S374" s="169"/>
    </row>
    <row r="375">
      <c r="A375" s="176"/>
      <c r="B375" s="176"/>
      <c r="C375" s="176"/>
      <c r="H375" s="178"/>
      <c r="R375" s="169"/>
      <c r="S375" s="169"/>
    </row>
    <row r="376">
      <c r="A376" s="176"/>
      <c r="B376" s="176"/>
      <c r="C376" s="176"/>
      <c r="H376" s="178"/>
      <c r="R376" s="169"/>
      <c r="S376" s="169"/>
    </row>
    <row r="377">
      <c r="A377" s="176"/>
      <c r="B377" s="176"/>
      <c r="C377" s="176"/>
      <c r="H377" s="178"/>
      <c r="R377" s="169"/>
      <c r="S377" s="169"/>
    </row>
    <row r="378">
      <c r="A378" s="176"/>
      <c r="B378" s="176"/>
      <c r="C378" s="176"/>
      <c r="H378" s="178"/>
      <c r="R378" s="169"/>
      <c r="S378" s="169"/>
    </row>
    <row r="379">
      <c r="A379" s="176"/>
      <c r="B379" s="176"/>
      <c r="C379" s="176"/>
      <c r="H379" s="178"/>
      <c r="R379" s="169"/>
      <c r="S379" s="169"/>
    </row>
    <row r="380">
      <c r="A380" s="176"/>
      <c r="B380" s="176"/>
      <c r="C380" s="176"/>
      <c r="H380" s="178"/>
      <c r="R380" s="169"/>
      <c r="S380" s="169"/>
    </row>
    <row r="381">
      <c r="A381" s="176"/>
      <c r="B381" s="176"/>
      <c r="C381" s="176"/>
      <c r="H381" s="178"/>
      <c r="R381" s="169"/>
      <c r="S381" s="169"/>
    </row>
    <row r="382">
      <c r="A382" s="176"/>
      <c r="B382" s="176"/>
      <c r="C382" s="176"/>
      <c r="H382" s="178"/>
      <c r="R382" s="169"/>
      <c r="S382" s="169"/>
    </row>
    <row r="383">
      <c r="A383" s="176"/>
      <c r="B383" s="176"/>
      <c r="C383" s="176"/>
      <c r="H383" s="178"/>
      <c r="R383" s="169"/>
      <c r="S383" s="169"/>
    </row>
    <row r="384">
      <c r="A384" s="176"/>
      <c r="B384" s="176"/>
      <c r="C384" s="176"/>
      <c r="H384" s="178"/>
      <c r="R384" s="169"/>
      <c r="S384" s="169"/>
    </row>
    <row r="385">
      <c r="A385" s="176"/>
      <c r="B385" s="176"/>
      <c r="C385" s="176"/>
      <c r="H385" s="178"/>
      <c r="R385" s="169"/>
      <c r="S385" s="169"/>
    </row>
    <row r="386">
      <c r="A386" s="176"/>
      <c r="B386" s="176"/>
      <c r="C386" s="176"/>
      <c r="H386" s="178"/>
      <c r="R386" s="169"/>
      <c r="S386" s="169"/>
    </row>
    <row r="387">
      <c r="A387" s="176"/>
      <c r="B387" s="176"/>
      <c r="C387" s="176"/>
      <c r="H387" s="178"/>
      <c r="R387" s="169"/>
      <c r="S387" s="169"/>
    </row>
    <row r="388">
      <c r="A388" s="176"/>
      <c r="B388" s="176"/>
      <c r="C388" s="176"/>
      <c r="H388" s="178"/>
      <c r="R388" s="169"/>
      <c r="S388" s="169"/>
    </row>
    <row r="389">
      <c r="A389" s="176"/>
      <c r="B389" s="176"/>
      <c r="C389" s="176"/>
      <c r="H389" s="178"/>
      <c r="R389" s="169"/>
      <c r="S389" s="169"/>
    </row>
    <row r="390">
      <c r="A390" s="176"/>
      <c r="B390" s="176"/>
      <c r="C390" s="176"/>
      <c r="H390" s="178"/>
      <c r="R390" s="169"/>
      <c r="S390" s="169"/>
    </row>
    <row r="391">
      <c r="A391" s="176"/>
      <c r="B391" s="176"/>
      <c r="C391" s="176"/>
      <c r="H391" s="178"/>
      <c r="R391" s="169"/>
      <c r="S391" s="169"/>
    </row>
    <row r="392">
      <c r="A392" s="176"/>
      <c r="B392" s="176"/>
      <c r="C392" s="176"/>
      <c r="H392" s="178"/>
      <c r="R392" s="169"/>
      <c r="S392" s="169"/>
    </row>
    <row r="393">
      <c r="A393" s="176"/>
      <c r="B393" s="176"/>
      <c r="C393" s="176"/>
      <c r="H393" s="178"/>
      <c r="R393" s="169"/>
      <c r="S393" s="169"/>
    </row>
    <row r="394">
      <c r="A394" s="176"/>
      <c r="B394" s="176"/>
      <c r="C394" s="176"/>
      <c r="H394" s="178"/>
      <c r="R394" s="169"/>
      <c r="S394" s="169"/>
    </row>
    <row r="395">
      <c r="A395" s="176"/>
      <c r="B395" s="176"/>
      <c r="C395" s="176"/>
      <c r="H395" s="178"/>
      <c r="R395" s="169"/>
      <c r="S395" s="169"/>
    </row>
    <row r="396">
      <c r="A396" s="176"/>
      <c r="B396" s="176"/>
      <c r="C396" s="176"/>
      <c r="H396" s="178"/>
      <c r="R396" s="169"/>
      <c r="S396" s="169"/>
    </row>
    <row r="397">
      <c r="A397" s="176"/>
      <c r="B397" s="176"/>
      <c r="C397" s="176"/>
      <c r="H397" s="178"/>
      <c r="R397" s="169"/>
      <c r="S397" s="169"/>
    </row>
    <row r="398">
      <c r="A398" s="176"/>
      <c r="B398" s="176"/>
      <c r="C398" s="176"/>
      <c r="H398" s="178"/>
      <c r="R398" s="169"/>
      <c r="S398" s="169"/>
    </row>
    <row r="399">
      <c r="A399" s="176"/>
      <c r="B399" s="176"/>
      <c r="C399" s="176"/>
      <c r="H399" s="178"/>
      <c r="R399" s="169"/>
      <c r="S399" s="169"/>
    </row>
    <row r="400">
      <c r="A400" s="176"/>
      <c r="B400" s="176"/>
      <c r="C400" s="176"/>
      <c r="H400" s="178"/>
      <c r="R400" s="169"/>
      <c r="S400" s="169"/>
    </row>
    <row r="401">
      <c r="A401" s="176"/>
      <c r="B401" s="176"/>
      <c r="C401" s="176"/>
      <c r="H401" s="178"/>
      <c r="R401" s="169"/>
      <c r="S401" s="169"/>
    </row>
    <row r="402">
      <c r="A402" s="176"/>
      <c r="B402" s="176"/>
      <c r="C402" s="176"/>
      <c r="H402" s="178"/>
      <c r="R402" s="169"/>
      <c r="S402" s="169"/>
    </row>
    <row r="403">
      <c r="A403" s="176"/>
      <c r="B403" s="176"/>
      <c r="C403" s="176"/>
      <c r="H403" s="178"/>
      <c r="R403" s="169"/>
      <c r="S403" s="169"/>
    </row>
    <row r="404">
      <c r="A404" s="176"/>
      <c r="B404" s="176"/>
      <c r="C404" s="176"/>
      <c r="H404" s="178"/>
      <c r="R404" s="169"/>
      <c r="S404" s="169"/>
    </row>
    <row r="405">
      <c r="A405" s="176"/>
      <c r="B405" s="176"/>
      <c r="C405" s="176"/>
      <c r="H405" s="178"/>
      <c r="R405" s="169"/>
      <c r="S405" s="169"/>
    </row>
    <row r="406">
      <c r="A406" s="176"/>
      <c r="B406" s="176"/>
      <c r="C406" s="176"/>
      <c r="H406" s="178"/>
      <c r="R406" s="169"/>
      <c r="S406" s="169"/>
    </row>
    <row r="407">
      <c r="A407" s="176"/>
      <c r="B407" s="176"/>
      <c r="C407" s="176"/>
      <c r="H407" s="178"/>
      <c r="R407" s="169"/>
      <c r="S407" s="169"/>
    </row>
    <row r="408">
      <c r="A408" s="176"/>
      <c r="B408" s="176"/>
      <c r="C408" s="176"/>
      <c r="H408" s="178"/>
      <c r="R408" s="169"/>
      <c r="S408" s="169"/>
    </row>
    <row r="409">
      <c r="A409" s="176"/>
      <c r="B409" s="176"/>
      <c r="C409" s="176"/>
      <c r="H409" s="178"/>
      <c r="R409" s="169"/>
      <c r="S409" s="169"/>
    </row>
    <row r="410">
      <c r="A410" s="176"/>
      <c r="B410" s="176"/>
      <c r="C410" s="176"/>
      <c r="H410" s="178"/>
      <c r="R410" s="169"/>
      <c r="S410" s="169"/>
    </row>
    <row r="411">
      <c r="A411" s="176"/>
      <c r="B411" s="176"/>
      <c r="C411" s="176"/>
      <c r="H411" s="178"/>
      <c r="R411" s="169"/>
      <c r="S411" s="169"/>
    </row>
    <row r="412">
      <c r="A412" s="176"/>
      <c r="B412" s="176"/>
      <c r="C412" s="176"/>
      <c r="H412" s="178"/>
      <c r="R412" s="169"/>
      <c r="S412" s="169"/>
    </row>
    <row r="413">
      <c r="A413" s="176"/>
      <c r="B413" s="176"/>
      <c r="C413" s="176"/>
      <c r="H413" s="178"/>
      <c r="R413" s="169"/>
      <c r="S413" s="169"/>
    </row>
    <row r="414">
      <c r="A414" s="176"/>
      <c r="B414" s="176"/>
      <c r="C414" s="176"/>
      <c r="H414" s="178"/>
      <c r="R414" s="169"/>
      <c r="S414" s="169"/>
    </row>
    <row r="415">
      <c r="A415" s="176"/>
      <c r="B415" s="176"/>
      <c r="C415" s="176"/>
      <c r="H415" s="178"/>
      <c r="R415" s="169"/>
      <c r="S415" s="169"/>
    </row>
    <row r="416">
      <c r="A416" s="176"/>
      <c r="B416" s="176"/>
      <c r="C416" s="176"/>
      <c r="H416" s="178"/>
      <c r="R416" s="169"/>
      <c r="S416" s="169"/>
    </row>
    <row r="417">
      <c r="A417" s="176"/>
      <c r="B417" s="176"/>
      <c r="C417" s="176"/>
      <c r="H417" s="178"/>
      <c r="R417" s="169"/>
      <c r="S417" s="169"/>
    </row>
    <row r="418">
      <c r="A418" s="176"/>
      <c r="B418" s="176"/>
      <c r="C418" s="176"/>
      <c r="H418" s="178"/>
      <c r="R418" s="169"/>
      <c r="S418" s="169"/>
    </row>
    <row r="419">
      <c r="A419" s="176"/>
      <c r="B419" s="176"/>
      <c r="C419" s="176"/>
      <c r="H419" s="178"/>
      <c r="R419" s="169"/>
      <c r="S419" s="169"/>
    </row>
    <row r="420">
      <c r="A420" s="176"/>
      <c r="B420" s="176"/>
      <c r="C420" s="176"/>
      <c r="H420" s="178"/>
      <c r="R420" s="169"/>
      <c r="S420" s="169"/>
    </row>
    <row r="421">
      <c r="A421" s="176"/>
      <c r="B421" s="176"/>
      <c r="C421" s="176"/>
      <c r="H421" s="178"/>
      <c r="R421" s="169"/>
      <c r="S421" s="169"/>
    </row>
    <row r="422">
      <c r="A422" s="176"/>
      <c r="B422" s="176"/>
      <c r="C422" s="176"/>
      <c r="H422" s="178"/>
      <c r="R422" s="169"/>
      <c r="S422" s="169"/>
    </row>
    <row r="423">
      <c r="A423" s="176"/>
      <c r="B423" s="176"/>
      <c r="C423" s="176"/>
      <c r="H423" s="178"/>
      <c r="R423" s="169"/>
      <c r="S423" s="169"/>
    </row>
    <row r="424">
      <c r="A424" s="176"/>
      <c r="B424" s="176"/>
      <c r="C424" s="176"/>
      <c r="H424" s="178"/>
      <c r="R424" s="169"/>
      <c r="S424" s="169"/>
    </row>
    <row r="425">
      <c r="A425" s="176"/>
      <c r="B425" s="176"/>
      <c r="C425" s="176"/>
      <c r="H425" s="178"/>
      <c r="R425" s="169"/>
      <c r="S425" s="169"/>
    </row>
    <row r="426">
      <c r="A426" s="176"/>
      <c r="B426" s="176"/>
      <c r="C426" s="176"/>
      <c r="H426" s="178"/>
      <c r="R426" s="169"/>
      <c r="S426" s="169"/>
    </row>
    <row r="427">
      <c r="A427" s="176"/>
      <c r="B427" s="176"/>
      <c r="C427" s="176"/>
      <c r="H427" s="178"/>
      <c r="R427" s="169"/>
      <c r="S427" s="169"/>
    </row>
    <row r="428">
      <c r="A428" s="176"/>
      <c r="B428" s="176"/>
      <c r="C428" s="176"/>
      <c r="H428" s="178"/>
      <c r="R428" s="169"/>
      <c r="S428" s="169"/>
    </row>
    <row r="429">
      <c r="A429" s="176"/>
      <c r="B429" s="176"/>
      <c r="C429" s="176"/>
      <c r="H429" s="178"/>
      <c r="R429" s="169"/>
      <c r="S429" s="169"/>
    </row>
    <row r="430">
      <c r="A430" s="176"/>
      <c r="B430" s="176"/>
      <c r="C430" s="176"/>
      <c r="H430" s="178"/>
      <c r="R430" s="169"/>
      <c r="S430" s="169"/>
    </row>
    <row r="431">
      <c r="A431" s="176"/>
      <c r="B431" s="176"/>
      <c r="C431" s="176"/>
      <c r="H431" s="178"/>
      <c r="R431" s="169"/>
      <c r="S431" s="169"/>
    </row>
    <row r="432">
      <c r="A432" s="176"/>
      <c r="B432" s="176"/>
      <c r="C432" s="176"/>
      <c r="H432" s="178"/>
      <c r="R432" s="169"/>
      <c r="S432" s="169"/>
    </row>
    <row r="433">
      <c r="A433" s="176"/>
      <c r="B433" s="176"/>
      <c r="C433" s="176"/>
      <c r="H433" s="178"/>
      <c r="R433" s="169"/>
      <c r="S433" s="169"/>
    </row>
    <row r="434">
      <c r="A434" s="176"/>
      <c r="B434" s="176"/>
      <c r="C434" s="176"/>
      <c r="H434" s="178"/>
      <c r="R434" s="169"/>
      <c r="S434" s="169"/>
    </row>
    <row r="435">
      <c r="A435" s="176"/>
      <c r="B435" s="176"/>
      <c r="C435" s="176"/>
      <c r="H435" s="178"/>
      <c r="R435" s="169"/>
      <c r="S435" s="169"/>
    </row>
    <row r="436">
      <c r="A436" s="176"/>
      <c r="B436" s="176"/>
      <c r="C436" s="176"/>
      <c r="H436" s="178"/>
      <c r="R436" s="169"/>
      <c r="S436" s="169"/>
    </row>
    <row r="437">
      <c r="A437" s="176"/>
      <c r="B437" s="176"/>
      <c r="C437" s="176"/>
      <c r="H437" s="178"/>
      <c r="R437" s="169"/>
      <c r="S437" s="169"/>
    </row>
    <row r="438">
      <c r="A438" s="176"/>
      <c r="B438" s="176"/>
      <c r="C438" s="176"/>
      <c r="H438" s="178"/>
      <c r="R438" s="169"/>
      <c r="S438" s="169"/>
    </row>
    <row r="439">
      <c r="A439" s="176"/>
      <c r="B439" s="176"/>
      <c r="C439" s="176"/>
      <c r="H439" s="178"/>
      <c r="R439" s="169"/>
      <c r="S439" s="169"/>
    </row>
    <row r="440">
      <c r="A440" s="176"/>
      <c r="B440" s="176"/>
      <c r="C440" s="176"/>
      <c r="H440" s="178"/>
      <c r="R440" s="169"/>
      <c r="S440" s="169"/>
    </row>
    <row r="441">
      <c r="A441" s="176"/>
      <c r="B441" s="176"/>
      <c r="C441" s="176"/>
      <c r="H441" s="178"/>
      <c r="R441" s="169"/>
      <c r="S441" s="169"/>
    </row>
    <row r="442">
      <c r="A442" s="176"/>
      <c r="B442" s="176"/>
      <c r="C442" s="176"/>
      <c r="H442" s="178"/>
      <c r="R442" s="169"/>
      <c r="S442" s="169"/>
    </row>
    <row r="443">
      <c r="A443" s="176"/>
      <c r="B443" s="176"/>
      <c r="C443" s="176"/>
      <c r="H443" s="178"/>
      <c r="R443" s="169"/>
      <c r="S443" s="169"/>
    </row>
    <row r="444">
      <c r="A444" s="176"/>
      <c r="B444" s="176"/>
      <c r="C444" s="176"/>
      <c r="H444" s="178"/>
      <c r="R444" s="169"/>
      <c r="S444" s="169"/>
    </row>
    <row r="445">
      <c r="A445" s="176"/>
      <c r="B445" s="176"/>
      <c r="C445" s="176"/>
      <c r="H445" s="178"/>
      <c r="R445" s="169"/>
      <c r="S445" s="169"/>
    </row>
    <row r="446">
      <c r="A446" s="176"/>
      <c r="B446" s="176"/>
      <c r="C446" s="176"/>
      <c r="H446" s="178"/>
      <c r="R446" s="169"/>
      <c r="S446" s="169"/>
    </row>
    <row r="447">
      <c r="A447" s="176"/>
      <c r="B447" s="176"/>
      <c r="C447" s="176"/>
      <c r="H447" s="178"/>
      <c r="R447" s="169"/>
      <c r="S447" s="169"/>
    </row>
    <row r="448">
      <c r="A448" s="176"/>
      <c r="B448" s="176"/>
      <c r="C448" s="176"/>
      <c r="H448" s="178"/>
      <c r="R448" s="169"/>
      <c r="S448" s="169"/>
    </row>
    <row r="449">
      <c r="A449" s="176"/>
      <c r="B449" s="176"/>
      <c r="C449" s="176"/>
      <c r="H449" s="178"/>
      <c r="R449" s="169"/>
      <c r="S449" s="169"/>
    </row>
    <row r="450">
      <c r="A450" s="176"/>
      <c r="B450" s="176"/>
      <c r="C450" s="176"/>
      <c r="H450" s="178"/>
      <c r="R450" s="169"/>
      <c r="S450" s="169"/>
    </row>
    <row r="451">
      <c r="A451" s="176"/>
      <c r="B451" s="176"/>
      <c r="C451" s="176"/>
      <c r="H451" s="178"/>
      <c r="R451" s="169"/>
      <c r="S451" s="169"/>
    </row>
    <row r="452">
      <c r="A452" s="176"/>
      <c r="B452" s="176"/>
      <c r="C452" s="176"/>
      <c r="H452" s="178"/>
      <c r="R452" s="169"/>
      <c r="S452" s="169"/>
    </row>
    <row r="453">
      <c r="A453" s="176"/>
      <c r="B453" s="176"/>
      <c r="C453" s="176"/>
      <c r="H453" s="178"/>
      <c r="R453" s="169"/>
      <c r="S453" s="169"/>
    </row>
    <row r="454">
      <c r="A454" s="176"/>
      <c r="B454" s="176"/>
      <c r="C454" s="176"/>
      <c r="H454" s="178"/>
      <c r="R454" s="169"/>
      <c r="S454" s="169"/>
    </row>
    <row r="455">
      <c r="A455" s="176"/>
      <c r="B455" s="176"/>
      <c r="C455" s="176"/>
      <c r="H455" s="178"/>
      <c r="R455" s="169"/>
      <c r="S455" s="169"/>
    </row>
    <row r="456">
      <c r="A456" s="176"/>
      <c r="B456" s="176"/>
      <c r="C456" s="176"/>
      <c r="H456" s="178"/>
      <c r="R456" s="169"/>
      <c r="S456" s="169"/>
    </row>
    <row r="457">
      <c r="A457" s="176"/>
      <c r="B457" s="176"/>
      <c r="C457" s="176"/>
      <c r="H457" s="178"/>
      <c r="R457" s="169"/>
      <c r="S457" s="169"/>
    </row>
    <row r="458">
      <c r="A458" s="176"/>
      <c r="B458" s="176"/>
      <c r="C458" s="176"/>
      <c r="H458" s="178"/>
      <c r="R458" s="169"/>
      <c r="S458" s="169"/>
    </row>
    <row r="459">
      <c r="A459" s="176"/>
      <c r="B459" s="176"/>
      <c r="C459" s="176"/>
      <c r="H459" s="178"/>
      <c r="R459" s="169"/>
      <c r="S459" s="169"/>
    </row>
    <row r="460">
      <c r="A460" s="176"/>
      <c r="B460" s="176"/>
      <c r="C460" s="176"/>
      <c r="H460" s="178"/>
      <c r="R460" s="169"/>
      <c r="S460" s="169"/>
    </row>
    <row r="461">
      <c r="A461" s="176"/>
      <c r="B461" s="176"/>
      <c r="C461" s="176"/>
      <c r="H461" s="178"/>
      <c r="R461" s="169"/>
      <c r="S461" s="169"/>
    </row>
    <row r="462">
      <c r="A462" s="176"/>
      <c r="B462" s="176"/>
      <c r="C462" s="176"/>
      <c r="H462" s="178"/>
      <c r="R462" s="169"/>
      <c r="S462" s="169"/>
    </row>
    <row r="463">
      <c r="A463" s="176"/>
      <c r="B463" s="176"/>
      <c r="C463" s="176"/>
      <c r="H463" s="178"/>
      <c r="R463" s="169"/>
      <c r="S463" s="169"/>
    </row>
    <row r="464">
      <c r="A464" s="176"/>
      <c r="B464" s="176"/>
      <c r="C464" s="176"/>
      <c r="H464" s="178"/>
      <c r="R464" s="169"/>
      <c r="S464" s="169"/>
    </row>
    <row r="465">
      <c r="A465" s="176"/>
      <c r="B465" s="176"/>
      <c r="C465" s="176"/>
      <c r="H465" s="178"/>
      <c r="R465" s="169"/>
      <c r="S465" s="169"/>
    </row>
    <row r="466">
      <c r="A466" s="176"/>
      <c r="B466" s="176"/>
      <c r="C466" s="176"/>
      <c r="H466" s="178"/>
      <c r="R466" s="169"/>
      <c r="S466" s="169"/>
    </row>
    <row r="467">
      <c r="A467" s="176"/>
      <c r="B467" s="176"/>
      <c r="C467" s="176"/>
      <c r="H467" s="178"/>
      <c r="R467" s="169"/>
      <c r="S467" s="169"/>
    </row>
    <row r="468">
      <c r="A468" s="176"/>
      <c r="B468" s="176"/>
      <c r="C468" s="176"/>
      <c r="H468" s="178"/>
      <c r="R468" s="169"/>
      <c r="S468" s="169"/>
    </row>
    <row r="469">
      <c r="A469" s="176"/>
      <c r="B469" s="176"/>
      <c r="C469" s="176"/>
      <c r="H469" s="178"/>
      <c r="R469" s="169"/>
      <c r="S469" s="169"/>
    </row>
    <row r="470">
      <c r="A470" s="176"/>
      <c r="B470" s="176"/>
      <c r="C470" s="176"/>
      <c r="H470" s="178"/>
      <c r="R470" s="169"/>
      <c r="S470" s="169"/>
    </row>
    <row r="471">
      <c r="A471" s="176"/>
      <c r="B471" s="176"/>
      <c r="C471" s="176"/>
      <c r="H471" s="178"/>
      <c r="R471" s="169"/>
      <c r="S471" s="169"/>
    </row>
    <row r="472">
      <c r="A472" s="176"/>
      <c r="B472" s="176"/>
      <c r="C472" s="176"/>
      <c r="H472" s="178"/>
      <c r="R472" s="169"/>
      <c r="S472" s="169"/>
    </row>
    <row r="473">
      <c r="A473" s="176"/>
      <c r="B473" s="176"/>
      <c r="C473" s="176"/>
      <c r="H473" s="178"/>
      <c r="R473" s="169"/>
      <c r="S473" s="169"/>
    </row>
    <row r="474">
      <c r="A474" s="176"/>
      <c r="B474" s="176"/>
      <c r="C474" s="176"/>
      <c r="H474" s="178"/>
      <c r="R474" s="169"/>
      <c r="S474" s="169"/>
    </row>
    <row r="475">
      <c r="A475" s="176"/>
      <c r="B475" s="176"/>
      <c r="C475" s="176"/>
      <c r="H475" s="178"/>
      <c r="R475" s="169"/>
      <c r="S475" s="169"/>
    </row>
    <row r="476">
      <c r="A476" s="176"/>
      <c r="B476" s="176"/>
      <c r="C476" s="176"/>
      <c r="H476" s="178"/>
      <c r="R476" s="169"/>
      <c r="S476" s="169"/>
    </row>
    <row r="477">
      <c r="A477" s="176"/>
      <c r="B477" s="176"/>
      <c r="C477" s="176"/>
      <c r="H477" s="178"/>
      <c r="R477" s="169"/>
      <c r="S477" s="169"/>
    </row>
    <row r="478">
      <c r="A478" s="176"/>
      <c r="B478" s="176"/>
      <c r="C478" s="176"/>
      <c r="H478" s="178"/>
      <c r="R478" s="169"/>
      <c r="S478" s="169"/>
    </row>
    <row r="479">
      <c r="A479" s="176"/>
      <c r="B479" s="176"/>
      <c r="C479" s="176"/>
      <c r="H479" s="178"/>
      <c r="R479" s="169"/>
      <c r="S479" s="169"/>
    </row>
    <row r="480">
      <c r="A480" s="176"/>
      <c r="B480" s="176"/>
      <c r="C480" s="176"/>
      <c r="H480" s="178"/>
      <c r="R480" s="169"/>
      <c r="S480" s="169"/>
    </row>
    <row r="481">
      <c r="A481" s="176"/>
      <c r="B481" s="176"/>
      <c r="C481" s="176"/>
      <c r="H481" s="178"/>
      <c r="R481" s="169"/>
      <c r="S481" s="169"/>
    </row>
    <row r="482">
      <c r="A482" s="176"/>
      <c r="B482" s="176"/>
      <c r="C482" s="176"/>
      <c r="H482" s="178"/>
      <c r="R482" s="169"/>
      <c r="S482" s="169"/>
    </row>
    <row r="483">
      <c r="A483" s="176"/>
      <c r="B483" s="176"/>
      <c r="C483" s="176"/>
      <c r="H483" s="178"/>
      <c r="R483" s="169"/>
      <c r="S483" s="169"/>
    </row>
    <row r="484">
      <c r="A484" s="176"/>
      <c r="B484" s="176"/>
      <c r="C484" s="176"/>
      <c r="H484" s="178"/>
      <c r="R484" s="169"/>
      <c r="S484" s="169"/>
    </row>
    <row r="485">
      <c r="A485" s="176"/>
      <c r="B485" s="176"/>
      <c r="C485" s="176"/>
      <c r="H485" s="178"/>
      <c r="R485" s="169"/>
      <c r="S485" s="169"/>
    </row>
    <row r="486">
      <c r="A486" s="176"/>
      <c r="B486" s="176"/>
      <c r="C486" s="176"/>
      <c r="H486" s="178"/>
      <c r="R486" s="169"/>
      <c r="S486" s="169"/>
    </row>
    <row r="487">
      <c r="A487" s="176"/>
      <c r="B487" s="176"/>
      <c r="C487" s="176"/>
      <c r="H487" s="178"/>
      <c r="R487" s="169"/>
      <c r="S487" s="169"/>
    </row>
    <row r="488">
      <c r="A488" s="176"/>
      <c r="B488" s="176"/>
      <c r="C488" s="176"/>
      <c r="H488" s="178"/>
      <c r="R488" s="169"/>
      <c r="S488" s="169"/>
    </row>
    <row r="489">
      <c r="A489" s="176"/>
      <c r="B489" s="176"/>
      <c r="C489" s="176"/>
      <c r="H489" s="178"/>
      <c r="R489" s="169"/>
      <c r="S489" s="169"/>
    </row>
    <row r="490">
      <c r="A490" s="176"/>
      <c r="B490" s="176"/>
      <c r="C490" s="176"/>
      <c r="H490" s="178"/>
      <c r="R490" s="169"/>
      <c r="S490" s="169"/>
    </row>
    <row r="491">
      <c r="A491" s="176"/>
      <c r="B491" s="176"/>
      <c r="C491" s="176"/>
      <c r="H491" s="178"/>
      <c r="R491" s="169"/>
      <c r="S491" s="169"/>
    </row>
    <row r="492">
      <c r="A492" s="176"/>
      <c r="B492" s="176"/>
      <c r="C492" s="176"/>
      <c r="H492" s="178"/>
      <c r="R492" s="169"/>
      <c r="S492" s="169"/>
    </row>
    <row r="493">
      <c r="A493" s="176"/>
      <c r="B493" s="176"/>
      <c r="C493" s="176"/>
      <c r="H493" s="178"/>
      <c r="R493" s="169"/>
      <c r="S493" s="169"/>
    </row>
    <row r="494">
      <c r="A494" s="176"/>
      <c r="B494" s="176"/>
      <c r="C494" s="176"/>
      <c r="H494" s="178"/>
      <c r="R494" s="169"/>
      <c r="S494" s="169"/>
    </row>
    <row r="495">
      <c r="A495" s="176"/>
      <c r="B495" s="176"/>
      <c r="C495" s="176"/>
      <c r="H495" s="178"/>
      <c r="R495" s="169"/>
      <c r="S495" s="169"/>
    </row>
    <row r="496">
      <c r="A496" s="176"/>
      <c r="B496" s="176"/>
      <c r="C496" s="176"/>
      <c r="H496" s="178"/>
      <c r="R496" s="169"/>
      <c r="S496" s="169"/>
    </row>
    <row r="497">
      <c r="A497" s="176"/>
      <c r="B497" s="176"/>
      <c r="C497" s="176"/>
      <c r="H497" s="178"/>
      <c r="R497" s="169"/>
      <c r="S497" s="169"/>
    </row>
    <row r="498">
      <c r="A498" s="176"/>
      <c r="B498" s="176"/>
      <c r="C498" s="176"/>
      <c r="H498" s="178"/>
      <c r="R498" s="169"/>
      <c r="S498" s="169"/>
    </row>
    <row r="499">
      <c r="A499" s="176"/>
      <c r="B499" s="176"/>
      <c r="C499" s="176"/>
      <c r="H499" s="178"/>
      <c r="R499" s="169"/>
      <c r="S499" s="169"/>
    </row>
    <row r="500">
      <c r="A500" s="176"/>
      <c r="B500" s="176"/>
      <c r="C500" s="176"/>
      <c r="H500" s="178"/>
      <c r="R500" s="169"/>
      <c r="S500" s="169"/>
    </row>
    <row r="501">
      <c r="A501" s="176"/>
      <c r="B501" s="176"/>
      <c r="C501" s="176"/>
      <c r="H501" s="178"/>
      <c r="R501" s="169"/>
      <c r="S501" s="169"/>
    </row>
    <row r="502">
      <c r="A502" s="176"/>
      <c r="B502" s="176"/>
      <c r="C502" s="176"/>
      <c r="H502" s="178"/>
      <c r="R502" s="169"/>
      <c r="S502" s="169"/>
    </row>
    <row r="503">
      <c r="A503" s="176"/>
      <c r="B503" s="176"/>
      <c r="C503" s="176"/>
      <c r="H503" s="178"/>
      <c r="R503" s="169"/>
      <c r="S503" s="169"/>
    </row>
    <row r="504">
      <c r="A504" s="176"/>
      <c r="B504" s="176"/>
      <c r="C504" s="176"/>
      <c r="H504" s="178"/>
      <c r="R504" s="169"/>
      <c r="S504" s="169"/>
    </row>
    <row r="505">
      <c r="A505" s="176"/>
      <c r="B505" s="176"/>
      <c r="C505" s="176"/>
      <c r="H505" s="178"/>
      <c r="R505" s="169"/>
      <c r="S505" s="169"/>
    </row>
    <row r="506">
      <c r="A506" s="176"/>
      <c r="B506" s="176"/>
      <c r="C506" s="176"/>
      <c r="H506" s="178"/>
      <c r="R506" s="169"/>
      <c r="S506" s="169"/>
    </row>
    <row r="507">
      <c r="A507" s="176"/>
      <c r="B507" s="176"/>
      <c r="C507" s="176"/>
      <c r="H507" s="178"/>
      <c r="R507" s="169"/>
      <c r="S507" s="169"/>
    </row>
    <row r="508">
      <c r="A508" s="176"/>
      <c r="B508" s="176"/>
      <c r="C508" s="176"/>
      <c r="H508" s="178"/>
      <c r="R508" s="169"/>
      <c r="S508" s="169"/>
    </row>
    <row r="509">
      <c r="A509" s="176"/>
      <c r="B509" s="176"/>
      <c r="C509" s="176"/>
      <c r="H509" s="178"/>
      <c r="R509" s="169"/>
      <c r="S509" s="169"/>
    </row>
    <row r="510">
      <c r="A510" s="176"/>
      <c r="B510" s="176"/>
      <c r="C510" s="176"/>
      <c r="H510" s="178"/>
      <c r="R510" s="169"/>
      <c r="S510" s="169"/>
    </row>
    <row r="511">
      <c r="A511" s="176"/>
      <c r="B511" s="176"/>
      <c r="C511" s="176"/>
      <c r="H511" s="178"/>
      <c r="R511" s="169"/>
      <c r="S511" s="169"/>
    </row>
    <row r="512">
      <c r="A512" s="176"/>
      <c r="B512" s="176"/>
      <c r="C512" s="176"/>
      <c r="H512" s="178"/>
      <c r="R512" s="169"/>
      <c r="S512" s="169"/>
    </row>
    <row r="513">
      <c r="A513" s="176"/>
      <c r="B513" s="176"/>
      <c r="C513" s="176"/>
      <c r="H513" s="178"/>
      <c r="R513" s="169"/>
      <c r="S513" s="169"/>
    </row>
    <row r="514">
      <c r="A514" s="176"/>
      <c r="B514" s="176"/>
      <c r="C514" s="176"/>
      <c r="H514" s="178"/>
      <c r="R514" s="169"/>
      <c r="S514" s="169"/>
    </row>
    <row r="515">
      <c r="A515" s="176"/>
      <c r="B515" s="176"/>
      <c r="C515" s="176"/>
      <c r="H515" s="178"/>
      <c r="R515" s="169"/>
      <c r="S515" s="169"/>
    </row>
    <row r="516">
      <c r="A516" s="176"/>
      <c r="B516" s="176"/>
      <c r="C516" s="176"/>
      <c r="H516" s="178"/>
      <c r="R516" s="169"/>
      <c r="S516" s="169"/>
    </row>
    <row r="517">
      <c r="A517" s="176"/>
      <c r="B517" s="176"/>
      <c r="C517" s="176"/>
      <c r="H517" s="178"/>
      <c r="R517" s="169"/>
      <c r="S517" s="169"/>
    </row>
    <row r="518">
      <c r="A518" s="176"/>
      <c r="B518" s="176"/>
      <c r="C518" s="176"/>
      <c r="H518" s="178"/>
      <c r="R518" s="169"/>
      <c r="S518" s="169"/>
    </row>
    <row r="519">
      <c r="A519" s="176"/>
      <c r="B519" s="176"/>
      <c r="C519" s="176"/>
      <c r="H519" s="178"/>
      <c r="R519" s="169"/>
      <c r="S519" s="169"/>
    </row>
    <row r="520">
      <c r="A520" s="176"/>
      <c r="B520" s="176"/>
      <c r="C520" s="176"/>
      <c r="H520" s="178"/>
      <c r="R520" s="169"/>
      <c r="S520" s="169"/>
    </row>
    <row r="521">
      <c r="A521" s="176"/>
      <c r="B521" s="176"/>
      <c r="C521" s="176"/>
      <c r="H521" s="178"/>
      <c r="R521" s="169"/>
      <c r="S521" s="169"/>
    </row>
    <row r="522">
      <c r="A522" s="176"/>
      <c r="B522" s="176"/>
      <c r="C522" s="176"/>
      <c r="H522" s="178"/>
      <c r="R522" s="169"/>
      <c r="S522" s="169"/>
    </row>
    <row r="523">
      <c r="A523" s="176"/>
      <c r="B523" s="176"/>
      <c r="C523" s="176"/>
      <c r="H523" s="178"/>
      <c r="R523" s="169"/>
      <c r="S523" s="169"/>
    </row>
    <row r="524">
      <c r="A524" s="176"/>
      <c r="B524" s="176"/>
      <c r="C524" s="176"/>
      <c r="H524" s="178"/>
      <c r="R524" s="169"/>
      <c r="S524" s="169"/>
    </row>
    <row r="525">
      <c r="A525" s="176"/>
      <c r="B525" s="176"/>
      <c r="C525" s="176"/>
      <c r="H525" s="178"/>
      <c r="R525" s="169"/>
      <c r="S525" s="169"/>
    </row>
    <row r="526">
      <c r="A526" s="176"/>
      <c r="B526" s="176"/>
      <c r="C526" s="176"/>
      <c r="H526" s="178"/>
      <c r="R526" s="169"/>
      <c r="S526" s="169"/>
    </row>
    <row r="527">
      <c r="A527" s="176"/>
      <c r="B527" s="176"/>
      <c r="C527" s="176"/>
      <c r="H527" s="178"/>
      <c r="R527" s="169"/>
      <c r="S527" s="169"/>
    </row>
    <row r="528">
      <c r="A528" s="176"/>
      <c r="B528" s="176"/>
      <c r="C528" s="176"/>
      <c r="H528" s="178"/>
      <c r="R528" s="169"/>
      <c r="S528" s="169"/>
    </row>
    <row r="529">
      <c r="A529" s="176"/>
      <c r="B529" s="176"/>
      <c r="C529" s="176"/>
      <c r="H529" s="178"/>
      <c r="R529" s="169"/>
      <c r="S529" s="169"/>
    </row>
    <row r="530">
      <c r="A530" s="176"/>
      <c r="B530" s="176"/>
      <c r="C530" s="176"/>
      <c r="H530" s="178"/>
      <c r="R530" s="169"/>
      <c r="S530" s="169"/>
    </row>
    <row r="531">
      <c r="A531" s="176"/>
      <c r="B531" s="176"/>
      <c r="C531" s="176"/>
      <c r="H531" s="178"/>
      <c r="R531" s="169"/>
      <c r="S531" s="169"/>
    </row>
    <row r="532">
      <c r="A532" s="176"/>
      <c r="B532" s="176"/>
      <c r="C532" s="176"/>
      <c r="H532" s="178"/>
      <c r="R532" s="169"/>
      <c r="S532" s="169"/>
    </row>
    <row r="533">
      <c r="A533" s="176"/>
      <c r="B533" s="176"/>
      <c r="C533" s="176"/>
      <c r="H533" s="178"/>
      <c r="R533" s="169"/>
      <c r="S533" s="169"/>
    </row>
    <row r="534">
      <c r="A534" s="176"/>
      <c r="B534" s="176"/>
      <c r="C534" s="176"/>
      <c r="H534" s="178"/>
      <c r="R534" s="169"/>
      <c r="S534" s="169"/>
    </row>
    <row r="535">
      <c r="A535" s="176"/>
      <c r="B535" s="176"/>
      <c r="C535" s="176"/>
      <c r="H535" s="178"/>
      <c r="R535" s="169"/>
      <c r="S535" s="169"/>
    </row>
    <row r="536">
      <c r="A536" s="176"/>
      <c r="B536" s="176"/>
      <c r="C536" s="176"/>
      <c r="H536" s="178"/>
      <c r="R536" s="169"/>
      <c r="S536" s="169"/>
    </row>
    <row r="537">
      <c r="A537" s="176"/>
      <c r="B537" s="176"/>
      <c r="C537" s="176"/>
      <c r="H537" s="178"/>
      <c r="R537" s="169"/>
      <c r="S537" s="169"/>
    </row>
    <row r="538">
      <c r="A538" s="176"/>
      <c r="B538" s="176"/>
      <c r="C538" s="176"/>
      <c r="H538" s="178"/>
      <c r="R538" s="169"/>
      <c r="S538" s="169"/>
    </row>
    <row r="539">
      <c r="A539" s="176"/>
      <c r="B539" s="176"/>
      <c r="C539" s="176"/>
      <c r="H539" s="178"/>
      <c r="R539" s="169"/>
      <c r="S539" s="169"/>
    </row>
    <row r="540">
      <c r="A540" s="176"/>
      <c r="B540" s="176"/>
      <c r="C540" s="176"/>
      <c r="H540" s="178"/>
      <c r="R540" s="169"/>
      <c r="S540" s="169"/>
    </row>
    <row r="541">
      <c r="A541" s="176"/>
      <c r="B541" s="176"/>
      <c r="C541" s="176"/>
      <c r="H541" s="178"/>
      <c r="R541" s="169"/>
      <c r="S541" s="169"/>
    </row>
    <row r="542">
      <c r="A542" s="176"/>
      <c r="B542" s="176"/>
      <c r="C542" s="176"/>
      <c r="H542" s="178"/>
      <c r="R542" s="169"/>
      <c r="S542" s="169"/>
    </row>
    <row r="543">
      <c r="A543" s="176"/>
      <c r="B543" s="176"/>
      <c r="C543" s="176"/>
      <c r="H543" s="178"/>
      <c r="R543" s="169"/>
      <c r="S543" s="169"/>
    </row>
    <row r="544">
      <c r="A544" s="176"/>
      <c r="B544" s="176"/>
      <c r="C544" s="176"/>
      <c r="H544" s="178"/>
      <c r="R544" s="169"/>
      <c r="S544" s="169"/>
    </row>
    <row r="545">
      <c r="A545" s="176"/>
      <c r="B545" s="176"/>
      <c r="C545" s="176"/>
      <c r="H545" s="178"/>
      <c r="R545" s="169"/>
      <c r="S545" s="169"/>
    </row>
    <row r="546">
      <c r="A546" s="176"/>
      <c r="B546" s="176"/>
      <c r="C546" s="176"/>
      <c r="H546" s="178"/>
      <c r="R546" s="169"/>
      <c r="S546" s="169"/>
    </row>
    <row r="547">
      <c r="A547" s="176"/>
      <c r="B547" s="176"/>
      <c r="C547" s="176"/>
      <c r="H547" s="178"/>
      <c r="R547" s="169"/>
      <c r="S547" s="169"/>
    </row>
    <row r="548">
      <c r="A548" s="176"/>
      <c r="B548" s="176"/>
      <c r="C548" s="176"/>
      <c r="H548" s="178"/>
      <c r="R548" s="169"/>
      <c r="S548" s="169"/>
    </row>
    <row r="549">
      <c r="A549" s="176"/>
      <c r="B549" s="176"/>
      <c r="C549" s="176"/>
      <c r="H549" s="178"/>
      <c r="R549" s="169"/>
      <c r="S549" s="169"/>
    </row>
    <row r="550">
      <c r="A550" s="176"/>
      <c r="B550" s="176"/>
      <c r="C550" s="176"/>
      <c r="H550" s="178"/>
      <c r="R550" s="169"/>
      <c r="S550" s="169"/>
    </row>
    <row r="551">
      <c r="A551" s="176"/>
      <c r="B551" s="176"/>
      <c r="C551" s="176"/>
      <c r="H551" s="178"/>
      <c r="R551" s="169"/>
      <c r="S551" s="169"/>
    </row>
    <row r="552">
      <c r="A552" s="176"/>
      <c r="B552" s="176"/>
      <c r="C552" s="176"/>
      <c r="H552" s="178"/>
      <c r="R552" s="169"/>
      <c r="S552" s="169"/>
    </row>
    <row r="553">
      <c r="A553" s="176"/>
      <c r="B553" s="176"/>
      <c r="C553" s="176"/>
      <c r="H553" s="178"/>
      <c r="R553" s="169"/>
      <c r="S553" s="169"/>
    </row>
    <row r="554">
      <c r="A554" s="176"/>
      <c r="B554" s="176"/>
      <c r="C554" s="176"/>
      <c r="H554" s="178"/>
      <c r="R554" s="169"/>
      <c r="S554" s="169"/>
    </row>
    <row r="555">
      <c r="A555" s="176"/>
      <c r="B555" s="176"/>
      <c r="C555" s="176"/>
      <c r="H555" s="178"/>
      <c r="R555" s="169"/>
      <c r="S555" s="169"/>
    </row>
    <row r="556">
      <c r="A556" s="176"/>
      <c r="B556" s="176"/>
      <c r="C556" s="176"/>
      <c r="H556" s="178"/>
      <c r="R556" s="169"/>
      <c r="S556" s="169"/>
    </row>
    <row r="557">
      <c r="A557" s="176"/>
      <c r="B557" s="176"/>
      <c r="C557" s="176"/>
      <c r="H557" s="178"/>
      <c r="R557" s="169"/>
      <c r="S557" s="169"/>
    </row>
    <row r="558">
      <c r="A558" s="176"/>
      <c r="B558" s="176"/>
      <c r="C558" s="176"/>
      <c r="H558" s="178"/>
      <c r="R558" s="169"/>
      <c r="S558" s="169"/>
    </row>
    <row r="559">
      <c r="A559" s="176"/>
      <c r="B559" s="176"/>
      <c r="C559" s="176"/>
      <c r="H559" s="178"/>
      <c r="R559" s="169"/>
      <c r="S559" s="169"/>
    </row>
    <row r="560">
      <c r="A560" s="176"/>
      <c r="B560" s="176"/>
      <c r="C560" s="176"/>
      <c r="H560" s="178"/>
      <c r="R560" s="169"/>
      <c r="S560" s="169"/>
    </row>
    <row r="561">
      <c r="A561" s="176"/>
      <c r="B561" s="176"/>
      <c r="C561" s="176"/>
      <c r="H561" s="178"/>
      <c r="R561" s="169"/>
      <c r="S561" s="169"/>
    </row>
    <row r="562">
      <c r="A562" s="176"/>
      <c r="B562" s="176"/>
      <c r="C562" s="176"/>
      <c r="H562" s="178"/>
      <c r="R562" s="169"/>
      <c r="S562" s="169"/>
    </row>
    <row r="563">
      <c r="A563" s="176"/>
      <c r="B563" s="176"/>
      <c r="C563" s="176"/>
      <c r="H563" s="178"/>
      <c r="R563" s="169"/>
      <c r="S563" s="169"/>
    </row>
    <row r="564">
      <c r="A564" s="176"/>
      <c r="B564" s="176"/>
      <c r="C564" s="176"/>
      <c r="H564" s="178"/>
      <c r="R564" s="169"/>
      <c r="S564" s="169"/>
    </row>
    <row r="565">
      <c r="A565" s="176"/>
      <c r="B565" s="176"/>
      <c r="C565" s="176"/>
      <c r="H565" s="178"/>
      <c r="R565" s="169"/>
      <c r="S565" s="169"/>
    </row>
    <row r="566">
      <c r="A566" s="176"/>
      <c r="B566" s="176"/>
      <c r="C566" s="176"/>
      <c r="H566" s="178"/>
      <c r="R566" s="169"/>
      <c r="S566" s="169"/>
    </row>
    <row r="567">
      <c r="A567" s="176"/>
      <c r="B567" s="176"/>
      <c r="C567" s="176"/>
      <c r="H567" s="178"/>
      <c r="R567" s="169"/>
      <c r="S567" s="169"/>
    </row>
    <row r="568">
      <c r="A568" s="176"/>
      <c r="B568" s="176"/>
      <c r="C568" s="176"/>
      <c r="H568" s="178"/>
      <c r="R568" s="169"/>
      <c r="S568" s="169"/>
    </row>
    <row r="569">
      <c r="A569" s="176"/>
      <c r="B569" s="176"/>
      <c r="C569" s="176"/>
      <c r="H569" s="178"/>
      <c r="R569" s="169"/>
      <c r="S569" s="169"/>
    </row>
    <row r="570">
      <c r="A570" s="176"/>
      <c r="B570" s="176"/>
      <c r="C570" s="176"/>
      <c r="H570" s="178"/>
      <c r="R570" s="169"/>
      <c r="S570" s="169"/>
    </row>
    <row r="571">
      <c r="A571" s="176"/>
      <c r="B571" s="176"/>
      <c r="C571" s="176"/>
      <c r="H571" s="178"/>
      <c r="R571" s="169"/>
      <c r="S571" s="169"/>
    </row>
    <row r="572">
      <c r="A572" s="176"/>
      <c r="B572" s="176"/>
      <c r="C572" s="176"/>
      <c r="H572" s="178"/>
      <c r="R572" s="169"/>
      <c r="S572" s="169"/>
    </row>
    <row r="573">
      <c r="A573" s="176"/>
      <c r="B573" s="176"/>
      <c r="C573" s="176"/>
      <c r="H573" s="178"/>
      <c r="R573" s="169"/>
      <c r="S573" s="169"/>
    </row>
    <row r="574">
      <c r="A574" s="176"/>
      <c r="B574" s="176"/>
      <c r="C574" s="176"/>
      <c r="H574" s="178"/>
      <c r="R574" s="169"/>
      <c r="S574" s="169"/>
    </row>
    <row r="575">
      <c r="A575" s="176"/>
      <c r="B575" s="176"/>
      <c r="C575" s="176"/>
      <c r="H575" s="178"/>
      <c r="R575" s="169"/>
      <c r="S575" s="169"/>
    </row>
    <row r="576">
      <c r="A576" s="176"/>
      <c r="B576" s="176"/>
      <c r="C576" s="176"/>
      <c r="H576" s="178"/>
      <c r="R576" s="169"/>
      <c r="S576" s="169"/>
    </row>
    <row r="577">
      <c r="A577" s="176"/>
      <c r="B577" s="176"/>
      <c r="C577" s="176"/>
      <c r="H577" s="178"/>
      <c r="R577" s="169"/>
      <c r="S577" s="169"/>
    </row>
    <row r="578">
      <c r="A578" s="176"/>
      <c r="B578" s="176"/>
      <c r="C578" s="176"/>
      <c r="H578" s="178"/>
      <c r="R578" s="169"/>
      <c r="S578" s="169"/>
    </row>
    <row r="579">
      <c r="A579" s="176"/>
      <c r="B579" s="176"/>
      <c r="C579" s="176"/>
      <c r="H579" s="178"/>
      <c r="R579" s="169"/>
      <c r="S579" s="169"/>
    </row>
    <row r="580">
      <c r="A580" s="176"/>
      <c r="B580" s="176"/>
      <c r="C580" s="176"/>
      <c r="H580" s="178"/>
      <c r="R580" s="169"/>
      <c r="S580" s="169"/>
    </row>
    <row r="581">
      <c r="A581" s="176"/>
      <c r="B581" s="176"/>
      <c r="C581" s="176"/>
      <c r="H581" s="178"/>
      <c r="R581" s="169"/>
      <c r="S581" s="169"/>
    </row>
    <row r="582">
      <c r="A582" s="176"/>
      <c r="B582" s="176"/>
      <c r="C582" s="176"/>
      <c r="H582" s="178"/>
      <c r="R582" s="169"/>
      <c r="S582" s="169"/>
    </row>
    <row r="583">
      <c r="A583" s="176"/>
      <c r="B583" s="176"/>
      <c r="C583" s="176"/>
      <c r="H583" s="178"/>
      <c r="R583" s="169"/>
      <c r="S583" s="169"/>
    </row>
    <row r="584">
      <c r="A584" s="176"/>
      <c r="B584" s="176"/>
      <c r="C584" s="176"/>
      <c r="H584" s="178"/>
      <c r="R584" s="169"/>
      <c r="S584" s="169"/>
    </row>
    <row r="585">
      <c r="A585" s="176"/>
      <c r="B585" s="176"/>
      <c r="C585" s="176"/>
      <c r="H585" s="178"/>
      <c r="R585" s="169"/>
      <c r="S585" s="169"/>
    </row>
    <row r="586">
      <c r="A586" s="176"/>
      <c r="B586" s="176"/>
      <c r="C586" s="176"/>
      <c r="H586" s="178"/>
      <c r="R586" s="169"/>
      <c r="S586" s="169"/>
    </row>
    <row r="587">
      <c r="A587" s="176"/>
      <c r="B587" s="176"/>
      <c r="C587" s="176"/>
      <c r="H587" s="178"/>
      <c r="R587" s="169"/>
      <c r="S587" s="169"/>
    </row>
    <row r="588">
      <c r="A588" s="176"/>
      <c r="B588" s="176"/>
      <c r="C588" s="176"/>
      <c r="H588" s="178"/>
      <c r="R588" s="169"/>
      <c r="S588" s="169"/>
    </row>
    <row r="589">
      <c r="A589" s="176"/>
      <c r="B589" s="176"/>
      <c r="C589" s="176"/>
      <c r="H589" s="178"/>
      <c r="R589" s="169"/>
      <c r="S589" s="169"/>
    </row>
    <row r="590">
      <c r="A590" s="176"/>
      <c r="B590" s="176"/>
      <c r="C590" s="176"/>
      <c r="H590" s="178"/>
      <c r="R590" s="169"/>
      <c r="S590" s="169"/>
    </row>
    <row r="591">
      <c r="A591" s="176"/>
      <c r="B591" s="176"/>
      <c r="C591" s="176"/>
      <c r="H591" s="178"/>
      <c r="R591" s="169"/>
      <c r="S591" s="169"/>
    </row>
    <row r="592">
      <c r="A592" s="176"/>
      <c r="B592" s="176"/>
      <c r="C592" s="176"/>
      <c r="H592" s="178"/>
      <c r="R592" s="169"/>
      <c r="S592" s="169"/>
    </row>
    <row r="593">
      <c r="A593" s="176"/>
      <c r="B593" s="176"/>
      <c r="C593" s="176"/>
      <c r="H593" s="178"/>
      <c r="R593" s="169"/>
      <c r="S593" s="169"/>
    </row>
    <row r="594">
      <c r="A594" s="176"/>
      <c r="B594" s="176"/>
      <c r="C594" s="176"/>
      <c r="H594" s="178"/>
      <c r="R594" s="169"/>
      <c r="S594" s="169"/>
    </row>
    <row r="595">
      <c r="A595" s="176"/>
      <c r="B595" s="176"/>
      <c r="C595" s="176"/>
      <c r="H595" s="178"/>
      <c r="R595" s="169"/>
      <c r="S595" s="169"/>
    </row>
    <row r="596">
      <c r="A596" s="176"/>
      <c r="B596" s="176"/>
      <c r="C596" s="176"/>
      <c r="H596" s="178"/>
      <c r="R596" s="169"/>
      <c r="S596" s="169"/>
    </row>
    <row r="597">
      <c r="A597" s="176"/>
      <c r="B597" s="176"/>
      <c r="C597" s="176"/>
      <c r="H597" s="178"/>
      <c r="R597" s="169"/>
      <c r="S597" s="169"/>
    </row>
    <row r="598">
      <c r="A598" s="176"/>
      <c r="B598" s="176"/>
      <c r="C598" s="176"/>
      <c r="H598" s="178"/>
      <c r="R598" s="169"/>
      <c r="S598" s="169"/>
    </row>
    <row r="599">
      <c r="A599" s="176"/>
      <c r="B599" s="176"/>
      <c r="C599" s="176"/>
      <c r="H599" s="178"/>
      <c r="R599" s="169"/>
      <c r="S599" s="169"/>
    </row>
    <row r="600">
      <c r="A600" s="176"/>
      <c r="B600" s="176"/>
      <c r="C600" s="176"/>
      <c r="H600" s="178"/>
      <c r="R600" s="169"/>
      <c r="S600" s="169"/>
    </row>
    <row r="601">
      <c r="A601" s="176"/>
      <c r="B601" s="176"/>
      <c r="C601" s="176"/>
      <c r="H601" s="178"/>
      <c r="R601" s="169"/>
      <c r="S601" s="169"/>
    </row>
    <row r="602">
      <c r="A602" s="176"/>
      <c r="B602" s="176"/>
      <c r="C602" s="176"/>
      <c r="H602" s="178"/>
      <c r="R602" s="169"/>
      <c r="S602" s="169"/>
    </row>
    <row r="603">
      <c r="A603" s="176"/>
      <c r="B603" s="176"/>
      <c r="C603" s="176"/>
      <c r="H603" s="178"/>
      <c r="R603" s="169"/>
      <c r="S603" s="169"/>
    </row>
    <row r="604">
      <c r="A604" s="176"/>
      <c r="B604" s="176"/>
      <c r="C604" s="176"/>
      <c r="H604" s="178"/>
      <c r="R604" s="169"/>
      <c r="S604" s="169"/>
    </row>
    <row r="605">
      <c r="A605" s="176"/>
      <c r="B605" s="176"/>
      <c r="C605" s="176"/>
      <c r="H605" s="178"/>
      <c r="R605" s="169"/>
      <c r="S605" s="169"/>
    </row>
    <row r="606">
      <c r="A606" s="176"/>
      <c r="B606" s="176"/>
      <c r="C606" s="176"/>
      <c r="H606" s="178"/>
      <c r="R606" s="169"/>
      <c r="S606" s="169"/>
    </row>
    <row r="607">
      <c r="A607" s="176"/>
      <c r="B607" s="176"/>
      <c r="C607" s="176"/>
      <c r="H607" s="178"/>
      <c r="R607" s="169"/>
      <c r="S607" s="169"/>
    </row>
    <row r="608">
      <c r="A608" s="176"/>
      <c r="B608" s="176"/>
      <c r="C608" s="176"/>
      <c r="H608" s="178"/>
      <c r="R608" s="169"/>
      <c r="S608" s="169"/>
    </row>
    <row r="609">
      <c r="A609" s="176"/>
      <c r="B609" s="176"/>
      <c r="C609" s="176"/>
      <c r="H609" s="178"/>
      <c r="R609" s="169"/>
      <c r="S609" s="169"/>
    </row>
    <row r="610">
      <c r="A610" s="176"/>
      <c r="B610" s="176"/>
      <c r="C610" s="176"/>
      <c r="H610" s="178"/>
      <c r="R610" s="169"/>
      <c r="S610" s="169"/>
    </row>
    <row r="611">
      <c r="A611" s="176"/>
      <c r="B611" s="176"/>
      <c r="C611" s="176"/>
      <c r="H611" s="178"/>
      <c r="R611" s="169"/>
      <c r="S611" s="169"/>
    </row>
    <row r="612">
      <c r="A612" s="176"/>
      <c r="B612" s="176"/>
      <c r="C612" s="176"/>
      <c r="H612" s="178"/>
      <c r="R612" s="169"/>
      <c r="S612" s="169"/>
    </row>
    <row r="613">
      <c r="A613" s="176"/>
      <c r="B613" s="176"/>
      <c r="C613" s="176"/>
      <c r="H613" s="178"/>
      <c r="R613" s="169"/>
      <c r="S613" s="169"/>
    </row>
    <row r="614">
      <c r="A614" s="176"/>
      <c r="B614" s="176"/>
      <c r="C614" s="176"/>
      <c r="H614" s="178"/>
      <c r="R614" s="169"/>
      <c r="S614" s="169"/>
    </row>
    <row r="615">
      <c r="A615" s="176"/>
      <c r="B615" s="176"/>
      <c r="C615" s="176"/>
      <c r="H615" s="178"/>
      <c r="R615" s="169"/>
      <c r="S615" s="169"/>
    </row>
    <row r="616">
      <c r="A616" s="176"/>
      <c r="B616" s="176"/>
      <c r="C616" s="176"/>
      <c r="H616" s="178"/>
      <c r="R616" s="169"/>
      <c r="S616" s="169"/>
    </row>
    <row r="617">
      <c r="A617" s="176"/>
      <c r="B617" s="176"/>
      <c r="C617" s="176"/>
      <c r="H617" s="178"/>
      <c r="R617" s="169"/>
      <c r="S617" s="169"/>
    </row>
    <row r="618">
      <c r="A618" s="176"/>
      <c r="B618" s="176"/>
      <c r="C618" s="176"/>
      <c r="H618" s="178"/>
      <c r="R618" s="169"/>
      <c r="S618" s="169"/>
    </row>
    <row r="619">
      <c r="A619" s="176"/>
      <c r="B619" s="176"/>
      <c r="C619" s="176"/>
      <c r="H619" s="178"/>
      <c r="R619" s="169"/>
      <c r="S619" s="169"/>
    </row>
    <row r="620">
      <c r="A620" s="176"/>
      <c r="B620" s="176"/>
      <c r="C620" s="176"/>
      <c r="H620" s="178"/>
      <c r="R620" s="169"/>
      <c r="S620" s="169"/>
    </row>
    <row r="621">
      <c r="A621" s="176"/>
      <c r="B621" s="176"/>
      <c r="C621" s="176"/>
      <c r="H621" s="178"/>
      <c r="R621" s="169"/>
      <c r="S621" s="169"/>
    </row>
    <row r="622">
      <c r="A622" s="176"/>
      <c r="B622" s="176"/>
      <c r="C622" s="176"/>
      <c r="H622" s="178"/>
      <c r="R622" s="169"/>
      <c r="S622" s="169"/>
    </row>
    <row r="623">
      <c r="A623" s="176"/>
      <c r="B623" s="176"/>
      <c r="C623" s="176"/>
      <c r="H623" s="178"/>
      <c r="R623" s="169"/>
      <c r="S623" s="169"/>
    </row>
    <row r="624">
      <c r="A624" s="176"/>
      <c r="B624" s="176"/>
      <c r="C624" s="176"/>
      <c r="H624" s="178"/>
      <c r="R624" s="169"/>
      <c r="S624" s="169"/>
    </row>
    <row r="625">
      <c r="A625" s="176"/>
      <c r="B625" s="176"/>
      <c r="C625" s="176"/>
      <c r="H625" s="178"/>
      <c r="R625" s="169"/>
      <c r="S625" s="169"/>
    </row>
    <row r="626">
      <c r="A626" s="176"/>
      <c r="B626" s="176"/>
      <c r="C626" s="176"/>
      <c r="H626" s="178"/>
      <c r="R626" s="169"/>
      <c r="S626" s="169"/>
    </row>
    <row r="627">
      <c r="A627" s="176"/>
      <c r="B627" s="176"/>
      <c r="C627" s="176"/>
      <c r="H627" s="178"/>
      <c r="R627" s="169"/>
      <c r="S627" s="169"/>
    </row>
    <row r="628">
      <c r="A628" s="176"/>
      <c r="B628" s="176"/>
      <c r="C628" s="176"/>
      <c r="H628" s="178"/>
      <c r="R628" s="169"/>
      <c r="S628" s="169"/>
    </row>
    <row r="629">
      <c r="A629" s="176"/>
      <c r="B629" s="176"/>
      <c r="C629" s="176"/>
      <c r="H629" s="178"/>
      <c r="R629" s="169"/>
      <c r="S629" s="169"/>
    </row>
    <row r="630">
      <c r="A630" s="176"/>
      <c r="B630" s="176"/>
      <c r="C630" s="176"/>
      <c r="H630" s="178"/>
      <c r="R630" s="169"/>
      <c r="S630" s="169"/>
    </row>
    <row r="631">
      <c r="A631" s="176"/>
      <c r="B631" s="176"/>
      <c r="C631" s="176"/>
      <c r="H631" s="178"/>
      <c r="R631" s="169"/>
      <c r="S631" s="169"/>
    </row>
    <row r="632">
      <c r="A632" s="176"/>
      <c r="B632" s="176"/>
      <c r="C632" s="176"/>
      <c r="H632" s="178"/>
      <c r="R632" s="169"/>
      <c r="S632" s="169"/>
    </row>
    <row r="633">
      <c r="A633" s="176"/>
      <c r="B633" s="176"/>
      <c r="C633" s="176"/>
      <c r="H633" s="178"/>
      <c r="R633" s="169"/>
      <c r="S633" s="169"/>
    </row>
    <row r="634">
      <c r="A634" s="176"/>
      <c r="B634" s="176"/>
      <c r="C634" s="176"/>
      <c r="H634" s="178"/>
      <c r="R634" s="169"/>
      <c r="S634" s="169"/>
    </row>
    <row r="635">
      <c r="A635" s="176"/>
      <c r="B635" s="176"/>
      <c r="C635" s="176"/>
      <c r="H635" s="178"/>
      <c r="R635" s="169"/>
      <c r="S635" s="169"/>
    </row>
    <row r="636">
      <c r="A636" s="176"/>
      <c r="B636" s="176"/>
      <c r="C636" s="176"/>
      <c r="H636" s="178"/>
      <c r="R636" s="169"/>
      <c r="S636" s="169"/>
    </row>
    <row r="637">
      <c r="A637" s="176"/>
      <c r="B637" s="176"/>
      <c r="C637" s="176"/>
      <c r="H637" s="178"/>
      <c r="R637" s="169"/>
      <c r="S637" s="169"/>
    </row>
    <row r="638">
      <c r="A638" s="176"/>
      <c r="B638" s="176"/>
      <c r="C638" s="176"/>
      <c r="H638" s="178"/>
      <c r="R638" s="169"/>
      <c r="S638" s="169"/>
    </row>
    <row r="639">
      <c r="A639" s="176"/>
      <c r="B639" s="176"/>
      <c r="C639" s="176"/>
      <c r="H639" s="178"/>
      <c r="R639" s="169"/>
      <c r="S639" s="169"/>
    </row>
    <row r="640">
      <c r="A640" s="176"/>
      <c r="B640" s="176"/>
      <c r="C640" s="176"/>
      <c r="H640" s="178"/>
      <c r="R640" s="169"/>
      <c r="S640" s="169"/>
    </row>
    <row r="641">
      <c r="A641" s="176"/>
      <c r="B641" s="176"/>
      <c r="C641" s="176"/>
      <c r="H641" s="178"/>
      <c r="R641" s="169"/>
      <c r="S641" s="169"/>
    </row>
    <row r="642">
      <c r="A642" s="176"/>
      <c r="B642" s="176"/>
      <c r="C642" s="176"/>
      <c r="H642" s="178"/>
      <c r="R642" s="169"/>
      <c r="S642" s="169"/>
    </row>
    <row r="643">
      <c r="A643" s="176"/>
      <c r="B643" s="176"/>
      <c r="C643" s="176"/>
      <c r="H643" s="178"/>
      <c r="R643" s="169"/>
      <c r="S643" s="169"/>
    </row>
    <row r="644">
      <c r="A644" s="176"/>
      <c r="B644" s="176"/>
      <c r="C644" s="176"/>
      <c r="H644" s="178"/>
      <c r="R644" s="169"/>
      <c r="S644" s="169"/>
    </row>
    <row r="645">
      <c r="A645" s="176"/>
      <c r="B645" s="176"/>
      <c r="C645" s="176"/>
      <c r="H645" s="178"/>
      <c r="R645" s="169"/>
      <c r="S645" s="169"/>
    </row>
    <row r="646">
      <c r="A646" s="176"/>
      <c r="B646" s="176"/>
      <c r="C646" s="176"/>
      <c r="H646" s="178"/>
      <c r="R646" s="169"/>
      <c r="S646" s="169"/>
    </row>
    <row r="647">
      <c r="A647" s="176"/>
      <c r="B647" s="176"/>
      <c r="C647" s="176"/>
      <c r="H647" s="178"/>
      <c r="R647" s="169"/>
      <c r="S647" s="169"/>
    </row>
    <row r="648">
      <c r="A648" s="176"/>
      <c r="B648" s="176"/>
      <c r="C648" s="176"/>
      <c r="H648" s="178"/>
      <c r="R648" s="169"/>
      <c r="S648" s="169"/>
    </row>
    <row r="649">
      <c r="A649" s="176"/>
      <c r="B649" s="176"/>
      <c r="C649" s="176"/>
      <c r="H649" s="178"/>
      <c r="R649" s="169"/>
      <c r="S649" s="169"/>
    </row>
    <row r="650">
      <c r="A650" s="176"/>
      <c r="B650" s="176"/>
      <c r="C650" s="176"/>
      <c r="H650" s="178"/>
      <c r="R650" s="169"/>
      <c r="S650" s="169"/>
    </row>
    <row r="651">
      <c r="A651" s="176"/>
      <c r="B651" s="176"/>
      <c r="C651" s="176"/>
      <c r="H651" s="178"/>
      <c r="R651" s="169"/>
      <c r="S651" s="169"/>
    </row>
    <row r="652">
      <c r="A652" s="176"/>
      <c r="B652" s="176"/>
      <c r="C652" s="176"/>
      <c r="H652" s="178"/>
      <c r="R652" s="169"/>
      <c r="S652" s="169"/>
    </row>
    <row r="653">
      <c r="A653" s="176"/>
      <c r="B653" s="176"/>
      <c r="C653" s="176"/>
      <c r="H653" s="178"/>
      <c r="R653" s="169"/>
      <c r="S653" s="169"/>
    </row>
    <row r="654">
      <c r="A654" s="176"/>
      <c r="B654" s="176"/>
      <c r="C654" s="176"/>
      <c r="H654" s="178"/>
      <c r="R654" s="169"/>
      <c r="S654" s="169"/>
    </row>
    <row r="655">
      <c r="A655" s="176"/>
      <c r="B655" s="176"/>
      <c r="C655" s="176"/>
      <c r="H655" s="178"/>
      <c r="R655" s="169"/>
      <c r="S655" s="169"/>
    </row>
    <row r="656">
      <c r="A656" s="176"/>
      <c r="B656" s="176"/>
      <c r="C656" s="176"/>
      <c r="H656" s="178"/>
      <c r="R656" s="169"/>
      <c r="S656" s="169"/>
    </row>
    <row r="657">
      <c r="A657" s="176"/>
      <c r="B657" s="176"/>
      <c r="C657" s="176"/>
      <c r="H657" s="178"/>
      <c r="R657" s="169"/>
      <c r="S657" s="169"/>
    </row>
    <row r="658">
      <c r="A658" s="176"/>
      <c r="B658" s="176"/>
      <c r="C658" s="176"/>
      <c r="H658" s="178"/>
      <c r="R658" s="169"/>
      <c r="S658" s="169"/>
    </row>
    <row r="659">
      <c r="A659" s="176"/>
      <c r="B659" s="176"/>
      <c r="C659" s="176"/>
      <c r="H659" s="178"/>
      <c r="R659" s="169"/>
      <c r="S659" s="169"/>
    </row>
    <row r="660">
      <c r="A660" s="176"/>
      <c r="B660" s="176"/>
      <c r="C660" s="176"/>
      <c r="H660" s="178"/>
      <c r="R660" s="169"/>
      <c r="S660" s="169"/>
    </row>
    <row r="661">
      <c r="A661" s="176"/>
      <c r="B661" s="176"/>
      <c r="C661" s="176"/>
      <c r="H661" s="178"/>
      <c r="R661" s="169"/>
      <c r="S661" s="169"/>
    </row>
    <row r="662">
      <c r="A662" s="176"/>
      <c r="B662" s="176"/>
      <c r="C662" s="176"/>
      <c r="H662" s="178"/>
      <c r="R662" s="169"/>
      <c r="S662" s="169"/>
    </row>
    <row r="663">
      <c r="A663" s="176"/>
      <c r="B663" s="176"/>
      <c r="C663" s="176"/>
      <c r="H663" s="178"/>
      <c r="R663" s="169"/>
      <c r="S663" s="169"/>
    </row>
    <row r="664">
      <c r="A664" s="176"/>
      <c r="B664" s="176"/>
      <c r="C664" s="176"/>
      <c r="H664" s="178"/>
      <c r="R664" s="169"/>
      <c r="S664" s="169"/>
    </row>
    <row r="665">
      <c r="A665" s="176"/>
      <c r="B665" s="176"/>
      <c r="C665" s="176"/>
      <c r="H665" s="178"/>
      <c r="R665" s="169"/>
      <c r="S665" s="169"/>
    </row>
    <row r="666">
      <c r="A666" s="176"/>
      <c r="B666" s="176"/>
      <c r="C666" s="176"/>
      <c r="H666" s="178"/>
      <c r="R666" s="169"/>
      <c r="S666" s="169"/>
    </row>
    <row r="667">
      <c r="A667" s="176"/>
      <c r="B667" s="176"/>
      <c r="C667" s="176"/>
      <c r="H667" s="178"/>
      <c r="R667" s="169"/>
      <c r="S667" s="169"/>
    </row>
    <row r="668">
      <c r="A668" s="176"/>
      <c r="B668" s="176"/>
      <c r="C668" s="176"/>
      <c r="H668" s="178"/>
      <c r="R668" s="169"/>
      <c r="S668" s="169"/>
    </row>
    <row r="669">
      <c r="A669" s="176"/>
      <c r="B669" s="176"/>
      <c r="C669" s="176"/>
      <c r="H669" s="178"/>
      <c r="R669" s="169"/>
      <c r="S669" s="169"/>
    </row>
    <row r="670">
      <c r="A670" s="176"/>
      <c r="B670" s="176"/>
      <c r="C670" s="176"/>
      <c r="H670" s="178"/>
      <c r="R670" s="169"/>
      <c r="S670" s="169"/>
    </row>
    <row r="671">
      <c r="A671" s="176"/>
      <c r="B671" s="176"/>
      <c r="C671" s="176"/>
      <c r="H671" s="178"/>
      <c r="R671" s="169"/>
      <c r="S671" s="169"/>
    </row>
    <row r="672">
      <c r="A672" s="176"/>
      <c r="B672" s="176"/>
      <c r="C672" s="176"/>
      <c r="H672" s="178"/>
      <c r="R672" s="169"/>
      <c r="S672" s="169"/>
    </row>
    <row r="673">
      <c r="A673" s="176"/>
      <c r="B673" s="176"/>
      <c r="C673" s="176"/>
      <c r="H673" s="178"/>
      <c r="R673" s="169"/>
      <c r="S673" s="169"/>
    </row>
    <row r="674">
      <c r="A674" s="176"/>
      <c r="B674" s="176"/>
      <c r="C674" s="176"/>
      <c r="H674" s="178"/>
      <c r="R674" s="169"/>
      <c r="S674" s="169"/>
    </row>
    <row r="675">
      <c r="A675" s="176"/>
      <c r="B675" s="176"/>
      <c r="C675" s="176"/>
      <c r="H675" s="178"/>
      <c r="R675" s="169"/>
      <c r="S675" s="169"/>
    </row>
    <row r="676">
      <c r="A676" s="176"/>
      <c r="B676" s="176"/>
      <c r="C676" s="176"/>
      <c r="H676" s="178"/>
      <c r="R676" s="169"/>
      <c r="S676" s="169"/>
    </row>
    <row r="677">
      <c r="A677" s="176"/>
      <c r="B677" s="176"/>
      <c r="C677" s="176"/>
      <c r="H677" s="178"/>
      <c r="R677" s="169"/>
      <c r="S677" s="169"/>
    </row>
    <row r="678">
      <c r="A678" s="176"/>
      <c r="B678" s="176"/>
      <c r="C678" s="176"/>
      <c r="H678" s="178"/>
      <c r="R678" s="169"/>
      <c r="S678" s="169"/>
    </row>
    <row r="679">
      <c r="A679" s="176"/>
      <c r="B679" s="176"/>
      <c r="C679" s="176"/>
      <c r="H679" s="178"/>
      <c r="R679" s="169"/>
      <c r="S679" s="169"/>
    </row>
    <row r="680">
      <c r="A680" s="176"/>
      <c r="B680" s="176"/>
      <c r="C680" s="176"/>
      <c r="H680" s="178"/>
      <c r="R680" s="169"/>
      <c r="S680" s="169"/>
    </row>
    <row r="681">
      <c r="A681" s="176"/>
      <c r="B681" s="176"/>
      <c r="C681" s="176"/>
      <c r="H681" s="178"/>
      <c r="R681" s="169"/>
      <c r="S681" s="169"/>
    </row>
    <row r="682">
      <c r="A682" s="176"/>
      <c r="B682" s="176"/>
      <c r="C682" s="176"/>
      <c r="H682" s="178"/>
      <c r="R682" s="169"/>
      <c r="S682" s="169"/>
    </row>
    <row r="683">
      <c r="A683" s="176"/>
      <c r="B683" s="176"/>
      <c r="C683" s="176"/>
      <c r="H683" s="178"/>
      <c r="R683" s="169"/>
      <c r="S683" s="169"/>
    </row>
    <row r="684">
      <c r="A684" s="176"/>
      <c r="B684" s="176"/>
      <c r="C684" s="176"/>
      <c r="H684" s="178"/>
      <c r="R684" s="169"/>
      <c r="S684" s="169"/>
    </row>
    <row r="685">
      <c r="A685" s="176"/>
      <c r="B685" s="176"/>
      <c r="C685" s="176"/>
      <c r="H685" s="178"/>
      <c r="R685" s="169"/>
      <c r="S685" s="169"/>
    </row>
    <row r="686">
      <c r="A686" s="176"/>
      <c r="B686" s="176"/>
      <c r="C686" s="176"/>
      <c r="H686" s="178"/>
      <c r="R686" s="169"/>
      <c r="S686" s="169"/>
    </row>
    <row r="687">
      <c r="A687" s="176"/>
      <c r="B687" s="176"/>
      <c r="C687" s="176"/>
      <c r="H687" s="178"/>
      <c r="R687" s="169"/>
      <c r="S687" s="169"/>
    </row>
    <row r="688">
      <c r="A688" s="176"/>
      <c r="B688" s="176"/>
      <c r="C688" s="176"/>
      <c r="H688" s="178"/>
      <c r="R688" s="169"/>
      <c r="S688" s="169"/>
    </row>
    <row r="689">
      <c r="A689" s="176"/>
      <c r="B689" s="176"/>
      <c r="C689" s="176"/>
      <c r="H689" s="178"/>
      <c r="R689" s="169"/>
      <c r="S689" s="169"/>
    </row>
    <row r="690">
      <c r="A690" s="176"/>
      <c r="B690" s="176"/>
      <c r="C690" s="176"/>
      <c r="H690" s="178"/>
      <c r="R690" s="169"/>
      <c r="S690" s="169"/>
    </row>
    <row r="691">
      <c r="A691" s="176"/>
      <c r="B691" s="176"/>
      <c r="C691" s="176"/>
      <c r="H691" s="178"/>
      <c r="R691" s="169"/>
      <c r="S691" s="169"/>
    </row>
    <row r="692">
      <c r="A692" s="176"/>
      <c r="B692" s="176"/>
      <c r="C692" s="176"/>
      <c r="H692" s="178"/>
      <c r="R692" s="169"/>
      <c r="S692" s="169"/>
    </row>
    <row r="693">
      <c r="A693" s="176"/>
      <c r="B693" s="176"/>
      <c r="C693" s="176"/>
      <c r="H693" s="178"/>
      <c r="R693" s="169"/>
      <c r="S693" s="169"/>
    </row>
    <row r="694">
      <c r="A694" s="176"/>
      <c r="B694" s="176"/>
      <c r="C694" s="176"/>
      <c r="H694" s="178"/>
      <c r="R694" s="169"/>
      <c r="S694" s="169"/>
    </row>
    <row r="695">
      <c r="A695" s="176"/>
      <c r="B695" s="176"/>
      <c r="C695" s="176"/>
      <c r="H695" s="178"/>
      <c r="R695" s="169"/>
      <c r="S695" s="169"/>
    </row>
    <row r="696">
      <c r="A696" s="176"/>
      <c r="B696" s="176"/>
      <c r="C696" s="176"/>
      <c r="H696" s="178"/>
      <c r="R696" s="169"/>
      <c r="S696" s="169"/>
    </row>
    <row r="697">
      <c r="A697" s="176"/>
      <c r="B697" s="176"/>
      <c r="C697" s="176"/>
      <c r="H697" s="178"/>
      <c r="R697" s="169"/>
      <c r="S697" s="169"/>
    </row>
    <row r="698">
      <c r="A698" s="176"/>
      <c r="B698" s="176"/>
      <c r="C698" s="176"/>
      <c r="H698" s="178"/>
      <c r="R698" s="169"/>
      <c r="S698" s="169"/>
    </row>
    <row r="699">
      <c r="A699" s="176"/>
      <c r="B699" s="176"/>
      <c r="C699" s="176"/>
      <c r="H699" s="178"/>
      <c r="R699" s="169"/>
      <c r="S699" s="169"/>
    </row>
    <row r="700">
      <c r="A700" s="176"/>
      <c r="B700" s="176"/>
      <c r="C700" s="176"/>
      <c r="H700" s="178"/>
      <c r="R700" s="169"/>
      <c r="S700" s="169"/>
    </row>
    <row r="701">
      <c r="A701" s="176"/>
      <c r="B701" s="176"/>
      <c r="C701" s="176"/>
      <c r="H701" s="178"/>
      <c r="R701" s="169"/>
      <c r="S701" s="169"/>
    </row>
    <row r="702">
      <c r="A702" s="176"/>
      <c r="B702" s="176"/>
      <c r="C702" s="176"/>
      <c r="H702" s="178"/>
      <c r="R702" s="169"/>
      <c r="S702" s="169"/>
    </row>
    <row r="703">
      <c r="A703" s="176"/>
      <c r="B703" s="176"/>
      <c r="C703" s="176"/>
      <c r="H703" s="178"/>
      <c r="R703" s="169"/>
      <c r="S703" s="169"/>
    </row>
    <row r="704">
      <c r="A704" s="176"/>
      <c r="B704" s="176"/>
      <c r="C704" s="176"/>
      <c r="H704" s="178"/>
      <c r="R704" s="169"/>
      <c r="S704" s="169"/>
    </row>
    <row r="705">
      <c r="A705" s="176"/>
      <c r="B705" s="176"/>
      <c r="C705" s="176"/>
      <c r="H705" s="178"/>
      <c r="R705" s="169"/>
      <c r="S705" s="169"/>
    </row>
    <row r="706">
      <c r="A706" s="176"/>
      <c r="B706" s="176"/>
      <c r="C706" s="176"/>
      <c r="H706" s="178"/>
      <c r="R706" s="169"/>
      <c r="S706" s="169"/>
    </row>
    <row r="707">
      <c r="A707" s="176"/>
      <c r="B707" s="176"/>
      <c r="C707" s="176"/>
      <c r="H707" s="178"/>
      <c r="R707" s="169"/>
      <c r="S707" s="169"/>
    </row>
    <row r="708">
      <c r="A708" s="176"/>
      <c r="B708" s="176"/>
      <c r="C708" s="176"/>
      <c r="H708" s="178"/>
      <c r="R708" s="169"/>
      <c r="S708" s="169"/>
    </row>
    <row r="709">
      <c r="A709" s="176"/>
      <c r="B709" s="176"/>
      <c r="C709" s="176"/>
      <c r="H709" s="178"/>
      <c r="R709" s="169"/>
      <c r="S709" s="169"/>
    </row>
    <row r="710">
      <c r="A710" s="176"/>
      <c r="B710" s="176"/>
      <c r="C710" s="176"/>
      <c r="H710" s="178"/>
      <c r="R710" s="169"/>
      <c r="S710" s="169"/>
    </row>
    <row r="711">
      <c r="A711" s="176"/>
      <c r="B711" s="176"/>
      <c r="C711" s="176"/>
      <c r="H711" s="178"/>
      <c r="R711" s="169"/>
      <c r="S711" s="169"/>
    </row>
    <row r="712">
      <c r="A712" s="176"/>
      <c r="B712" s="176"/>
      <c r="C712" s="176"/>
      <c r="H712" s="178"/>
      <c r="R712" s="169"/>
      <c r="S712" s="169"/>
    </row>
    <row r="713">
      <c r="A713" s="176"/>
      <c r="B713" s="176"/>
      <c r="C713" s="176"/>
      <c r="H713" s="178"/>
      <c r="R713" s="169"/>
      <c r="S713" s="169"/>
    </row>
    <row r="714">
      <c r="A714" s="176"/>
      <c r="B714" s="176"/>
      <c r="C714" s="176"/>
      <c r="H714" s="178"/>
      <c r="R714" s="169"/>
      <c r="S714" s="169"/>
    </row>
    <row r="715">
      <c r="A715" s="176"/>
      <c r="B715" s="176"/>
      <c r="C715" s="176"/>
      <c r="H715" s="178"/>
      <c r="R715" s="169"/>
      <c r="S715" s="169"/>
    </row>
    <row r="716">
      <c r="A716" s="176"/>
      <c r="B716" s="176"/>
      <c r="C716" s="176"/>
      <c r="H716" s="178"/>
      <c r="R716" s="169"/>
      <c r="S716" s="169"/>
    </row>
    <row r="717">
      <c r="A717" s="176"/>
      <c r="B717" s="176"/>
      <c r="C717" s="176"/>
      <c r="H717" s="178"/>
      <c r="R717" s="169"/>
      <c r="S717" s="169"/>
    </row>
    <row r="718">
      <c r="A718" s="176"/>
      <c r="B718" s="176"/>
      <c r="C718" s="176"/>
      <c r="H718" s="178"/>
      <c r="R718" s="169"/>
      <c r="S718" s="169"/>
    </row>
    <row r="719">
      <c r="A719" s="176"/>
      <c r="B719" s="176"/>
      <c r="C719" s="176"/>
      <c r="H719" s="178"/>
      <c r="R719" s="169"/>
      <c r="S719" s="169"/>
    </row>
    <row r="720">
      <c r="A720" s="176"/>
      <c r="B720" s="176"/>
      <c r="C720" s="176"/>
      <c r="H720" s="178"/>
      <c r="R720" s="169"/>
      <c r="S720" s="169"/>
    </row>
    <row r="721">
      <c r="A721" s="176"/>
      <c r="B721" s="176"/>
      <c r="C721" s="176"/>
      <c r="H721" s="178"/>
      <c r="R721" s="169"/>
      <c r="S721" s="169"/>
    </row>
    <row r="722">
      <c r="A722" s="176"/>
      <c r="B722" s="176"/>
      <c r="C722" s="176"/>
      <c r="H722" s="178"/>
      <c r="R722" s="169"/>
      <c r="S722" s="169"/>
    </row>
    <row r="723">
      <c r="A723" s="176"/>
      <c r="B723" s="176"/>
      <c r="C723" s="176"/>
      <c r="H723" s="178"/>
      <c r="R723" s="169"/>
      <c r="S723" s="169"/>
    </row>
    <row r="724">
      <c r="A724" s="176"/>
      <c r="B724" s="176"/>
      <c r="C724" s="176"/>
      <c r="H724" s="178"/>
      <c r="R724" s="169"/>
      <c r="S724" s="169"/>
    </row>
    <row r="725">
      <c r="A725" s="176"/>
      <c r="B725" s="176"/>
      <c r="C725" s="176"/>
      <c r="H725" s="178"/>
      <c r="R725" s="169"/>
      <c r="S725" s="169"/>
    </row>
    <row r="726">
      <c r="A726" s="176"/>
      <c r="B726" s="176"/>
      <c r="C726" s="176"/>
      <c r="H726" s="178"/>
      <c r="R726" s="169"/>
      <c r="S726" s="169"/>
    </row>
    <row r="727">
      <c r="A727" s="176"/>
      <c r="B727" s="176"/>
      <c r="C727" s="176"/>
      <c r="H727" s="178"/>
      <c r="R727" s="169"/>
      <c r="S727" s="169"/>
    </row>
    <row r="728">
      <c r="A728" s="176"/>
      <c r="B728" s="176"/>
      <c r="C728" s="176"/>
      <c r="H728" s="178"/>
      <c r="R728" s="169"/>
      <c r="S728" s="169"/>
    </row>
    <row r="729">
      <c r="A729" s="176"/>
      <c r="B729" s="176"/>
      <c r="C729" s="176"/>
      <c r="H729" s="178"/>
      <c r="R729" s="169"/>
      <c r="S729" s="169"/>
    </row>
    <row r="730">
      <c r="A730" s="176"/>
      <c r="B730" s="176"/>
      <c r="C730" s="176"/>
      <c r="H730" s="178"/>
      <c r="R730" s="169"/>
      <c r="S730" s="169"/>
    </row>
    <row r="731">
      <c r="A731" s="176"/>
      <c r="B731" s="176"/>
      <c r="C731" s="176"/>
      <c r="H731" s="178"/>
      <c r="R731" s="169"/>
      <c r="S731" s="169"/>
    </row>
    <row r="732">
      <c r="A732" s="176"/>
      <c r="B732" s="176"/>
      <c r="C732" s="176"/>
      <c r="H732" s="178"/>
      <c r="R732" s="169"/>
      <c r="S732" s="169"/>
    </row>
    <row r="733">
      <c r="A733" s="176"/>
      <c r="B733" s="176"/>
      <c r="C733" s="176"/>
      <c r="H733" s="178"/>
      <c r="R733" s="169"/>
      <c r="S733" s="169"/>
    </row>
    <row r="734">
      <c r="A734" s="176"/>
      <c r="B734" s="176"/>
      <c r="C734" s="176"/>
      <c r="H734" s="178"/>
      <c r="R734" s="169"/>
      <c r="S734" s="169"/>
    </row>
    <row r="735">
      <c r="A735" s="176"/>
      <c r="B735" s="176"/>
      <c r="C735" s="176"/>
      <c r="H735" s="178"/>
      <c r="R735" s="169"/>
      <c r="S735" s="169"/>
    </row>
    <row r="736">
      <c r="A736" s="176"/>
      <c r="B736" s="176"/>
      <c r="C736" s="176"/>
      <c r="H736" s="178"/>
      <c r="R736" s="169"/>
      <c r="S736" s="169"/>
    </row>
    <row r="737">
      <c r="A737" s="176"/>
      <c r="B737" s="176"/>
      <c r="C737" s="176"/>
      <c r="H737" s="178"/>
      <c r="R737" s="169"/>
      <c r="S737" s="169"/>
    </row>
    <row r="738">
      <c r="A738" s="176"/>
      <c r="B738" s="176"/>
      <c r="C738" s="176"/>
      <c r="H738" s="178"/>
      <c r="R738" s="169"/>
      <c r="S738" s="169"/>
    </row>
    <row r="739">
      <c r="A739" s="176"/>
      <c r="B739" s="176"/>
      <c r="C739" s="176"/>
      <c r="H739" s="178"/>
      <c r="R739" s="169"/>
      <c r="S739" s="169"/>
    </row>
    <row r="740">
      <c r="A740" s="176"/>
      <c r="B740" s="176"/>
      <c r="C740" s="176"/>
      <c r="H740" s="178"/>
      <c r="R740" s="169"/>
      <c r="S740" s="169"/>
    </row>
    <row r="741">
      <c r="A741" s="176"/>
      <c r="B741" s="176"/>
      <c r="C741" s="176"/>
      <c r="H741" s="178"/>
      <c r="R741" s="169"/>
      <c r="S741" s="169"/>
    </row>
    <row r="742">
      <c r="A742" s="176"/>
      <c r="B742" s="176"/>
      <c r="C742" s="176"/>
      <c r="H742" s="178"/>
      <c r="R742" s="169"/>
      <c r="S742" s="169"/>
    </row>
    <row r="743">
      <c r="A743" s="176"/>
      <c r="B743" s="176"/>
      <c r="C743" s="176"/>
      <c r="H743" s="178"/>
      <c r="R743" s="169"/>
      <c r="S743" s="169"/>
    </row>
    <row r="744">
      <c r="A744" s="176"/>
      <c r="B744" s="176"/>
      <c r="C744" s="176"/>
      <c r="H744" s="178"/>
      <c r="R744" s="169"/>
      <c r="S744" s="169"/>
    </row>
    <row r="745">
      <c r="A745" s="176"/>
      <c r="B745" s="176"/>
      <c r="C745" s="176"/>
      <c r="H745" s="178"/>
      <c r="R745" s="169"/>
      <c r="S745" s="169"/>
    </row>
    <row r="746">
      <c r="A746" s="176"/>
      <c r="B746" s="176"/>
      <c r="C746" s="176"/>
      <c r="H746" s="178"/>
      <c r="R746" s="169"/>
      <c r="S746" s="169"/>
    </row>
    <row r="747">
      <c r="A747" s="176"/>
      <c r="B747" s="176"/>
      <c r="C747" s="176"/>
      <c r="H747" s="178"/>
      <c r="R747" s="169"/>
      <c r="S747" s="169"/>
    </row>
    <row r="748">
      <c r="A748" s="176"/>
      <c r="B748" s="176"/>
      <c r="C748" s="176"/>
      <c r="H748" s="178"/>
      <c r="R748" s="169"/>
      <c r="S748" s="169"/>
    </row>
    <row r="749">
      <c r="A749" s="176"/>
      <c r="B749" s="176"/>
      <c r="C749" s="176"/>
      <c r="H749" s="178"/>
      <c r="R749" s="169"/>
      <c r="S749" s="169"/>
    </row>
    <row r="750">
      <c r="A750" s="176"/>
      <c r="B750" s="176"/>
      <c r="C750" s="176"/>
      <c r="H750" s="178"/>
      <c r="R750" s="169"/>
      <c r="S750" s="169"/>
    </row>
    <row r="751">
      <c r="A751" s="176"/>
      <c r="B751" s="176"/>
      <c r="C751" s="176"/>
      <c r="H751" s="178"/>
      <c r="R751" s="169"/>
      <c r="S751" s="169"/>
    </row>
    <row r="752">
      <c r="A752" s="176"/>
      <c r="B752" s="176"/>
      <c r="C752" s="176"/>
      <c r="H752" s="178"/>
      <c r="R752" s="169"/>
      <c r="S752" s="169"/>
    </row>
    <row r="753">
      <c r="A753" s="176"/>
      <c r="B753" s="176"/>
      <c r="C753" s="176"/>
      <c r="H753" s="178"/>
      <c r="R753" s="169"/>
      <c r="S753" s="169"/>
    </row>
    <row r="754">
      <c r="A754" s="176"/>
      <c r="B754" s="176"/>
      <c r="C754" s="176"/>
      <c r="H754" s="178"/>
      <c r="R754" s="169"/>
      <c r="S754" s="169"/>
    </row>
    <row r="755">
      <c r="A755" s="176"/>
      <c r="B755" s="176"/>
      <c r="C755" s="176"/>
      <c r="H755" s="178"/>
      <c r="R755" s="169"/>
      <c r="S755" s="169"/>
    </row>
    <row r="756">
      <c r="A756" s="176"/>
      <c r="B756" s="176"/>
      <c r="C756" s="176"/>
      <c r="H756" s="178"/>
      <c r="R756" s="169"/>
      <c r="S756" s="169"/>
    </row>
    <row r="757">
      <c r="A757" s="176"/>
      <c r="B757" s="176"/>
      <c r="C757" s="176"/>
      <c r="H757" s="178"/>
      <c r="R757" s="169"/>
      <c r="S757" s="169"/>
    </row>
    <row r="758">
      <c r="A758" s="176"/>
      <c r="B758" s="176"/>
      <c r="C758" s="176"/>
      <c r="H758" s="178"/>
      <c r="R758" s="169"/>
      <c r="S758" s="169"/>
    </row>
    <row r="759">
      <c r="A759" s="176"/>
      <c r="B759" s="176"/>
      <c r="C759" s="176"/>
      <c r="H759" s="178"/>
      <c r="R759" s="169"/>
      <c r="S759" s="169"/>
    </row>
    <row r="760">
      <c r="A760" s="176"/>
      <c r="B760" s="176"/>
      <c r="C760" s="176"/>
      <c r="H760" s="178"/>
      <c r="R760" s="169"/>
      <c r="S760" s="169"/>
    </row>
    <row r="761">
      <c r="A761" s="176"/>
      <c r="B761" s="176"/>
      <c r="C761" s="176"/>
      <c r="H761" s="178"/>
      <c r="R761" s="169"/>
      <c r="S761" s="169"/>
    </row>
    <row r="762">
      <c r="A762" s="176"/>
      <c r="B762" s="176"/>
      <c r="C762" s="176"/>
      <c r="H762" s="178"/>
      <c r="R762" s="169"/>
      <c r="S762" s="169"/>
    </row>
    <row r="763">
      <c r="A763" s="176"/>
      <c r="B763" s="176"/>
      <c r="C763" s="176"/>
      <c r="H763" s="178"/>
      <c r="R763" s="169"/>
      <c r="S763" s="169"/>
    </row>
    <row r="764">
      <c r="A764" s="176"/>
      <c r="B764" s="176"/>
      <c r="C764" s="176"/>
      <c r="H764" s="178"/>
      <c r="R764" s="169"/>
      <c r="S764" s="169"/>
    </row>
    <row r="765">
      <c r="A765" s="176"/>
      <c r="B765" s="176"/>
      <c r="C765" s="176"/>
      <c r="H765" s="178"/>
      <c r="R765" s="169"/>
      <c r="S765" s="169"/>
    </row>
    <row r="766">
      <c r="A766" s="176"/>
      <c r="B766" s="176"/>
      <c r="C766" s="176"/>
      <c r="H766" s="178"/>
      <c r="R766" s="169"/>
      <c r="S766" s="169"/>
    </row>
    <row r="767">
      <c r="A767" s="176"/>
      <c r="B767" s="176"/>
      <c r="C767" s="176"/>
      <c r="H767" s="178"/>
      <c r="R767" s="169"/>
      <c r="S767" s="169"/>
    </row>
    <row r="768">
      <c r="A768" s="176"/>
      <c r="B768" s="176"/>
      <c r="C768" s="176"/>
      <c r="H768" s="178"/>
      <c r="R768" s="169"/>
      <c r="S768" s="169"/>
    </row>
    <row r="769">
      <c r="A769" s="176"/>
      <c r="B769" s="176"/>
      <c r="C769" s="176"/>
      <c r="H769" s="178"/>
      <c r="R769" s="169"/>
      <c r="S769" s="169"/>
    </row>
    <row r="770">
      <c r="A770" s="176"/>
      <c r="B770" s="176"/>
      <c r="C770" s="176"/>
      <c r="H770" s="178"/>
      <c r="R770" s="169"/>
      <c r="S770" s="169"/>
    </row>
    <row r="771">
      <c r="A771" s="176"/>
      <c r="B771" s="176"/>
      <c r="C771" s="176"/>
      <c r="H771" s="178"/>
      <c r="R771" s="169"/>
      <c r="S771" s="169"/>
    </row>
    <row r="772">
      <c r="A772" s="176"/>
      <c r="B772" s="176"/>
      <c r="C772" s="176"/>
      <c r="H772" s="178"/>
      <c r="R772" s="169"/>
      <c r="S772" s="169"/>
    </row>
    <row r="773">
      <c r="A773" s="176"/>
      <c r="B773" s="176"/>
      <c r="C773" s="176"/>
      <c r="H773" s="178"/>
      <c r="R773" s="169"/>
      <c r="S773" s="169"/>
    </row>
    <row r="774">
      <c r="A774" s="176"/>
      <c r="B774" s="176"/>
      <c r="C774" s="176"/>
      <c r="H774" s="178"/>
      <c r="R774" s="169"/>
      <c r="S774" s="169"/>
    </row>
    <row r="775">
      <c r="A775" s="176"/>
      <c r="B775" s="176"/>
      <c r="C775" s="176"/>
      <c r="H775" s="178"/>
      <c r="R775" s="169"/>
      <c r="S775" s="169"/>
    </row>
    <row r="776">
      <c r="A776" s="176"/>
      <c r="B776" s="176"/>
      <c r="C776" s="176"/>
      <c r="H776" s="178"/>
      <c r="R776" s="169"/>
      <c r="S776" s="169"/>
    </row>
    <row r="777">
      <c r="A777" s="176"/>
      <c r="B777" s="176"/>
      <c r="C777" s="176"/>
      <c r="H777" s="178"/>
      <c r="R777" s="169"/>
      <c r="S777" s="169"/>
    </row>
    <row r="778">
      <c r="A778" s="176"/>
      <c r="B778" s="176"/>
      <c r="C778" s="176"/>
      <c r="H778" s="178"/>
      <c r="R778" s="169"/>
      <c r="S778" s="169"/>
    </row>
    <row r="779">
      <c r="A779" s="176"/>
      <c r="B779" s="176"/>
      <c r="C779" s="176"/>
      <c r="H779" s="178"/>
      <c r="R779" s="169"/>
      <c r="S779" s="169"/>
    </row>
    <row r="780">
      <c r="A780" s="176"/>
      <c r="B780" s="176"/>
      <c r="C780" s="176"/>
      <c r="H780" s="178"/>
      <c r="R780" s="169"/>
      <c r="S780" s="169"/>
    </row>
    <row r="781">
      <c r="A781" s="176"/>
      <c r="B781" s="176"/>
      <c r="C781" s="176"/>
      <c r="H781" s="178"/>
      <c r="R781" s="169"/>
      <c r="S781" s="169"/>
    </row>
    <row r="782">
      <c r="A782" s="176"/>
      <c r="B782" s="176"/>
      <c r="C782" s="176"/>
      <c r="H782" s="178"/>
      <c r="R782" s="169"/>
      <c r="S782" s="169"/>
    </row>
    <row r="783">
      <c r="A783" s="176"/>
      <c r="B783" s="176"/>
      <c r="C783" s="176"/>
      <c r="H783" s="178"/>
      <c r="R783" s="169"/>
      <c r="S783" s="169"/>
    </row>
    <row r="784">
      <c r="A784" s="176"/>
      <c r="B784" s="176"/>
      <c r="C784" s="176"/>
      <c r="H784" s="178"/>
      <c r="R784" s="169"/>
      <c r="S784" s="169"/>
    </row>
    <row r="785">
      <c r="A785" s="176"/>
      <c r="B785" s="176"/>
      <c r="C785" s="176"/>
      <c r="H785" s="178"/>
      <c r="R785" s="169"/>
      <c r="S785" s="169"/>
    </row>
    <row r="786">
      <c r="A786" s="176"/>
      <c r="B786" s="176"/>
      <c r="C786" s="176"/>
      <c r="H786" s="178"/>
      <c r="R786" s="169"/>
      <c r="S786" s="169"/>
    </row>
    <row r="787">
      <c r="A787" s="176"/>
      <c r="B787" s="176"/>
      <c r="C787" s="176"/>
      <c r="H787" s="178"/>
      <c r="R787" s="169"/>
      <c r="S787" s="169"/>
    </row>
    <row r="788">
      <c r="A788" s="176"/>
      <c r="B788" s="176"/>
      <c r="C788" s="176"/>
      <c r="H788" s="178"/>
      <c r="R788" s="169"/>
      <c r="S788" s="169"/>
    </row>
    <row r="789">
      <c r="A789" s="176"/>
      <c r="B789" s="176"/>
      <c r="C789" s="176"/>
      <c r="H789" s="178"/>
      <c r="R789" s="169"/>
      <c r="S789" s="169"/>
    </row>
    <row r="790">
      <c r="A790" s="176"/>
      <c r="B790" s="176"/>
      <c r="C790" s="176"/>
      <c r="H790" s="178"/>
      <c r="R790" s="169"/>
      <c r="S790" s="169"/>
    </row>
    <row r="791">
      <c r="A791" s="176"/>
      <c r="B791" s="176"/>
      <c r="C791" s="176"/>
      <c r="H791" s="178"/>
      <c r="R791" s="169"/>
      <c r="S791" s="169"/>
    </row>
    <row r="792">
      <c r="A792" s="176"/>
      <c r="B792" s="176"/>
      <c r="C792" s="176"/>
      <c r="H792" s="178"/>
      <c r="R792" s="169"/>
      <c r="S792" s="169"/>
    </row>
    <row r="793">
      <c r="A793" s="176"/>
      <c r="B793" s="176"/>
      <c r="C793" s="176"/>
      <c r="H793" s="178"/>
      <c r="R793" s="169"/>
      <c r="S793" s="169"/>
    </row>
    <row r="794">
      <c r="A794" s="176"/>
      <c r="B794" s="176"/>
      <c r="C794" s="176"/>
      <c r="H794" s="178"/>
      <c r="R794" s="169"/>
      <c r="S794" s="169"/>
    </row>
    <row r="795">
      <c r="A795" s="176"/>
      <c r="B795" s="176"/>
      <c r="C795" s="176"/>
      <c r="H795" s="178"/>
      <c r="R795" s="169"/>
      <c r="S795" s="169"/>
    </row>
    <row r="796">
      <c r="A796" s="176"/>
      <c r="B796" s="176"/>
      <c r="C796" s="176"/>
      <c r="H796" s="178"/>
      <c r="R796" s="169"/>
      <c r="S796" s="169"/>
    </row>
    <row r="797">
      <c r="A797" s="176"/>
      <c r="B797" s="176"/>
      <c r="C797" s="176"/>
      <c r="H797" s="178"/>
      <c r="R797" s="169"/>
      <c r="S797" s="169"/>
    </row>
    <row r="798">
      <c r="A798" s="176"/>
      <c r="B798" s="176"/>
      <c r="C798" s="176"/>
      <c r="H798" s="178"/>
      <c r="R798" s="169"/>
      <c r="S798" s="169"/>
    </row>
    <row r="799">
      <c r="A799" s="176"/>
      <c r="B799" s="176"/>
      <c r="C799" s="176"/>
      <c r="H799" s="178"/>
      <c r="R799" s="169"/>
      <c r="S799" s="169"/>
    </row>
    <row r="800">
      <c r="A800" s="176"/>
      <c r="B800" s="176"/>
      <c r="C800" s="176"/>
      <c r="H800" s="178"/>
      <c r="R800" s="169"/>
      <c r="S800" s="169"/>
    </row>
    <row r="801">
      <c r="A801" s="176"/>
      <c r="B801" s="176"/>
      <c r="C801" s="176"/>
      <c r="H801" s="178"/>
      <c r="R801" s="169"/>
      <c r="S801" s="169"/>
    </row>
    <row r="802">
      <c r="A802" s="176"/>
      <c r="B802" s="176"/>
      <c r="C802" s="176"/>
      <c r="H802" s="178"/>
      <c r="R802" s="169"/>
      <c r="S802" s="169"/>
    </row>
    <row r="803">
      <c r="A803" s="176"/>
      <c r="B803" s="176"/>
      <c r="C803" s="176"/>
      <c r="H803" s="178"/>
      <c r="R803" s="169"/>
      <c r="S803" s="169"/>
    </row>
    <row r="804">
      <c r="A804" s="176"/>
      <c r="B804" s="176"/>
      <c r="C804" s="176"/>
      <c r="H804" s="178"/>
      <c r="R804" s="169"/>
      <c r="S804" s="169"/>
    </row>
    <row r="805">
      <c r="A805" s="176"/>
      <c r="B805" s="176"/>
      <c r="C805" s="176"/>
      <c r="H805" s="178"/>
      <c r="R805" s="169"/>
      <c r="S805" s="169"/>
    </row>
    <row r="806">
      <c r="A806" s="176"/>
      <c r="B806" s="176"/>
      <c r="C806" s="176"/>
      <c r="H806" s="178"/>
      <c r="R806" s="169"/>
      <c r="S806" s="169"/>
    </row>
    <row r="807">
      <c r="A807" s="176"/>
      <c r="B807" s="176"/>
      <c r="C807" s="176"/>
      <c r="H807" s="178"/>
      <c r="R807" s="169"/>
      <c r="S807" s="169"/>
    </row>
    <row r="808">
      <c r="A808" s="176"/>
      <c r="B808" s="176"/>
      <c r="C808" s="176"/>
      <c r="H808" s="178"/>
      <c r="R808" s="169"/>
      <c r="S808" s="169"/>
    </row>
    <row r="809">
      <c r="A809" s="176"/>
      <c r="B809" s="176"/>
      <c r="C809" s="176"/>
      <c r="H809" s="178"/>
      <c r="R809" s="169"/>
      <c r="S809" s="169"/>
    </row>
    <row r="810">
      <c r="A810" s="176"/>
      <c r="B810" s="176"/>
      <c r="C810" s="176"/>
      <c r="H810" s="178"/>
      <c r="R810" s="169"/>
      <c r="S810" s="169"/>
    </row>
    <row r="811">
      <c r="A811" s="176"/>
      <c r="B811" s="176"/>
      <c r="C811" s="176"/>
      <c r="H811" s="178"/>
      <c r="R811" s="169"/>
      <c r="S811" s="169"/>
    </row>
    <row r="812">
      <c r="A812" s="176"/>
      <c r="B812" s="176"/>
      <c r="C812" s="176"/>
      <c r="H812" s="178"/>
      <c r="R812" s="169"/>
      <c r="S812" s="169"/>
    </row>
    <row r="813">
      <c r="A813" s="176"/>
      <c r="B813" s="176"/>
      <c r="C813" s="176"/>
      <c r="H813" s="178"/>
      <c r="R813" s="169"/>
      <c r="S813" s="169"/>
    </row>
    <row r="814">
      <c r="A814" s="176"/>
      <c r="B814" s="176"/>
      <c r="C814" s="176"/>
      <c r="H814" s="178"/>
      <c r="R814" s="169"/>
      <c r="S814" s="169"/>
    </row>
    <row r="815">
      <c r="A815" s="176"/>
      <c r="B815" s="176"/>
      <c r="C815" s="176"/>
      <c r="H815" s="178"/>
      <c r="R815" s="169"/>
      <c r="S815" s="169"/>
    </row>
    <row r="816">
      <c r="A816" s="176"/>
      <c r="B816" s="176"/>
      <c r="C816" s="176"/>
      <c r="H816" s="178"/>
      <c r="R816" s="169"/>
      <c r="S816" s="169"/>
    </row>
    <row r="817">
      <c r="A817" s="176"/>
      <c r="B817" s="176"/>
      <c r="C817" s="176"/>
      <c r="H817" s="178"/>
      <c r="R817" s="169"/>
      <c r="S817" s="169"/>
    </row>
    <row r="818">
      <c r="A818" s="176"/>
      <c r="B818" s="176"/>
      <c r="C818" s="176"/>
      <c r="H818" s="178"/>
      <c r="R818" s="169"/>
      <c r="S818" s="169"/>
    </row>
    <row r="819">
      <c r="A819" s="176"/>
      <c r="B819" s="176"/>
      <c r="C819" s="176"/>
      <c r="H819" s="178"/>
      <c r="R819" s="169"/>
      <c r="S819" s="169"/>
    </row>
    <row r="820">
      <c r="A820" s="176"/>
      <c r="B820" s="176"/>
      <c r="C820" s="176"/>
      <c r="H820" s="178"/>
      <c r="R820" s="169"/>
      <c r="S820" s="169"/>
    </row>
    <row r="821">
      <c r="A821" s="176"/>
      <c r="B821" s="176"/>
      <c r="C821" s="176"/>
      <c r="H821" s="178"/>
      <c r="R821" s="169"/>
      <c r="S821" s="169"/>
    </row>
    <row r="822">
      <c r="A822" s="176"/>
      <c r="B822" s="176"/>
      <c r="C822" s="176"/>
      <c r="H822" s="178"/>
      <c r="R822" s="169"/>
      <c r="S822" s="169"/>
    </row>
    <row r="823">
      <c r="A823" s="176"/>
      <c r="B823" s="176"/>
      <c r="C823" s="176"/>
      <c r="H823" s="178"/>
      <c r="R823" s="169"/>
      <c r="S823" s="169"/>
    </row>
    <row r="824">
      <c r="A824" s="176"/>
      <c r="B824" s="176"/>
      <c r="C824" s="176"/>
      <c r="H824" s="178"/>
      <c r="R824" s="169"/>
      <c r="S824" s="169"/>
    </row>
    <row r="825">
      <c r="A825" s="176"/>
      <c r="B825" s="176"/>
      <c r="C825" s="176"/>
      <c r="H825" s="178"/>
      <c r="R825" s="169"/>
      <c r="S825" s="169"/>
    </row>
    <row r="826">
      <c r="A826" s="176"/>
      <c r="B826" s="176"/>
      <c r="C826" s="176"/>
      <c r="H826" s="178"/>
      <c r="R826" s="169"/>
      <c r="S826" s="169"/>
    </row>
    <row r="827">
      <c r="A827" s="176"/>
      <c r="B827" s="176"/>
      <c r="C827" s="176"/>
      <c r="H827" s="178"/>
      <c r="R827" s="169"/>
      <c r="S827" s="169"/>
    </row>
    <row r="828">
      <c r="A828" s="176"/>
      <c r="B828" s="176"/>
      <c r="C828" s="176"/>
      <c r="H828" s="178"/>
      <c r="R828" s="169"/>
      <c r="S828" s="169"/>
    </row>
    <row r="829">
      <c r="A829" s="176"/>
      <c r="B829" s="176"/>
      <c r="C829" s="176"/>
      <c r="H829" s="178"/>
      <c r="R829" s="169"/>
      <c r="S829" s="169"/>
    </row>
    <row r="830">
      <c r="A830" s="176"/>
      <c r="B830" s="176"/>
      <c r="C830" s="176"/>
      <c r="H830" s="178"/>
      <c r="R830" s="169"/>
      <c r="S830" s="169"/>
    </row>
    <row r="831">
      <c r="A831" s="176"/>
      <c r="B831" s="176"/>
      <c r="C831" s="176"/>
      <c r="H831" s="178"/>
      <c r="R831" s="169"/>
      <c r="S831" s="169"/>
    </row>
    <row r="832">
      <c r="A832" s="176"/>
      <c r="B832" s="176"/>
      <c r="C832" s="176"/>
      <c r="H832" s="178"/>
      <c r="R832" s="169"/>
      <c r="S832" s="169"/>
    </row>
    <row r="833">
      <c r="A833" s="176"/>
      <c r="B833" s="176"/>
      <c r="C833" s="176"/>
      <c r="H833" s="178"/>
      <c r="R833" s="169"/>
      <c r="S833" s="169"/>
    </row>
    <row r="834">
      <c r="A834" s="176"/>
      <c r="B834" s="176"/>
      <c r="C834" s="176"/>
      <c r="H834" s="178"/>
      <c r="R834" s="169"/>
      <c r="S834" s="169"/>
    </row>
    <row r="835">
      <c r="A835" s="176"/>
      <c r="B835" s="176"/>
      <c r="C835" s="176"/>
      <c r="H835" s="178"/>
      <c r="R835" s="169"/>
      <c r="S835" s="169"/>
    </row>
    <row r="836">
      <c r="A836" s="176"/>
      <c r="B836" s="176"/>
      <c r="C836" s="176"/>
      <c r="H836" s="178"/>
      <c r="R836" s="169"/>
      <c r="S836" s="169"/>
    </row>
    <row r="837">
      <c r="A837" s="176"/>
      <c r="B837" s="176"/>
      <c r="C837" s="176"/>
      <c r="H837" s="178"/>
      <c r="R837" s="169"/>
      <c r="S837" s="169"/>
    </row>
    <row r="838">
      <c r="A838" s="176"/>
      <c r="B838" s="176"/>
      <c r="C838" s="176"/>
      <c r="H838" s="178"/>
      <c r="R838" s="169"/>
      <c r="S838" s="169"/>
    </row>
    <row r="839">
      <c r="A839" s="176"/>
      <c r="B839" s="176"/>
      <c r="C839" s="176"/>
      <c r="H839" s="178"/>
      <c r="R839" s="169"/>
      <c r="S839" s="169"/>
    </row>
    <row r="840">
      <c r="A840" s="176"/>
      <c r="B840" s="176"/>
      <c r="C840" s="176"/>
      <c r="H840" s="178"/>
      <c r="R840" s="169"/>
      <c r="S840" s="169"/>
    </row>
    <row r="841">
      <c r="A841" s="176"/>
      <c r="B841" s="176"/>
      <c r="C841" s="176"/>
      <c r="H841" s="178"/>
      <c r="R841" s="169"/>
      <c r="S841" s="169"/>
    </row>
    <row r="842">
      <c r="A842" s="176"/>
      <c r="B842" s="176"/>
      <c r="C842" s="176"/>
      <c r="H842" s="178"/>
      <c r="R842" s="169"/>
      <c r="S842" s="169"/>
    </row>
    <row r="843">
      <c r="A843" s="176"/>
      <c r="B843" s="176"/>
      <c r="C843" s="176"/>
      <c r="H843" s="178"/>
      <c r="R843" s="169"/>
      <c r="S843" s="169"/>
    </row>
    <row r="844">
      <c r="A844" s="176"/>
      <c r="B844" s="176"/>
      <c r="C844" s="176"/>
      <c r="H844" s="178"/>
      <c r="R844" s="169"/>
      <c r="S844" s="169"/>
    </row>
    <row r="845">
      <c r="A845" s="176"/>
      <c r="B845" s="176"/>
      <c r="C845" s="176"/>
      <c r="H845" s="178"/>
      <c r="R845" s="169"/>
      <c r="S845" s="169"/>
    </row>
    <row r="846">
      <c r="A846" s="176"/>
      <c r="B846" s="176"/>
      <c r="C846" s="176"/>
      <c r="H846" s="178"/>
      <c r="R846" s="169"/>
      <c r="S846" s="169"/>
    </row>
    <row r="847">
      <c r="A847" s="176"/>
      <c r="B847" s="176"/>
      <c r="C847" s="176"/>
      <c r="H847" s="178"/>
      <c r="R847" s="169"/>
      <c r="S847" s="169"/>
    </row>
    <row r="848">
      <c r="A848" s="176"/>
      <c r="B848" s="176"/>
      <c r="C848" s="176"/>
      <c r="H848" s="178"/>
      <c r="R848" s="169"/>
      <c r="S848" s="169"/>
    </row>
    <row r="849">
      <c r="A849" s="176"/>
      <c r="B849" s="176"/>
      <c r="C849" s="176"/>
      <c r="H849" s="178"/>
      <c r="R849" s="169"/>
      <c r="S849" s="169"/>
    </row>
    <row r="850">
      <c r="A850" s="176"/>
      <c r="B850" s="176"/>
      <c r="C850" s="176"/>
      <c r="H850" s="178"/>
      <c r="R850" s="169"/>
      <c r="S850" s="169"/>
    </row>
    <row r="851">
      <c r="A851" s="176"/>
      <c r="B851" s="176"/>
      <c r="C851" s="176"/>
      <c r="H851" s="178"/>
      <c r="R851" s="169"/>
      <c r="S851" s="169"/>
    </row>
    <row r="852">
      <c r="A852" s="176"/>
      <c r="B852" s="176"/>
      <c r="C852" s="176"/>
      <c r="H852" s="178"/>
      <c r="R852" s="169"/>
      <c r="S852" s="169"/>
    </row>
    <row r="853">
      <c r="A853" s="176"/>
      <c r="B853" s="176"/>
      <c r="C853" s="176"/>
      <c r="H853" s="178"/>
      <c r="R853" s="169"/>
      <c r="S853" s="169"/>
    </row>
    <row r="854">
      <c r="A854" s="176"/>
      <c r="B854" s="176"/>
      <c r="C854" s="176"/>
      <c r="H854" s="178"/>
      <c r="R854" s="169"/>
      <c r="S854" s="169"/>
    </row>
    <row r="855">
      <c r="A855" s="176"/>
      <c r="B855" s="176"/>
      <c r="C855" s="176"/>
      <c r="H855" s="178"/>
      <c r="R855" s="169"/>
      <c r="S855" s="169"/>
    </row>
    <row r="856">
      <c r="A856" s="176"/>
      <c r="B856" s="176"/>
      <c r="C856" s="176"/>
      <c r="H856" s="178"/>
      <c r="R856" s="169"/>
      <c r="S856" s="169"/>
    </row>
    <row r="857">
      <c r="A857" s="176"/>
      <c r="B857" s="176"/>
      <c r="C857" s="176"/>
      <c r="H857" s="178"/>
      <c r="R857" s="169"/>
      <c r="S857" s="169"/>
    </row>
    <row r="858">
      <c r="A858" s="176"/>
      <c r="B858" s="176"/>
      <c r="C858" s="176"/>
      <c r="H858" s="178"/>
      <c r="R858" s="169"/>
      <c r="S858" s="169"/>
    </row>
    <row r="859">
      <c r="A859" s="176"/>
      <c r="B859" s="176"/>
      <c r="C859" s="176"/>
      <c r="H859" s="178"/>
      <c r="R859" s="169"/>
      <c r="S859" s="169"/>
    </row>
    <row r="860">
      <c r="A860" s="176"/>
      <c r="B860" s="176"/>
      <c r="C860" s="176"/>
      <c r="H860" s="178"/>
      <c r="R860" s="169"/>
      <c r="S860" s="169"/>
    </row>
    <row r="861">
      <c r="A861" s="176"/>
      <c r="B861" s="176"/>
      <c r="C861" s="176"/>
      <c r="H861" s="178"/>
      <c r="R861" s="169"/>
      <c r="S861" s="169"/>
    </row>
    <row r="862">
      <c r="A862" s="176"/>
      <c r="B862" s="176"/>
      <c r="C862" s="176"/>
      <c r="H862" s="178"/>
      <c r="R862" s="169"/>
      <c r="S862" s="169"/>
    </row>
    <row r="863">
      <c r="A863" s="176"/>
      <c r="B863" s="176"/>
      <c r="C863" s="176"/>
      <c r="H863" s="178"/>
      <c r="R863" s="169"/>
      <c r="S863" s="169"/>
    </row>
    <row r="864">
      <c r="A864" s="176"/>
      <c r="B864" s="176"/>
      <c r="C864" s="176"/>
      <c r="H864" s="178"/>
      <c r="R864" s="169"/>
      <c r="S864" s="169"/>
    </row>
    <row r="865">
      <c r="A865" s="176"/>
      <c r="B865" s="176"/>
      <c r="C865" s="176"/>
      <c r="H865" s="178"/>
      <c r="R865" s="169"/>
      <c r="S865" s="169"/>
    </row>
    <row r="866">
      <c r="A866" s="176"/>
      <c r="B866" s="176"/>
      <c r="C866" s="176"/>
      <c r="H866" s="178"/>
      <c r="R866" s="169"/>
      <c r="S866" s="169"/>
    </row>
    <row r="867">
      <c r="A867" s="176"/>
      <c r="B867" s="176"/>
      <c r="C867" s="176"/>
      <c r="H867" s="178"/>
      <c r="R867" s="169"/>
      <c r="S867" s="169"/>
    </row>
    <row r="868">
      <c r="A868" s="176"/>
      <c r="B868" s="176"/>
      <c r="C868" s="176"/>
      <c r="H868" s="178"/>
      <c r="R868" s="169"/>
      <c r="S868" s="169"/>
    </row>
    <row r="869">
      <c r="A869" s="176"/>
      <c r="B869" s="176"/>
      <c r="C869" s="176"/>
      <c r="H869" s="178"/>
      <c r="R869" s="169"/>
      <c r="S869" s="169"/>
    </row>
    <row r="870">
      <c r="A870" s="176"/>
      <c r="B870" s="176"/>
      <c r="C870" s="176"/>
      <c r="H870" s="178"/>
      <c r="R870" s="169"/>
      <c r="S870" s="169"/>
    </row>
    <row r="871">
      <c r="A871" s="176"/>
      <c r="B871" s="176"/>
      <c r="C871" s="176"/>
      <c r="H871" s="178"/>
      <c r="R871" s="169"/>
      <c r="S871" s="169"/>
    </row>
    <row r="872">
      <c r="A872" s="176"/>
      <c r="B872" s="176"/>
      <c r="C872" s="176"/>
      <c r="H872" s="178"/>
      <c r="R872" s="169"/>
      <c r="S872" s="169"/>
    </row>
    <row r="873">
      <c r="A873" s="176"/>
      <c r="B873" s="176"/>
      <c r="C873" s="176"/>
      <c r="H873" s="178"/>
      <c r="R873" s="169"/>
      <c r="S873" s="169"/>
    </row>
    <row r="874">
      <c r="A874" s="176"/>
      <c r="B874" s="176"/>
      <c r="C874" s="176"/>
      <c r="H874" s="178"/>
      <c r="R874" s="169"/>
      <c r="S874" s="169"/>
    </row>
    <row r="875">
      <c r="A875" s="176"/>
      <c r="B875" s="176"/>
      <c r="C875" s="176"/>
      <c r="H875" s="178"/>
      <c r="R875" s="169"/>
      <c r="S875" s="169"/>
    </row>
    <row r="876">
      <c r="A876" s="176"/>
      <c r="B876" s="176"/>
      <c r="C876" s="176"/>
      <c r="H876" s="178"/>
      <c r="R876" s="169"/>
      <c r="S876" s="169"/>
    </row>
    <row r="877">
      <c r="A877" s="176"/>
      <c r="B877" s="176"/>
      <c r="C877" s="176"/>
      <c r="H877" s="178"/>
      <c r="R877" s="169"/>
      <c r="S877" s="169"/>
    </row>
    <row r="878">
      <c r="A878" s="176"/>
      <c r="B878" s="176"/>
      <c r="C878" s="176"/>
      <c r="H878" s="178"/>
      <c r="R878" s="169"/>
      <c r="S878" s="169"/>
    </row>
    <row r="879">
      <c r="A879" s="176"/>
      <c r="B879" s="176"/>
      <c r="C879" s="176"/>
      <c r="H879" s="178"/>
      <c r="R879" s="169"/>
      <c r="S879" s="169"/>
    </row>
    <row r="880">
      <c r="A880" s="176"/>
      <c r="B880" s="176"/>
      <c r="C880" s="176"/>
      <c r="H880" s="178"/>
      <c r="R880" s="169"/>
      <c r="S880" s="169"/>
    </row>
    <row r="881">
      <c r="A881" s="176"/>
      <c r="B881" s="176"/>
      <c r="C881" s="176"/>
      <c r="H881" s="178"/>
      <c r="R881" s="169"/>
      <c r="S881" s="169"/>
    </row>
    <row r="882">
      <c r="A882" s="176"/>
      <c r="B882" s="176"/>
      <c r="C882" s="176"/>
      <c r="H882" s="178"/>
      <c r="R882" s="169"/>
      <c r="S882" s="169"/>
    </row>
    <row r="883">
      <c r="A883" s="176"/>
      <c r="B883" s="176"/>
      <c r="C883" s="176"/>
      <c r="H883" s="178"/>
      <c r="R883" s="169"/>
      <c r="S883" s="169"/>
    </row>
    <row r="884">
      <c r="A884" s="176"/>
      <c r="B884" s="176"/>
      <c r="C884" s="176"/>
      <c r="H884" s="178"/>
      <c r="R884" s="169"/>
      <c r="S884" s="169"/>
    </row>
    <row r="885">
      <c r="A885" s="176"/>
      <c r="B885" s="176"/>
      <c r="C885" s="176"/>
      <c r="H885" s="178"/>
      <c r="R885" s="169"/>
      <c r="S885" s="169"/>
    </row>
    <row r="886">
      <c r="A886" s="176"/>
      <c r="B886" s="176"/>
      <c r="C886" s="176"/>
      <c r="H886" s="178"/>
      <c r="R886" s="169"/>
      <c r="S886" s="169"/>
    </row>
    <row r="887">
      <c r="A887" s="176"/>
      <c r="B887" s="176"/>
      <c r="C887" s="176"/>
      <c r="H887" s="178"/>
      <c r="R887" s="169"/>
      <c r="S887" s="169"/>
    </row>
    <row r="888">
      <c r="A888" s="176"/>
      <c r="B888" s="176"/>
      <c r="C888" s="176"/>
      <c r="H888" s="178"/>
      <c r="R888" s="169"/>
      <c r="S888" s="169"/>
    </row>
    <row r="889">
      <c r="A889" s="176"/>
      <c r="B889" s="176"/>
      <c r="C889" s="176"/>
      <c r="H889" s="178"/>
      <c r="R889" s="169"/>
      <c r="S889" s="169"/>
    </row>
    <row r="890">
      <c r="A890" s="176"/>
      <c r="B890" s="176"/>
      <c r="C890" s="176"/>
      <c r="H890" s="178"/>
      <c r="R890" s="169"/>
      <c r="S890" s="169"/>
    </row>
    <row r="891">
      <c r="A891" s="176"/>
      <c r="B891" s="176"/>
      <c r="C891" s="176"/>
      <c r="H891" s="178"/>
      <c r="R891" s="169"/>
      <c r="S891" s="169"/>
    </row>
    <row r="892">
      <c r="A892" s="176"/>
      <c r="B892" s="176"/>
      <c r="C892" s="176"/>
      <c r="H892" s="178"/>
      <c r="R892" s="169"/>
      <c r="S892" s="169"/>
    </row>
    <row r="893">
      <c r="A893" s="176"/>
      <c r="B893" s="176"/>
      <c r="C893" s="176"/>
      <c r="H893" s="178"/>
      <c r="R893" s="169"/>
      <c r="S893" s="169"/>
    </row>
    <row r="894">
      <c r="A894" s="176"/>
      <c r="B894" s="176"/>
      <c r="C894" s="176"/>
      <c r="H894" s="178"/>
      <c r="R894" s="169"/>
      <c r="S894" s="169"/>
    </row>
    <row r="895">
      <c r="A895" s="176"/>
      <c r="B895" s="176"/>
      <c r="C895" s="176"/>
      <c r="H895" s="178"/>
      <c r="R895" s="169"/>
      <c r="S895" s="169"/>
    </row>
    <row r="896">
      <c r="A896" s="176"/>
      <c r="B896" s="176"/>
      <c r="C896" s="176"/>
      <c r="H896" s="178"/>
      <c r="R896" s="169"/>
      <c r="S896" s="169"/>
    </row>
    <row r="897">
      <c r="A897" s="176"/>
      <c r="B897" s="176"/>
      <c r="C897" s="176"/>
      <c r="H897" s="178"/>
      <c r="R897" s="169"/>
      <c r="S897" s="169"/>
    </row>
    <row r="898">
      <c r="A898" s="176"/>
      <c r="B898" s="176"/>
      <c r="C898" s="176"/>
      <c r="H898" s="178"/>
      <c r="R898" s="169"/>
      <c r="S898" s="169"/>
    </row>
    <row r="899">
      <c r="A899" s="176"/>
      <c r="B899" s="176"/>
      <c r="C899" s="176"/>
      <c r="H899" s="178"/>
      <c r="R899" s="169"/>
      <c r="S899" s="169"/>
    </row>
    <row r="900">
      <c r="A900" s="176"/>
      <c r="B900" s="176"/>
      <c r="C900" s="176"/>
      <c r="H900" s="178"/>
      <c r="R900" s="169"/>
      <c r="S900" s="169"/>
    </row>
    <row r="901">
      <c r="A901" s="176"/>
      <c r="B901" s="176"/>
      <c r="C901" s="176"/>
      <c r="H901" s="178"/>
      <c r="R901" s="169"/>
      <c r="S901" s="169"/>
    </row>
    <row r="902">
      <c r="A902" s="176"/>
      <c r="B902" s="176"/>
      <c r="C902" s="176"/>
      <c r="H902" s="178"/>
      <c r="R902" s="169"/>
      <c r="S902" s="169"/>
    </row>
    <row r="903">
      <c r="A903" s="176"/>
      <c r="B903" s="176"/>
      <c r="C903" s="176"/>
      <c r="H903" s="178"/>
      <c r="R903" s="169"/>
      <c r="S903" s="169"/>
    </row>
    <row r="904">
      <c r="A904" s="176"/>
      <c r="B904" s="176"/>
      <c r="C904" s="176"/>
      <c r="H904" s="178"/>
      <c r="R904" s="169"/>
      <c r="S904" s="169"/>
    </row>
    <row r="905">
      <c r="A905" s="176"/>
      <c r="B905" s="176"/>
      <c r="C905" s="176"/>
      <c r="H905" s="178"/>
      <c r="R905" s="169"/>
      <c r="S905" s="169"/>
    </row>
    <row r="906">
      <c r="A906" s="176"/>
      <c r="B906" s="176"/>
      <c r="C906" s="176"/>
      <c r="H906" s="178"/>
      <c r="R906" s="169"/>
      <c r="S906" s="169"/>
    </row>
    <row r="907">
      <c r="A907" s="176"/>
      <c r="B907" s="176"/>
      <c r="C907" s="176"/>
      <c r="H907" s="178"/>
      <c r="R907" s="169"/>
      <c r="S907" s="169"/>
    </row>
    <row r="908">
      <c r="A908" s="176"/>
      <c r="B908" s="176"/>
      <c r="C908" s="176"/>
      <c r="H908" s="178"/>
      <c r="R908" s="169"/>
      <c r="S908" s="169"/>
    </row>
    <row r="909">
      <c r="A909" s="176"/>
      <c r="B909" s="176"/>
      <c r="C909" s="176"/>
      <c r="H909" s="178"/>
      <c r="R909" s="169"/>
      <c r="S909" s="169"/>
    </row>
    <row r="910">
      <c r="A910" s="176"/>
      <c r="B910" s="176"/>
      <c r="C910" s="176"/>
      <c r="H910" s="178"/>
      <c r="R910" s="169"/>
      <c r="S910" s="169"/>
    </row>
    <row r="911">
      <c r="A911" s="176"/>
      <c r="B911" s="176"/>
      <c r="C911" s="176"/>
      <c r="H911" s="178"/>
      <c r="R911" s="169"/>
      <c r="S911" s="169"/>
    </row>
    <row r="912">
      <c r="A912" s="176"/>
      <c r="B912" s="176"/>
      <c r="C912" s="176"/>
      <c r="H912" s="178"/>
      <c r="R912" s="169"/>
      <c r="S912" s="169"/>
    </row>
    <row r="913">
      <c r="A913" s="176"/>
      <c r="B913" s="176"/>
      <c r="C913" s="176"/>
      <c r="H913" s="178"/>
      <c r="R913" s="169"/>
      <c r="S913" s="169"/>
    </row>
    <row r="914">
      <c r="A914" s="176"/>
      <c r="B914" s="176"/>
      <c r="C914" s="176"/>
      <c r="H914" s="178"/>
      <c r="R914" s="169"/>
      <c r="S914" s="169"/>
    </row>
    <row r="915">
      <c r="A915" s="176"/>
      <c r="B915" s="176"/>
      <c r="C915" s="176"/>
      <c r="H915" s="178"/>
      <c r="R915" s="169"/>
      <c r="S915" s="169"/>
    </row>
    <row r="916">
      <c r="A916" s="176"/>
      <c r="B916" s="176"/>
      <c r="C916" s="176"/>
      <c r="H916" s="178"/>
      <c r="R916" s="169"/>
      <c r="S916" s="169"/>
    </row>
    <row r="917">
      <c r="A917" s="176"/>
      <c r="B917" s="176"/>
      <c r="C917" s="176"/>
      <c r="H917" s="178"/>
      <c r="R917" s="169"/>
      <c r="S917" s="169"/>
    </row>
    <row r="918">
      <c r="A918" s="176"/>
      <c r="B918" s="176"/>
      <c r="C918" s="176"/>
      <c r="H918" s="178"/>
      <c r="R918" s="169"/>
      <c r="S918" s="169"/>
    </row>
    <row r="919">
      <c r="A919" s="176"/>
      <c r="B919" s="176"/>
      <c r="C919" s="176"/>
      <c r="H919" s="178"/>
      <c r="R919" s="169"/>
      <c r="S919" s="169"/>
    </row>
    <row r="920">
      <c r="A920" s="176"/>
      <c r="B920" s="176"/>
      <c r="C920" s="176"/>
      <c r="H920" s="178"/>
      <c r="R920" s="169"/>
      <c r="S920" s="169"/>
    </row>
    <row r="921">
      <c r="A921" s="176"/>
      <c r="B921" s="176"/>
      <c r="C921" s="176"/>
      <c r="H921" s="178"/>
      <c r="R921" s="169"/>
      <c r="S921" s="169"/>
    </row>
    <row r="922">
      <c r="A922" s="176"/>
      <c r="B922" s="176"/>
      <c r="C922" s="176"/>
      <c r="H922" s="178"/>
      <c r="R922" s="169"/>
      <c r="S922" s="169"/>
    </row>
    <row r="923">
      <c r="A923" s="176"/>
      <c r="B923" s="176"/>
      <c r="C923" s="176"/>
      <c r="H923" s="178"/>
      <c r="R923" s="169"/>
      <c r="S923" s="169"/>
    </row>
    <row r="924">
      <c r="A924" s="176"/>
      <c r="B924" s="176"/>
      <c r="C924" s="176"/>
      <c r="H924" s="178"/>
      <c r="R924" s="169"/>
      <c r="S924" s="169"/>
    </row>
    <row r="925">
      <c r="A925" s="176"/>
      <c r="B925" s="176"/>
      <c r="C925" s="176"/>
      <c r="H925" s="178"/>
      <c r="R925" s="169"/>
      <c r="S925" s="169"/>
    </row>
    <row r="926">
      <c r="A926" s="176"/>
      <c r="B926" s="176"/>
      <c r="C926" s="176"/>
      <c r="H926" s="178"/>
      <c r="R926" s="169"/>
      <c r="S926" s="169"/>
    </row>
    <row r="927">
      <c r="A927" s="176"/>
      <c r="B927" s="176"/>
      <c r="C927" s="176"/>
      <c r="H927" s="178"/>
      <c r="R927" s="169"/>
      <c r="S927" s="169"/>
    </row>
    <row r="928">
      <c r="A928" s="176"/>
      <c r="B928" s="176"/>
      <c r="C928" s="176"/>
      <c r="H928" s="178"/>
      <c r="R928" s="169"/>
      <c r="S928" s="169"/>
    </row>
    <row r="929">
      <c r="A929" s="176"/>
      <c r="B929" s="176"/>
      <c r="C929" s="176"/>
      <c r="H929" s="178"/>
      <c r="R929" s="169"/>
      <c r="S929" s="169"/>
    </row>
    <row r="930">
      <c r="A930" s="176"/>
      <c r="B930" s="176"/>
      <c r="C930" s="176"/>
      <c r="H930" s="178"/>
      <c r="R930" s="169"/>
      <c r="S930" s="169"/>
    </row>
    <row r="931">
      <c r="A931" s="176"/>
      <c r="B931" s="176"/>
      <c r="C931" s="176"/>
      <c r="H931" s="178"/>
      <c r="R931" s="169"/>
      <c r="S931" s="169"/>
    </row>
    <row r="932">
      <c r="A932" s="176"/>
      <c r="B932" s="176"/>
      <c r="C932" s="176"/>
      <c r="H932" s="178"/>
      <c r="R932" s="169"/>
      <c r="S932" s="169"/>
    </row>
    <row r="933">
      <c r="A933" s="176"/>
      <c r="B933" s="176"/>
      <c r="C933" s="176"/>
      <c r="H933" s="178"/>
      <c r="R933" s="169"/>
      <c r="S933" s="169"/>
    </row>
    <row r="934">
      <c r="A934" s="176"/>
      <c r="B934" s="176"/>
      <c r="C934" s="176"/>
      <c r="H934" s="178"/>
      <c r="R934" s="169"/>
      <c r="S934" s="169"/>
    </row>
    <row r="935">
      <c r="A935" s="176"/>
      <c r="B935" s="176"/>
      <c r="C935" s="176"/>
      <c r="H935" s="178"/>
      <c r="R935" s="169"/>
      <c r="S935" s="169"/>
    </row>
    <row r="936">
      <c r="A936" s="176"/>
      <c r="B936" s="176"/>
      <c r="C936" s="176"/>
      <c r="H936" s="178"/>
      <c r="R936" s="169"/>
      <c r="S936" s="169"/>
    </row>
    <row r="937">
      <c r="A937" s="176"/>
      <c r="B937" s="176"/>
      <c r="C937" s="176"/>
      <c r="H937" s="178"/>
      <c r="R937" s="169"/>
      <c r="S937" s="169"/>
    </row>
    <row r="938">
      <c r="A938" s="176"/>
      <c r="B938" s="176"/>
      <c r="C938" s="176"/>
      <c r="H938" s="178"/>
      <c r="R938" s="169"/>
      <c r="S938" s="169"/>
    </row>
    <row r="939">
      <c r="A939" s="176"/>
      <c r="B939" s="176"/>
      <c r="C939" s="176"/>
      <c r="H939" s="178"/>
      <c r="R939" s="169"/>
      <c r="S939" s="169"/>
    </row>
    <row r="940">
      <c r="A940" s="176"/>
      <c r="B940" s="176"/>
      <c r="C940" s="176"/>
      <c r="H940" s="178"/>
      <c r="R940" s="169"/>
      <c r="S940" s="169"/>
    </row>
    <row r="941">
      <c r="A941" s="176"/>
      <c r="B941" s="176"/>
      <c r="C941" s="176"/>
      <c r="H941" s="178"/>
      <c r="R941" s="169"/>
      <c r="S941" s="169"/>
    </row>
    <row r="942">
      <c r="A942" s="176"/>
      <c r="B942" s="176"/>
      <c r="C942" s="176"/>
      <c r="H942" s="178"/>
      <c r="R942" s="169"/>
      <c r="S942" s="169"/>
    </row>
    <row r="943">
      <c r="A943" s="176"/>
      <c r="B943" s="176"/>
      <c r="C943" s="176"/>
      <c r="H943" s="178"/>
      <c r="R943" s="169"/>
      <c r="S943" s="169"/>
    </row>
    <row r="944">
      <c r="A944" s="176"/>
      <c r="B944" s="176"/>
      <c r="C944" s="176"/>
      <c r="H944" s="178"/>
      <c r="R944" s="169"/>
      <c r="S944" s="169"/>
    </row>
    <row r="945">
      <c r="A945" s="176"/>
      <c r="B945" s="176"/>
      <c r="C945" s="176"/>
      <c r="H945" s="178"/>
      <c r="R945" s="169"/>
      <c r="S945" s="169"/>
    </row>
    <row r="946">
      <c r="A946" s="176"/>
      <c r="B946" s="176"/>
      <c r="C946" s="176"/>
      <c r="H946" s="178"/>
      <c r="R946" s="169"/>
      <c r="S946" s="169"/>
    </row>
    <row r="947">
      <c r="A947" s="176"/>
      <c r="B947" s="176"/>
      <c r="C947" s="176"/>
      <c r="H947" s="178"/>
      <c r="R947" s="169"/>
      <c r="S947" s="169"/>
    </row>
    <row r="948">
      <c r="A948" s="176"/>
      <c r="B948" s="176"/>
      <c r="C948" s="176"/>
      <c r="H948" s="178"/>
      <c r="R948" s="169"/>
      <c r="S948" s="169"/>
    </row>
    <row r="949">
      <c r="A949" s="176"/>
      <c r="B949" s="176"/>
      <c r="C949" s="176"/>
      <c r="H949" s="178"/>
      <c r="R949" s="169"/>
      <c r="S949" s="169"/>
    </row>
    <row r="950">
      <c r="A950" s="176"/>
      <c r="B950" s="176"/>
      <c r="C950" s="176"/>
      <c r="H950" s="178"/>
      <c r="R950" s="169"/>
      <c r="S950" s="169"/>
    </row>
    <row r="951">
      <c r="A951" s="176"/>
      <c r="B951" s="176"/>
      <c r="C951" s="176"/>
      <c r="H951" s="178"/>
      <c r="R951" s="169"/>
      <c r="S951" s="169"/>
    </row>
    <row r="952">
      <c r="A952" s="176"/>
      <c r="B952" s="176"/>
      <c r="C952" s="176"/>
      <c r="H952" s="178"/>
      <c r="R952" s="169"/>
      <c r="S952" s="169"/>
    </row>
    <row r="953">
      <c r="A953" s="176"/>
      <c r="B953" s="176"/>
      <c r="C953" s="176"/>
      <c r="H953" s="178"/>
      <c r="R953" s="169"/>
      <c r="S953" s="169"/>
    </row>
    <row r="954">
      <c r="A954" s="176"/>
      <c r="B954" s="176"/>
      <c r="C954" s="176"/>
      <c r="H954" s="178"/>
      <c r="R954" s="169"/>
      <c r="S954" s="169"/>
    </row>
    <row r="955">
      <c r="A955" s="176"/>
      <c r="B955" s="176"/>
      <c r="C955" s="176"/>
      <c r="H955" s="178"/>
      <c r="R955" s="169"/>
      <c r="S955" s="169"/>
    </row>
    <row r="956">
      <c r="A956" s="176"/>
      <c r="B956" s="176"/>
      <c r="C956" s="176"/>
      <c r="H956" s="178"/>
      <c r="R956" s="169"/>
      <c r="S956" s="169"/>
    </row>
    <row r="957">
      <c r="A957" s="176"/>
      <c r="B957" s="176"/>
      <c r="C957" s="176"/>
      <c r="H957" s="178"/>
      <c r="R957" s="169"/>
      <c r="S957" s="169"/>
    </row>
    <row r="958">
      <c r="A958" s="176"/>
      <c r="B958" s="176"/>
      <c r="C958" s="176"/>
      <c r="H958" s="178"/>
      <c r="R958" s="169"/>
      <c r="S958" s="169"/>
    </row>
    <row r="959">
      <c r="A959" s="176"/>
      <c r="B959" s="176"/>
      <c r="C959" s="176"/>
      <c r="H959" s="178"/>
      <c r="R959" s="169"/>
      <c r="S959" s="169"/>
    </row>
    <row r="960">
      <c r="A960" s="176"/>
      <c r="B960" s="176"/>
      <c r="C960" s="176"/>
      <c r="H960" s="178"/>
      <c r="R960" s="169"/>
      <c r="S960" s="169"/>
    </row>
    <row r="961">
      <c r="A961" s="176"/>
      <c r="B961" s="176"/>
      <c r="C961" s="176"/>
      <c r="H961" s="178"/>
      <c r="R961" s="169"/>
      <c r="S961" s="169"/>
    </row>
    <row r="962">
      <c r="A962" s="176"/>
      <c r="B962" s="176"/>
      <c r="C962" s="176"/>
      <c r="H962" s="178"/>
      <c r="R962" s="169"/>
      <c r="S962" s="169"/>
    </row>
    <row r="963">
      <c r="A963" s="176"/>
      <c r="B963" s="176"/>
      <c r="C963" s="176"/>
      <c r="H963" s="178"/>
      <c r="R963" s="169"/>
      <c r="S963" s="169"/>
    </row>
    <row r="964">
      <c r="A964" s="176"/>
      <c r="B964" s="176"/>
      <c r="C964" s="176"/>
      <c r="H964" s="178"/>
      <c r="R964" s="169"/>
      <c r="S964" s="169"/>
    </row>
    <row r="965">
      <c r="A965" s="176"/>
      <c r="B965" s="176"/>
      <c r="C965" s="176"/>
      <c r="H965" s="178"/>
      <c r="R965" s="169"/>
      <c r="S965" s="169"/>
    </row>
    <row r="966">
      <c r="A966" s="176"/>
      <c r="B966" s="176"/>
      <c r="C966" s="176"/>
      <c r="H966" s="178"/>
      <c r="R966" s="169"/>
      <c r="S966" s="169"/>
    </row>
    <row r="967">
      <c r="A967" s="176"/>
      <c r="B967" s="176"/>
      <c r="C967" s="176"/>
      <c r="H967" s="178"/>
      <c r="R967" s="169"/>
      <c r="S967" s="169"/>
    </row>
    <row r="968">
      <c r="A968" s="176"/>
      <c r="B968" s="176"/>
      <c r="C968" s="176"/>
      <c r="H968" s="178"/>
      <c r="R968" s="169"/>
      <c r="S968" s="169"/>
    </row>
    <row r="969">
      <c r="A969" s="176"/>
      <c r="B969" s="176"/>
      <c r="C969" s="176"/>
      <c r="H969" s="178"/>
      <c r="R969" s="169"/>
      <c r="S969" s="169"/>
    </row>
    <row r="970">
      <c r="A970" s="176"/>
      <c r="B970" s="176"/>
      <c r="C970" s="176"/>
      <c r="H970" s="178"/>
      <c r="R970" s="169"/>
      <c r="S970" s="169"/>
    </row>
    <row r="971">
      <c r="A971" s="176"/>
      <c r="B971" s="176"/>
      <c r="C971" s="176"/>
      <c r="H971" s="178"/>
      <c r="R971" s="169"/>
      <c r="S971" s="169"/>
    </row>
    <row r="972">
      <c r="A972" s="176"/>
      <c r="B972" s="176"/>
      <c r="C972" s="176"/>
      <c r="H972" s="178"/>
      <c r="R972" s="169"/>
      <c r="S972" s="169"/>
    </row>
    <row r="973">
      <c r="A973" s="176"/>
      <c r="B973" s="176"/>
      <c r="C973" s="176"/>
      <c r="H973" s="178"/>
      <c r="R973" s="169"/>
      <c r="S973" s="169"/>
    </row>
    <row r="974">
      <c r="A974" s="176"/>
      <c r="B974" s="176"/>
      <c r="C974" s="176"/>
      <c r="H974" s="178"/>
      <c r="R974" s="169"/>
      <c r="S974" s="169"/>
    </row>
    <row r="975">
      <c r="A975" s="176"/>
      <c r="B975" s="176"/>
      <c r="C975" s="176"/>
      <c r="H975" s="178"/>
      <c r="R975" s="169"/>
      <c r="S975" s="169"/>
    </row>
    <row r="976">
      <c r="A976" s="176"/>
      <c r="B976" s="176"/>
      <c r="C976" s="176"/>
      <c r="H976" s="178"/>
      <c r="R976" s="169"/>
      <c r="S976" s="169"/>
    </row>
    <row r="977">
      <c r="A977" s="176"/>
      <c r="B977" s="176"/>
      <c r="C977" s="176"/>
      <c r="H977" s="178"/>
      <c r="R977" s="169"/>
      <c r="S977" s="169"/>
    </row>
    <row r="978">
      <c r="A978" s="176"/>
      <c r="B978" s="176"/>
      <c r="C978" s="176"/>
      <c r="H978" s="178"/>
      <c r="R978" s="169"/>
      <c r="S978" s="169"/>
    </row>
    <row r="979">
      <c r="A979" s="176"/>
      <c r="B979" s="176"/>
      <c r="C979" s="176"/>
      <c r="H979" s="178"/>
      <c r="R979" s="169"/>
      <c r="S979" s="169"/>
    </row>
    <row r="980">
      <c r="A980" s="176"/>
      <c r="B980" s="176"/>
      <c r="C980" s="176"/>
      <c r="H980" s="178"/>
      <c r="R980" s="169"/>
      <c r="S980" s="169"/>
    </row>
    <row r="981">
      <c r="A981" s="176"/>
      <c r="B981" s="176"/>
      <c r="C981" s="176"/>
      <c r="H981" s="178"/>
      <c r="R981" s="169"/>
      <c r="S981" s="169"/>
    </row>
    <row r="982">
      <c r="A982" s="176"/>
      <c r="B982" s="176"/>
      <c r="C982" s="176"/>
      <c r="H982" s="178"/>
      <c r="R982" s="169"/>
      <c r="S982" s="169"/>
    </row>
    <row r="983">
      <c r="A983" s="176"/>
      <c r="B983" s="176"/>
      <c r="C983" s="176"/>
      <c r="H983" s="178"/>
      <c r="R983" s="169"/>
      <c r="S983" s="169"/>
    </row>
    <row r="984">
      <c r="A984" s="176"/>
      <c r="B984" s="176"/>
      <c r="C984" s="176"/>
      <c r="H984" s="178"/>
      <c r="R984" s="169"/>
      <c r="S984" s="169"/>
    </row>
    <row r="985">
      <c r="A985" s="176"/>
      <c r="B985" s="176"/>
      <c r="C985" s="176"/>
      <c r="H985" s="178"/>
      <c r="R985" s="169"/>
      <c r="S985" s="169"/>
    </row>
    <row r="986">
      <c r="A986" s="176"/>
      <c r="B986" s="176"/>
      <c r="C986" s="176"/>
      <c r="H986" s="178"/>
      <c r="R986" s="169"/>
      <c r="S986" s="169"/>
    </row>
    <row r="987">
      <c r="A987" s="176"/>
      <c r="B987" s="176"/>
      <c r="C987" s="176"/>
      <c r="H987" s="178"/>
      <c r="R987" s="169"/>
      <c r="S987" s="169"/>
    </row>
    <row r="988">
      <c r="A988" s="176"/>
      <c r="B988" s="176"/>
      <c r="C988" s="176"/>
      <c r="H988" s="178"/>
      <c r="R988" s="169"/>
      <c r="S988" s="169"/>
    </row>
    <row r="989">
      <c r="A989" s="176"/>
      <c r="B989" s="176"/>
      <c r="C989" s="176"/>
      <c r="H989" s="178"/>
      <c r="R989" s="169"/>
      <c r="S989" s="169"/>
    </row>
    <row r="990">
      <c r="A990" s="176"/>
      <c r="B990" s="176"/>
      <c r="C990" s="176"/>
      <c r="H990" s="178"/>
      <c r="R990" s="169"/>
      <c r="S990" s="169"/>
    </row>
    <row r="991">
      <c r="A991" s="176"/>
      <c r="B991" s="176"/>
      <c r="C991" s="176"/>
      <c r="H991" s="178"/>
      <c r="R991" s="169"/>
      <c r="S991" s="169"/>
    </row>
    <row r="992">
      <c r="A992" s="176"/>
      <c r="B992" s="176"/>
      <c r="C992" s="176"/>
      <c r="H992" s="178"/>
      <c r="R992" s="169"/>
      <c r="S992" s="169"/>
    </row>
    <row r="993">
      <c r="A993" s="176"/>
      <c r="B993" s="176"/>
      <c r="C993" s="176"/>
      <c r="H993" s="178"/>
      <c r="R993" s="169"/>
      <c r="S993" s="169"/>
    </row>
    <row r="994">
      <c r="A994" s="176"/>
      <c r="B994" s="176"/>
      <c r="C994" s="176"/>
      <c r="H994" s="178"/>
      <c r="R994" s="169"/>
      <c r="S994" s="169"/>
    </row>
    <row r="995">
      <c r="A995" s="176"/>
      <c r="B995" s="176"/>
      <c r="C995" s="176"/>
      <c r="H995" s="178"/>
      <c r="R995" s="169"/>
      <c r="S995" s="169"/>
    </row>
    <row r="996">
      <c r="A996" s="176"/>
      <c r="B996" s="176"/>
      <c r="C996" s="176"/>
      <c r="H996" s="178"/>
      <c r="R996" s="169"/>
      <c r="S996" s="169"/>
    </row>
    <row r="997">
      <c r="A997" s="176"/>
      <c r="B997" s="176"/>
      <c r="C997" s="176"/>
      <c r="H997" s="178"/>
      <c r="R997" s="169"/>
      <c r="S997" s="169"/>
    </row>
    <row r="998">
      <c r="A998" s="176"/>
      <c r="B998" s="176"/>
      <c r="C998" s="176"/>
      <c r="H998" s="178"/>
      <c r="R998" s="169"/>
      <c r="S998" s="169"/>
    </row>
    <row r="999">
      <c r="A999" s="176"/>
      <c r="B999" s="176"/>
      <c r="C999" s="176"/>
      <c r="H999" s="178"/>
      <c r="R999" s="169"/>
      <c r="S999" s="169"/>
    </row>
    <row r="1000">
      <c r="A1000" s="176"/>
      <c r="B1000" s="176"/>
      <c r="C1000" s="176"/>
      <c r="H1000" s="178"/>
      <c r="R1000" s="169"/>
      <c r="S1000" s="169"/>
    </row>
    <row r="1001">
      <c r="A1001" s="176"/>
      <c r="B1001" s="176"/>
      <c r="C1001" s="176"/>
      <c r="H1001" s="178"/>
      <c r="R1001" s="169"/>
      <c r="S1001" s="169"/>
    </row>
    <row r="1002">
      <c r="A1002" s="176"/>
      <c r="B1002" s="176"/>
      <c r="C1002" s="176"/>
      <c r="H1002" s="178"/>
      <c r="R1002" s="169"/>
      <c r="S1002" s="169"/>
    </row>
    <row r="1003">
      <c r="A1003" s="176"/>
      <c r="B1003" s="176"/>
      <c r="C1003" s="176"/>
      <c r="H1003" s="178"/>
      <c r="R1003" s="169"/>
      <c r="S1003" s="169"/>
    </row>
    <row r="1004">
      <c r="A1004" s="176"/>
      <c r="B1004" s="176"/>
      <c r="C1004" s="176"/>
      <c r="H1004" s="178"/>
      <c r="R1004" s="169"/>
      <c r="S1004" s="169"/>
    </row>
    <row r="1005">
      <c r="A1005" s="176"/>
      <c r="B1005" s="176"/>
      <c r="C1005" s="176"/>
      <c r="H1005" s="178"/>
      <c r="R1005" s="169"/>
      <c r="S1005" s="169"/>
    </row>
    <row r="1006">
      <c r="A1006" s="176"/>
      <c r="B1006" s="176"/>
      <c r="C1006" s="176"/>
      <c r="H1006" s="178"/>
      <c r="R1006" s="169"/>
      <c r="S1006" s="169"/>
    </row>
    <row r="1007">
      <c r="A1007" s="176"/>
      <c r="B1007" s="176"/>
      <c r="C1007" s="176"/>
      <c r="H1007" s="178"/>
      <c r="R1007" s="169"/>
      <c r="S1007" s="169"/>
    </row>
    <row r="1008">
      <c r="A1008" s="176"/>
      <c r="B1008" s="176"/>
      <c r="C1008" s="176"/>
      <c r="H1008" s="178"/>
      <c r="R1008" s="169"/>
      <c r="S1008" s="169"/>
    </row>
    <row r="1009">
      <c r="A1009" s="176"/>
      <c r="B1009" s="176"/>
      <c r="C1009" s="176"/>
      <c r="H1009" s="178"/>
      <c r="R1009" s="169"/>
      <c r="S1009" s="169"/>
    </row>
    <row r="1010">
      <c r="A1010" s="176"/>
      <c r="B1010" s="176"/>
      <c r="C1010" s="176"/>
      <c r="H1010" s="178"/>
      <c r="R1010" s="169"/>
      <c r="S1010" s="169"/>
    </row>
    <row r="1011">
      <c r="A1011" s="176"/>
      <c r="B1011" s="176"/>
      <c r="C1011" s="176"/>
      <c r="H1011" s="178"/>
      <c r="R1011" s="169"/>
      <c r="S1011" s="169"/>
    </row>
    <row r="1012">
      <c r="A1012" s="176"/>
      <c r="B1012" s="176"/>
      <c r="C1012" s="176"/>
      <c r="H1012" s="178"/>
      <c r="R1012" s="169"/>
      <c r="S1012" s="169"/>
    </row>
    <row r="1013">
      <c r="A1013" s="176"/>
      <c r="B1013" s="176"/>
      <c r="C1013" s="176"/>
      <c r="H1013" s="178"/>
      <c r="R1013" s="169"/>
      <c r="S1013" s="169"/>
    </row>
    <row r="1014">
      <c r="A1014" s="176"/>
      <c r="B1014" s="176"/>
      <c r="C1014" s="176"/>
      <c r="H1014" s="178"/>
      <c r="R1014" s="169"/>
      <c r="S1014" s="169"/>
    </row>
  </sheetData>
  <mergeCells count="9">
    <mergeCell ref="D8:E8"/>
    <mergeCell ref="D9:E9"/>
    <mergeCell ref="D1:E1"/>
    <mergeCell ref="D2:E2"/>
    <mergeCell ref="D3:E3"/>
    <mergeCell ref="D4:E4"/>
    <mergeCell ref="D5:E5"/>
    <mergeCell ref="D6:E6"/>
    <mergeCell ref="D7:E7"/>
  </mergeCells>
  <conditionalFormatting sqref="I12:I31">
    <cfRule type="cellIs" dxfId="0" priority="1" operator="lessThan">
      <formula>$F$8</formula>
    </cfRule>
  </conditionalFormatting>
  <conditionalFormatting sqref="J12:J31">
    <cfRule type="cellIs" dxfId="1" priority="2" operator="greaterThan">
      <formula>$F$5</formula>
    </cfRule>
  </conditionalFormatting>
  <conditionalFormatting sqref="I12:J31 K12 K14:K31">
    <cfRule type="cellIs" dxfId="2" priority="3" operator="equal">
      <formula>$F$8</formula>
    </cfRule>
  </conditionalFormatting>
  <conditionalFormatting sqref="L12:M31">
    <cfRule type="cellIs" dxfId="1" priority="4" operator="greaterThan">
      <formula>$F$4</formula>
    </cfRule>
  </conditionalFormatting>
  <conditionalFormatting sqref="L12:L31">
    <cfRule type="cellIs" dxfId="0" priority="5" operator="lessThan">
      <formula>$F$4</formula>
    </cfRule>
  </conditionalFormatting>
  <conditionalFormatting sqref="M12:M31">
    <cfRule type="cellIs" dxfId="0" priority="6" operator="lessThan">
      <formula>$F$3</formula>
    </cfRule>
  </conditionalFormatting>
  <conditionalFormatting sqref="H12:H31">
    <cfRule type="cellIs" dxfId="1" priority="7" operator="greaterThan">
      <formula>$F$8</formula>
    </cfRule>
  </conditionalFormatting>
  <conditionalFormatting sqref="H12:H31">
    <cfRule type="cellIs" dxfId="0" priority="8" operator="lessThan">
      <formula>$F$8</formula>
    </cfRule>
  </conditionalFormatting>
  <conditionalFormatting sqref="K12:K31">
    <cfRule type="cellIs" dxfId="0" priority="9" operator="lessThan">
      <formula>$F$6</formula>
    </cfRule>
  </conditionalFormatting>
  <conditionalFormatting sqref="K12:K31">
    <cfRule type="cellIs" dxfId="1" priority="10" operator="greaterThan">
      <formula>$F$6</formula>
    </cfRule>
  </conditionalFormatting>
  <conditionalFormatting sqref="I12:I31">
    <cfRule type="cellIs" dxfId="1" priority="11" operator="greaterThan">
      <formula>$F$8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4.14"/>
    <col customWidth="1" min="5" max="5" width="18.43"/>
    <col customWidth="1" min="6" max="6" width="15.29"/>
    <col customWidth="1" min="9" max="9" width="15.0"/>
    <col customWidth="1" min="10" max="10" width="17.71"/>
    <col customWidth="1" min="11" max="11" width="15.86"/>
    <col customWidth="1" min="14" max="19" width="15.86"/>
    <col customWidth="1" min="20" max="20" width="15.57"/>
    <col customWidth="1" min="21" max="21" width="15.0"/>
    <col customWidth="1" min="22" max="22" width="17.0"/>
    <col customWidth="1" min="23" max="23" width="16.14"/>
    <col customWidth="1" min="24" max="24" width="16.43"/>
    <col customWidth="1" min="25" max="25" width="17.43"/>
    <col customWidth="1" min="26" max="26" width="66.14"/>
    <col customWidth="1" min="27" max="29" width="17.43"/>
    <col customWidth="1" min="31" max="31" width="72.86"/>
  </cols>
  <sheetData>
    <row r="1">
      <c r="A1" s="220"/>
      <c r="B1" s="3"/>
      <c r="C1" s="4"/>
      <c r="D1" s="221" t="s">
        <v>148</v>
      </c>
      <c r="E1" s="222" t="s">
        <v>149</v>
      </c>
      <c r="G1" s="223"/>
    </row>
    <row r="2">
      <c r="A2" s="224" t="s">
        <v>150</v>
      </c>
      <c r="B2" s="4"/>
      <c r="C2" s="225">
        <f>'Preliminary Power Budget'!J36</f>
        <v>8.2250832</v>
      </c>
      <c r="D2" s="30" t="s">
        <v>151</v>
      </c>
      <c r="E2" s="226" t="s">
        <v>122</v>
      </c>
      <c r="G2" s="223"/>
      <c r="K2" s="227" t="s">
        <v>152</v>
      </c>
      <c r="L2" s="168"/>
      <c r="M2" s="168"/>
    </row>
    <row r="3">
      <c r="A3" s="224" t="s">
        <v>153</v>
      </c>
      <c r="B3" s="4"/>
      <c r="C3" s="228">
        <f>'Preliminary Current Budget'!H31</f>
        <v>2.914498062</v>
      </c>
      <c r="D3" s="30" t="s">
        <v>154</v>
      </c>
      <c r="F3" s="223"/>
      <c r="G3" s="223"/>
      <c r="K3" s="168"/>
      <c r="L3" s="168"/>
      <c r="M3" s="168"/>
    </row>
    <row r="4">
      <c r="A4" s="224" t="s">
        <v>155</v>
      </c>
      <c r="B4" s="4"/>
      <c r="C4" s="229">
        <v>0.1</v>
      </c>
      <c r="D4" s="30"/>
      <c r="E4" s="230"/>
      <c r="F4" s="223"/>
      <c r="G4" s="223"/>
    </row>
    <row r="5">
      <c r="A5" s="224" t="s">
        <v>156</v>
      </c>
      <c r="B5" s="4"/>
      <c r="C5" s="229">
        <v>0.1</v>
      </c>
      <c r="D5" s="30"/>
      <c r="E5" s="230"/>
      <c r="F5" s="223"/>
      <c r="G5" s="223"/>
    </row>
    <row r="6">
      <c r="A6" s="231" t="s">
        <v>157</v>
      </c>
      <c r="B6" s="232"/>
      <c r="C6" s="233">
        <v>0.08</v>
      </c>
      <c r="D6" s="234"/>
      <c r="E6" s="230"/>
      <c r="F6" s="223"/>
      <c r="G6" s="223"/>
    </row>
    <row r="7">
      <c r="A7" s="235" t="s">
        <v>158</v>
      </c>
      <c r="B7" s="89"/>
      <c r="C7" s="236">
        <v>0.5</v>
      </c>
      <c r="D7" s="236" t="s">
        <v>134</v>
      </c>
      <c r="E7" s="230"/>
      <c r="F7" s="223"/>
      <c r="G7" s="223"/>
    </row>
    <row r="8">
      <c r="A8" s="237" t="s">
        <v>159</v>
      </c>
      <c r="B8" s="4"/>
      <c r="C8" s="238">
        <f>C7*C2</f>
        <v>4.1125416</v>
      </c>
      <c r="D8" s="239" t="s">
        <v>160</v>
      </c>
      <c r="E8" s="230"/>
      <c r="F8" s="223"/>
      <c r="G8" s="223"/>
    </row>
    <row r="9">
      <c r="A9" s="240" t="s">
        <v>161</v>
      </c>
      <c r="B9" s="232"/>
      <c r="C9" s="241">
        <f>(C3*C7*1000)</f>
        <v>1457.249031</v>
      </c>
      <c r="D9" s="242" t="s">
        <v>162</v>
      </c>
      <c r="E9" s="230"/>
      <c r="F9" s="223"/>
      <c r="G9" s="223"/>
    </row>
    <row r="10">
      <c r="A10" s="235" t="s">
        <v>163</v>
      </c>
      <c r="B10" s="89"/>
      <c r="C10" s="236">
        <f>90/60</f>
        <v>1.5</v>
      </c>
      <c r="D10" s="236" t="s">
        <v>134</v>
      </c>
      <c r="E10" s="230"/>
      <c r="F10" s="223"/>
      <c r="G10" s="223"/>
    </row>
    <row r="11">
      <c r="A11" s="243" t="s">
        <v>164</v>
      </c>
      <c r="B11" s="4"/>
      <c r="C11" s="244">
        <f>C2*C10</f>
        <v>12.3376248</v>
      </c>
      <c r="D11" s="245" t="s">
        <v>160</v>
      </c>
      <c r="E11" s="230"/>
      <c r="F11" s="223"/>
      <c r="G11" s="223"/>
    </row>
    <row r="12">
      <c r="A12" s="243" t="s">
        <v>165</v>
      </c>
      <c r="B12" s="4"/>
      <c r="C12" s="246">
        <f>(C3*C10*1000)</f>
        <v>4371.747092</v>
      </c>
      <c r="D12" s="245" t="s">
        <v>162</v>
      </c>
      <c r="E12" s="230"/>
      <c r="F12" s="223"/>
      <c r="G12" s="223"/>
    </row>
    <row r="13">
      <c r="C13" s="169"/>
      <c r="E13" s="230"/>
      <c r="F13" s="223"/>
      <c r="G13" s="223"/>
    </row>
    <row r="15">
      <c r="A15" s="168" t="s">
        <v>166</v>
      </c>
      <c r="E15" s="230"/>
    </row>
    <row r="16">
      <c r="A16" s="184" t="s">
        <v>167</v>
      </c>
      <c r="B16" s="184" t="s">
        <v>100</v>
      </c>
      <c r="C16" s="184" t="s">
        <v>168</v>
      </c>
      <c r="D16" s="184" t="s">
        <v>169</v>
      </c>
      <c r="E16" s="184" t="s">
        <v>170</v>
      </c>
      <c r="F16" s="184" t="s">
        <v>171</v>
      </c>
      <c r="G16" s="184" t="s">
        <v>172</v>
      </c>
      <c r="H16" s="184" t="s">
        <v>173</v>
      </c>
      <c r="I16" s="184" t="s">
        <v>174</v>
      </c>
      <c r="J16" s="184" t="s">
        <v>175</v>
      </c>
      <c r="K16" s="184" t="s">
        <v>176</v>
      </c>
      <c r="L16" s="184" t="s">
        <v>177</v>
      </c>
      <c r="M16" s="184" t="s">
        <v>178</v>
      </c>
      <c r="N16" s="184" t="s">
        <v>179</v>
      </c>
      <c r="O16" s="184" t="s">
        <v>180</v>
      </c>
      <c r="P16" s="184" t="s">
        <v>181</v>
      </c>
      <c r="Q16" s="184" t="s">
        <v>182</v>
      </c>
      <c r="R16" s="184" t="s">
        <v>183</v>
      </c>
      <c r="S16" s="184" t="s">
        <v>184</v>
      </c>
      <c r="T16" s="184" t="s">
        <v>185</v>
      </c>
      <c r="U16" s="184" t="s">
        <v>186</v>
      </c>
      <c r="V16" s="184" t="s">
        <v>187</v>
      </c>
      <c r="W16" s="184" t="s">
        <v>188</v>
      </c>
      <c r="X16" s="184" t="s">
        <v>189</v>
      </c>
      <c r="Y16" s="184" t="s">
        <v>190</v>
      </c>
      <c r="Z16" s="247" t="s">
        <v>191</v>
      </c>
    </row>
    <row r="17">
      <c r="A17" s="248" t="s">
        <v>192</v>
      </c>
      <c r="B17" s="249" t="s">
        <v>122</v>
      </c>
      <c r="C17" s="249" t="s">
        <v>193</v>
      </c>
      <c r="D17" s="250">
        <f t="shared" ref="D17:D19" si="1">4*3.6*3.2</f>
        <v>46.08</v>
      </c>
      <c r="E17" s="250">
        <f t="shared" ref="E17:E19" si="2">4*3.6*3.2*(1-(C$4+C$5+C$6))</f>
        <v>33.1776</v>
      </c>
      <c r="F17" s="251">
        <f t="shared" ref="F17:F19" si="3">C$8/E17</f>
        <v>0.1239553675</v>
      </c>
      <c r="G17" s="252">
        <f t="shared" ref="G17:G19" si="4">E17-C$8</f>
        <v>29.0650584</v>
      </c>
      <c r="H17" s="249">
        <v>3200.0</v>
      </c>
      <c r="I17" s="249">
        <f>4*3200*(1-(C4+C5+C6))</f>
        <v>9216</v>
      </c>
      <c r="J17" s="253">
        <f>I17-C9</f>
        <v>7758.750969</v>
      </c>
      <c r="K17" s="249">
        <v>1.0</v>
      </c>
      <c r="L17" s="249">
        <f>(I17*K17)/1000</f>
        <v>9.216</v>
      </c>
      <c r="M17" s="254">
        <f>L17-C3</f>
        <v>6.301501938</v>
      </c>
      <c r="N17" s="249">
        <v>3.6</v>
      </c>
      <c r="O17" s="249">
        <v>3.6</v>
      </c>
      <c r="P17" s="249">
        <v>2.5</v>
      </c>
      <c r="Q17" s="249">
        <v>4.2</v>
      </c>
      <c r="R17" s="249">
        <v>0.5</v>
      </c>
      <c r="S17" s="249">
        <v>0.0</v>
      </c>
      <c r="T17" s="249">
        <v>45.0</v>
      </c>
      <c r="U17" s="249">
        <f t="shared" ref="U17:U19" si="5">-20</f>
        <v>-20</v>
      </c>
      <c r="V17" s="249">
        <v>60.0</v>
      </c>
      <c r="W17" s="249">
        <v>-20.0</v>
      </c>
      <c r="X17" s="249">
        <v>50.0</v>
      </c>
      <c r="Y17" s="249">
        <f t="shared" ref="Y17:Y19" si="6">48*4</f>
        <v>192</v>
      </c>
      <c r="Z17" s="51" t="s">
        <v>194</v>
      </c>
    </row>
    <row r="18">
      <c r="A18" s="248" t="s">
        <v>192</v>
      </c>
      <c r="B18" s="249" t="s">
        <v>124</v>
      </c>
      <c r="C18" s="249" t="s">
        <v>195</v>
      </c>
      <c r="D18" s="250">
        <f t="shared" si="1"/>
        <v>46.08</v>
      </c>
      <c r="E18" s="250">
        <f t="shared" si="2"/>
        <v>33.1776</v>
      </c>
      <c r="F18" s="251">
        <f t="shared" si="3"/>
        <v>0.1239553675</v>
      </c>
      <c r="G18" s="252">
        <f t="shared" si="4"/>
        <v>29.0650584</v>
      </c>
      <c r="H18" s="249">
        <v>3200.0</v>
      </c>
      <c r="I18" s="249">
        <f>6400*(1-(C4+C5+C6))</f>
        <v>4608</v>
      </c>
      <c r="J18" s="253">
        <f>I18-C9</f>
        <v>3150.750969</v>
      </c>
      <c r="K18" s="249">
        <v>1.0</v>
      </c>
      <c r="L18" s="249">
        <f t="shared" ref="L18:L19" si="7">I18*K18/1000</f>
        <v>4.608</v>
      </c>
      <c r="M18" s="254">
        <f>L18-C3</f>
        <v>1.693501938</v>
      </c>
      <c r="N18" s="249">
        <v>3.6</v>
      </c>
      <c r="O18" s="249">
        <v>7.2</v>
      </c>
      <c r="P18" s="249">
        <f>2.5*2</f>
        <v>5</v>
      </c>
      <c r="Q18" s="249">
        <v>8.4</v>
      </c>
      <c r="R18" s="249">
        <v>0.5</v>
      </c>
      <c r="S18" s="249">
        <v>0.0</v>
      </c>
      <c r="T18" s="249">
        <v>45.0</v>
      </c>
      <c r="U18" s="249">
        <f t="shared" si="5"/>
        <v>-20</v>
      </c>
      <c r="V18" s="249">
        <v>60.0</v>
      </c>
      <c r="W18" s="249">
        <v>-20.0</v>
      </c>
      <c r="X18" s="249">
        <v>50.0</v>
      </c>
      <c r="Y18" s="249">
        <f t="shared" si="6"/>
        <v>192</v>
      </c>
      <c r="Z18" s="51" t="s">
        <v>194</v>
      </c>
    </row>
    <row r="19">
      <c r="A19" s="255" t="s">
        <v>192</v>
      </c>
      <c r="B19" s="256" t="s">
        <v>126</v>
      </c>
      <c r="C19" s="256" t="s">
        <v>196</v>
      </c>
      <c r="D19" s="250">
        <f t="shared" si="1"/>
        <v>46.08</v>
      </c>
      <c r="E19" s="250">
        <f t="shared" si="2"/>
        <v>33.1776</v>
      </c>
      <c r="F19" s="251">
        <f t="shared" si="3"/>
        <v>0.1239553675</v>
      </c>
      <c r="G19" s="252">
        <f t="shared" si="4"/>
        <v>29.0650584</v>
      </c>
      <c r="H19" s="256">
        <v>3200.0</v>
      </c>
      <c r="I19" s="256">
        <f>3200*(1-(C4+C5+C6))</f>
        <v>2304</v>
      </c>
      <c r="J19" s="253">
        <f>I19-C9</f>
        <v>846.7509692</v>
      </c>
      <c r="K19" s="256">
        <v>1.0</v>
      </c>
      <c r="L19" s="256">
        <f t="shared" si="7"/>
        <v>2.304</v>
      </c>
      <c r="M19" s="254">
        <f>L19-C3</f>
        <v>-0.6104980615</v>
      </c>
      <c r="N19" s="256">
        <v>3.6</v>
      </c>
      <c r="O19" s="257">
        <f>3.6*4</f>
        <v>14.4</v>
      </c>
      <c r="P19" s="256">
        <f>2.5*4</f>
        <v>10</v>
      </c>
      <c r="Q19" s="256">
        <v>16.8</v>
      </c>
      <c r="R19" s="256">
        <v>0.5</v>
      </c>
      <c r="S19" s="256">
        <v>0.0</v>
      </c>
      <c r="T19" s="256">
        <v>45.0</v>
      </c>
      <c r="U19" s="256">
        <f t="shared" si="5"/>
        <v>-20</v>
      </c>
      <c r="V19" s="256">
        <v>60.0</v>
      </c>
      <c r="W19" s="256">
        <v>-20.0</v>
      </c>
      <c r="X19" s="256">
        <v>50.0</v>
      </c>
      <c r="Y19" s="249">
        <f t="shared" si="6"/>
        <v>192</v>
      </c>
      <c r="Z19" s="258" t="s">
        <v>194</v>
      </c>
    </row>
    <row r="20">
      <c r="A20" s="259" t="s">
        <v>197</v>
      </c>
      <c r="B20" s="260" t="s">
        <v>128</v>
      </c>
      <c r="C20" s="261"/>
      <c r="D20" s="261"/>
      <c r="E20" s="262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0"/>
      <c r="U20" s="260"/>
      <c r="V20" s="260"/>
      <c r="W20" s="260"/>
      <c r="X20" s="260"/>
      <c r="Y20" s="260"/>
      <c r="Z20" s="263" t="s">
        <v>198</v>
      </c>
    </row>
    <row r="21">
      <c r="A21" s="264" t="s">
        <v>199</v>
      </c>
      <c r="B21" s="265" t="s">
        <v>130</v>
      </c>
      <c r="C21" s="265" t="s">
        <v>193</v>
      </c>
      <c r="D21" s="266">
        <f t="shared" ref="D21:D23" si="8">4*5.9</f>
        <v>23.6</v>
      </c>
      <c r="E21" s="266">
        <f t="shared" ref="E21:E23" si="9">4*5.9*(1-(C$4+C$5+C$6))</f>
        <v>16.992</v>
      </c>
      <c r="F21" s="251">
        <f t="shared" ref="F21:F23" si="10">C$8/E21</f>
        <v>0.2420281073</v>
      </c>
      <c r="G21" s="252">
        <f t="shared" ref="G21:G23" si="11">E21-C$8</f>
        <v>12.8794584</v>
      </c>
      <c r="H21" s="265">
        <v>1590.0</v>
      </c>
      <c r="I21" s="265">
        <f>4*1590*(1-(C4+C5+C6))</f>
        <v>4579.2</v>
      </c>
      <c r="J21" s="267">
        <f>I21-C9</f>
        <v>3121.950969</v>
      </c>
      <c r="K21" s="265">
        <v>1.0</v>
      </c>
      <c r="L21" s="265">
        <f t="shared" ref="L21:L23" si="12">I21*K21/1000</f>
        <v>4.5792</v>
      </c>
      <c r="M21" s="254">
        <f>L21-C3</f>
        <v>1.664701938</v>
      </c>
      <c r="N21" s="265">
        <v>3.7</v>
      </c>
      <c r="O21" s="265">
        <v>3.7</v>
      </c>
      <c r="P21" s="265">
        <v>3.0</v>
      </c>
      <c r="Q21" s="265">
        <v>4.2</v>
      </c>
      <c r="R21" s="265">
        <v>1.0</v>
      </c>
      <c r="S21" s="265">
        <v>0.0</v>
      </c>
      <c r="T21" s="265">
        <v>45.0</v>
      </c>
      <c r="U21" s="265">
        <v>-20.0</v>
      </c>
      <c r="V21" s="265">
        <v>55.0</v>
      </c>
      <c r="W21" s="265"/>
      <c r="X21" s="265"/>
      <c r="Y21" s="265">
        <f t="shared" ref="Y21:Y23" si="13">34*4</f>
        <v>136</v>
      </c>
      <c r="Z21" s="268" t="s">
        <v>200</v>
      </c>
    </row>
    <row r="22">
      <c r="A22" s="248" t="s">
        <v>199</v>
      </c>
      <c r="B22" s="249" t="s">
        <v>132</v>
      </c>
      <c r="C22" s="249" t="s">
        <v>195</v>
      </c>
      <c r="D22" s="266">
        <f t="shared" si="8"/>
        <v>23.6</v>
      </c>
      <c r="E22" s="266">
        <f t="shared" si="9"/>
        <v>16.992</v>
      </c>
      <c r="F22" s="251">
        <f t="shared" si="10"/>
        <v>0.2420281073</v>
      </c>
      <c r="G22" s="252">
        <f t="shared" si="11"/>
        <v>12.8794584</v>
      </c>
      <c r="H22" s="249">
        <v>1590.0</v>
      </c>
      <c r="I22" s="250">
        <f>2*1590*(1-(C4+C5+C6))</f>
        <v>2289.6</v>
      </c>
      <c r="J22" s="267">
        <f>I22-C9</f>
        <v>832.3509692</v>
      </c>
      <c r="K22" s="249">
        <v>1.0</v>
      </c>
      <c r="L22" s="249">
        <f t="shared" si="12"/>
        <v>2.2896</v>
      </c>
      <c r="M22" s="254">
        <f>L22-C3</f>
        <v>-0.6248980615</v>
      </c>
      <c r="N22" s="249">
        <v>3.7</v>
      </c>
      <c r="O22" s="250">
        <f>2*3.7</f>
        <v>7.4</v>
      </c>
      <c r="P22" s="249">
        <v>6.0</v>
      </c>
      <c r="Q22" s="249">
        <v>8.4</v>
      </c>
      <c r="R22" s="249">
        <v>1.0</v>
      </c>
      <c r="S22" s="249">
        <v>0.0</v>
      </c>
      <c r="T22" s="249">
        <v>45.0</v>
      </c>
      <c r="U22" s="265">
        <v>-20.0</v>
      </c>
      <c r="V22" s="265">
        <v>55.0</v>
      </c>
      <c r="W22" s="265"/>
      <c r="X22" s="265"/>
      <c r="Y22" s="265">
        <f t="shared" si="13"/>
        <v>136</v>
      </c>
      <c r="Z22" s="51" t="s">
        <v>200</v>
      </c>
    </row>
    <row r="23">
      <c r="A23" s="248" t="s">
        <v>199</v>
      </c>
      <c r="B23" s="249" t="s">
        <v>133</v>
      </c>
      <c r="C23" s="249" t="s">
        <v>196</v>
      </c>
      <c r="D23" s="266">
        <f t="shared" si="8"/>
        <v>23.6</v>
      </c>
      <c r="E23" s="266">
        <f t="shared" si="9"/>
        <v>16.992</v>
      </c>
      <c r="F23" s="251">
        <f t="shared" si="10"/>
        <v>0.2420281073</v>
      </c>
      <c r="G23" s="252">
        <f t="shared" si="11"/>
        <v>12.8794584</v>
      </c>
      <c r="H23" s="249">
        <v>1590.0</v>
      </c>
      <c r="I23" s="249">
        <f>1590*(1-(C4+C5+C6))</f>
        <v>1144.8</v>
      </c>
      <c r="J23" s="267">
        <f>I23-C9</f>
        <v>-312.4490308</v>
      </c>
      <c r="K23" s="249">
        <v>1.0</v>
      </c>
      <c r="L23" s="249">
        <f t="shared" si="12"/>
        <v>1.1448</v>
      </c>
      <c r="M23" s="254">
        <f>L23-C3</f>
        <v>-1.769698062</v>
      </c>
      <c r="N23" s="249">
        <v>3.7</v>
      </c>
      <c r="O23" s="250">
        <f>4*3.7</f>
        <v>14.8</v>
      </c>
      <c r="P23" s="249">
        <v>12.0</v>
      </c>
      <c r="Q23" s="249">
        <v>16.8</v>
      </c>
      <c r="R23" s="249">
        <v>1.0</v>
      </c>
      <c r="S23" s="249">
        <v>0.0</v>
      </c>
      <c r="T23" s="249">
        <v>45.0</v>
      </c>
      <c r="U23" s="265">
        <v>-20.0</v>
      </c>
      <c r="V23" s="265">
        <v>55.0</v>
      </c>
      <c r="W23" s="265"/>
      <c r="X23" s="265"/>
      <c r="Y23" s="265">
        <f t="shared" si="13"/>
        <v>136</v>
      </c>
      <c r="Z23" s="51" t="s">
        <v>200</v>
      </c>
    </row>
    <row r="24">
      <c r="E24" s="230"/>
    </row>
    <row r="25">
      <c r="A25" s="168" t="s">
        <v>201</v>
      </c>
      <c r="E25" s="230"/>
    </row>
    <row r="26">
      <c r="A26" s="184" t="s">
        <v>167</v>
      </c>
      <c r="B26" s="184" t="s">
        <v>100</v>
      </c>
      <c r="C26" s="184" t="s">
        <v>168</v>
      </c>
      <c r="D26" s="184" t="str">
        <f t="shared" ref="D26:E26" si="14">D16</f>
        <v>Nominal Power Capacity (Wh)</v>
      </c>
      <c r="E26" s="184" t="str">
        <f t="shared" si="14"/>
        <v>Nominal Power Capacity with Margin of error (Wh)</v>
      </c>
      <c r="F26" s="184" t="s">
        <v>171</v>
      </c>
      <c r="G26" s="184" t="s">
        <v>172</v>
      </c>
      <c r="H26" s="184" t="s">
        <v>202</v>
      </c>
      <c r="I26" s="184" t="str">
        <f t="shared" ref="I26:J26" si="15">I16</f>
        <v>Rated capacity of pack with margin of error (mAh)</v>
      </c>
      <c r="J26" s="184" t="str">
        <f t="shared" si="15"/>
        <v>Net rated capacity of pack (mAh)</v>
      </c>
      <c r="K26" s="184" t="s">
        <v>176</v>
      </c>
      <c r="L26" s="184" t="s">
        <v>177</v>
      </c>
      <c r="M26" s="184" t="str">
        <f>M16</f>
        <v>Net Discharge current for 1C (A)</v>
      </c>
      <c r="N26" s="184" t="s">
        <v>179</v>
      </c>
      <c r="O26" s="184" t="s">
        <v>180</v>
      </c>
      <c r="P26" s="184" t="str">
        <f t="shared" ref="P26:Q26" si="16">P16</f>
        <v>Min Voltage of pack (V)</v>
      </c>
      <c r="Q26" s="184" t="str">
        <f t="shared" si="16"/>
        <v>Charging Voltage of pack (V)</v>
      </c>
      <c r="R26" s="184" t="s">
        <v>183</v>
      </c>
      <c r="S26" s="184" t="str">
        <f t="shared" ref="S26:X26" si="17">S16</f>
        <v>Min. Charging Temp. (°C)</v>
      </c>
      <c r="T26" s="184" t="str">
        <f t="shared" si="17"/>
        <v>Max Charging Temp. (°C)</v>
      </c>
      <c r="U26" s="184" t="str">
        <f t="shared" si="17"/>
        <v>Min. Discharge Temp. (°C)</v>
      </c>
      <c r="V26" s="184" t="str">
        <f t="shared" si="17"/>
        <v>Max Discharge Temp. (°C)</v>
      </c>
      <c r="W26" s="184" t="str">
        <f t="shared" si="17"/>
        <v>Min. Storage Temp. (°C)</v>
      </c>
      <c r="X26" s="184" t="str">
        <f t="shared" si="17"/>
        <v>Max Storage Temp. (°C)</v>
      </c>
      <c r="Y26" s="184" t="s">
        <v>190</v>
      </c>
    </row>
    <row r="27">
      <c r="A27" s="248" t="s">
        <v>192</v>
      </c>
      <c r="B27" s="249" t="s">
        <v>122</v>
      </c>
      <c r="C27" s="249" t="s">
        <v>193</v>
      </c>
      <c r="D27" s="250">
        <f t="shared" ref="D27:D29" si="19">4*3.6*3.2</f>
        <v>46.08</v>
      </c>
      <c r="E27" s="250">
        <f t="shared" ref="E27:E29" si="20">4*3.6*3.2*(1-(C$4+C$5+C$6))</f>
        <v>33.1776</v>
      </c>
      <c r="F27" s="251">
        <f t="shared" ref="F27:F29" si="21">C$11/E27</f>
        <v>0.3718661024</v>
      </c>
      <c r="G27" s="252">
        <f t="shared" ref="G27:G29" si="22">E27-C$11</f>
        <v>20.8399752</v>
      </c>
      <c r="H27" s="249">
        <v>3200.0</v>
      </c>
      <c r="I27" s="249">
        <f>4*3200*(1-(C4+C5+C6))</f>
        <v>9216</v>
      </c>
      <c r="J27" s="253">
        <f>I27-C12</f>
        <v>4844.252908</v>
      </c>
      <c r="K27" s="249">
        <v>1.0</v>
      </c>
      <c r="L27" s="249">
        <f>(I27*K27)/1000</f>
        <v>9.216</v>
      </c>
      <c r="M27" s="254">
        <f>L27-C3</f>
        <v>6.301501938</v>
      </c>
      <c r="N27" s="249">
        <v>3.6</v>
      </c>
      <c r="O27" s="249">
        <v>3.6</v>
      </c>
      <c r="P27" s="249">
        <f t="shared" ref="P27:P29" si="23">P17</f>
        <v>2.5</v>
      </c>
      <c r="Q27" s="249">
        <v>4.2</v>
      </c>
      <c r="R27" s="249">
        <v>0.5</v>
      </c>
      <c r="S27" s="249">
        <v>0.0</v>
      </c>
      <c r="T27" s="249">
        <v>45.0</v>
      </c>
      <c r="U27" s="249">
        <f t="shared" ref="U27:X27" si="18">U17</f>
        <v>-20</v>
      </c>
      <c r="V27" s="249">
        <f t="shared" si="18"/>
        <v>60</v>
      </c>
      <c r="W27" s="249">
        <f t="shared" si="18"/>
        <v>-20</v>
      </c>
      <c r="X27" s="249">
        <f t="shared" si="18"/>
        <v>50</v>
      </c>
      <c r="Y27" s="249">
        <f t="shared" ref="Y27:Y29" si="25">48*4</f>
        <v>192</v>
      </c>
    </row>
    <row r="28">
      <c r="A28" s="248" t="s">
        <v>192</v>
      </c>
      <c r="B28" s="249" t="s">
        <v>124</v>
      </c>
      <c r="C28" s="249" t="s">
        <v>195</v>
      </c>
      <c r="D28" s="250">
        <f t="shared" si="19"/>
        <v>46.08</v>
      </c>
      <c r="E28" s="250">
        <f t="shared" si="20"/>
        <v>33.1776</v>
      </c>
      <c r="F28" s="251">
        <f t="shared" si="21"/>
        <v>0.3718661024</v>
      </c>
      <c r="G28" s="252">
        <f t="shared" si="22"/>
        <v>20.8399752</v>
      </c>
      <c r="H28" s="249">
        <v>3200.0</v>
      </c>
      <c r="I28" s="249">
        <f>6400*(1-(C4+C5+C6))</f>
        <v>4608</v>
      </c>
      <c r="J28" s="253">
        <f>I28-C12</f>
        <v>236.2529077</v>
      </c>
      <c r="K28" s="249">
        <v>1.0</v>
      </c>
      <c r="L28" s="249">
        <f t="shared" ref="L28:L29" si="26">I28*K28/1000</f>
        <v>4.608</v>
      </c>
      <c r="M28" s="254">
        <f>L28-C3</f>
        <v>1.693501938</v>
      </c>
      <c r="N28" s="249">
        <v>3.6</v>
      </c>
      <c r="O28" s="249">
        <v>7.2</v>
      </c>
      <c r="P28" s="249">
        <f t="shared" si="23"/>
        <v>5</v>
      </c>
      <c r="Q28" s="249">
        <v>8.4</v>
      </c>
      <c r="R28" s="249">
        <v>0.5</v>
      </c>
      <c r="S28" s="249">
        <v>0.0</v>
      </c>
      <c r="T28" s="249">
        <v>45.0</v>
      </c>
      <c r="U28" s="249">
        <f t="shared" ref="U28:X28" si="24">U18</f>
        <v>-20</v>
      </c>
      <c r="V28" s="249">
        <f t="shared" si="24"/>
        <v>60</v>
      </c>
      <c r="W28" s="249">
        <f t="shared" si="24"/>
        <v>-20</v>
      </c>
      <c r="X28" s="249">
        <f t="shared" si="24"/>
        <v>50</v>
      </c>
      <c r="Y28" s="249">
        <f t="shared" si="25"/>
        <v>192</v>
      </c>
    </row>
    <row r="29">
      <c r="A29" s="255" t="s">
        <v>192</v>
      </c>
      <c r="B29" s="256" t="s">
        <v>126</v>
      </c>
      <c r="C29" s="256" t="s">
        <v>196</v>
      </c>
      <c r="D29" s="250">
        <f t="shared" si="19"/>
        <v>46.08</v>
      </c>
      <c r="E29" s="250">
        <f t="shared" si="20"/>
        <v>33.1776</v>
      </c>
      <c r="F29" s="251">
        <f t="shared" si="21"/>
        <v>0.3718661024</v>
      </c>
      <c r="G29" s="252">
        <f t="shared" si="22"/>
        <v>20.8399752</v>
      </c>
      <c r="H29" s="256">
        <v>3200.0</v>
      </c>
      <c r="I29" s="256">
        <f>3200*(1-(C4+C5+C6))</f>
        <v>2304</v>
      </c>
      <c r="J29" s="253">
        <f>I29-C12</f>
        <v>-2067.747092</v>
      </c>
      <c r="K29" s="256">
        <v>1.0</v>
      </c>
      <c r="L29" s="256">
        <f t="shared" si="26"/>
        <v>2.304</v>
      </c>
      <c r="M29" s="254">
        <f>L29-C3</f>
        <v>-0.6104980615</v>
      </c>
      <c r="N29" s="256">
        <v>3.6</v>
      </c>
      <c r="O29" s="257">
        <f>3.6*4</f>
        <v>14.4</v>
      </c>
      <c r="P29" s="256">
        <f t="shared" si="23"/>
        <v>10</v>
      </c>
      <c r="Q29" s="256">
        <v>16.8</v>
      </c>
      <c r="R29" s="256">
        <v>0.5</v>
      </c>
      <c r="S29" s="256">
        <v>0.0</v>
      </c>
      <c r="T29" s="256">
        <v>45.0</v>
      </c>
      <c r="U29" s="249">
        <f t="shared" ref="U29:X29" si="27">U19</f>
        <v>-20</v>
      </c>
      <c r="V29" s="249">
        <f t="shared" si="27"/>
        <v>60</v>
      </c>
      <c r="W29" s="249">
        <f t="shared" si="27"/>
        <v>-20</v>
      </c>
      <c r="X29" s="249">
        <f t="shared" si="27"/>
        <v>50</v>
      </c>
      <c r="Y29" s="249">
        <f t="shared" si="25"/>
        <v>192</v>
      </c>
    </row>
    <row r="30">
      <c r="A30" s="259" t="s">
        <v>197</v>
      </c>
      <c r="B30" s="260" t="s">
        <v>128</v>
      </c>
      <c r="C30" s="261"/>
      <c r="D30" s="261"/>
      <c r="E30" s="262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1"/>
      <c r="R30" s="261"/>
      <c r="S30" s="261"/>
      <c r="T30" s="260"/>
      <c r="U30" s="260"/>
      <c r="V30" s="260"/>
      <c r="W30" s="260"/>
      <c r="X30" s="260"/>
      <c r="Y30" s="260"/>
    </row>
    <row r="31">
      <c r="A31" s="264" t="s">
        <v>199</v>
      </c>
      <c r="B31" s="265" t="s">
        <v>130</v>
      </c>
      <c r="C31" s="265" t="s">
        <v>193</v>
      </c>
      <c r="D31" s="266">
        <f t="shared" ref="D31:D33" si="29">4*5.9</f>
        <v>23.6</v>
      </c>
      <c r="E31" s="266">
        <f t="shared" ref="E31:E33" si="30">4*5.9*(1-(C$4+C$5+C$6))</f>
        <v>16.992</v>
      </c>
      <c r="F31" s="251">
        <f t="shared" ref="F31:F33" si="31">C$11/E31</f>
        <v>0.726084322</v>
      </c>
      <c r="G31" s="252">
        <f t="shared" ref="G31:G33" si="32">E31-C$11</f>
        <v>4.6543752</v>
      </c>
      <c r="H31" s="265">
        <v>1590.0</v>
      </c>
      <c r="I31" s="265">
        <f>4*1590*(1-(C4+C5+C6))</f>
        <v>4579.2</v>
      </c>
      <c r="J31" s="267">
        <f>I31-C12</f>
        <v>207.4529077</v>
      </c>
      <c r="K31" s="265">
        <v>1.0</v>
      </c>
      <c r="L31" s="265">
        <f t="shared" ref="L31:L33" si="33">I31*K31/1000</f>
        <v>4.5792</v>
      </c>
      <c r="M31" s="254">
        <f>L31-C3</f>
        <v>1.664701938</v>
      </c>
      <c r="N31" s="265">
        <v>3.7</v>
      </c>
      <c r="O31" s="265">
        <v>3.7</v>
      </c>
      <c r="P31" s="265">
        <v>3.0</v>
      </c>
      <c r="Q31" s="265">
        <v>4.2</v>
      </c>
      <c r="R31" s="265">
        <v>1.0</v>
      </c>
      <c r="S31" s="265">
        <v>0.0</v>
      </c>
      <c r="T31" s="265">
        <v>45.0</v>
      </c>
      <c r="U31" s="265">
        <f t="shared" ref="U31:V31" si="28">U21</f>
        <v>-20</v>
      </c>
      <c r="V31" s="265">
        <f t="shared" si="28"/>
        <v>55</v>
      </c>
      <c r="W31" s="265"/>
      <c r="X31" s="265"/>
      <c r="Y31" s="265">
        <f t="shared" ref="Y31:Y33" si="35">34*4</f>
        <v>136</v>
      </c>
    </row>
    <row r="32">
      <c r="A32" s="248" t="s">
        <v>199</v>
      </c>
      <c r="B32" s="249" t="s">
        <v>132</v>
      </c>
      <c r="C32" s="249" t="s">
        <v>195</v>
      </c>
      <c r="D32" s="266">
        <f t="shared" si="29"/>
        <v>23.6</v>
      </c>
      <c r="E32" s="266">
        <f t="shared" si="30"/>
        <v>16.992</v>
      </c>
      <c r="F32" s="251">
        <f t="shared" si="31"/>
        <v>0.726084322</v>
      </c>
      <c r="G32" s="252">
        <f t="shared" si="32"/>
        <v>4.6543752</v>
      </c>
      <c r="H32" s="249">
        <v>1590.0</v>
      </c>
      <c r="I32" s="250">
        <f>2*1590*(1-(C4+C5+C6))</f>
        <v>2289.6</v>
      </c>
      <c r="J32" s="267">
        <f>I32-C12</f>
        <v>-2082.147092</v>
      </c>
      <c r="K32" s="249">
        <v>1.0</v>
      </c>
      <c r="L32" s="249">
        <f t="shared" si="33"/>
        <v>2.2896</v>
      </c>
      <c r="M32" s="254">
        <f>L32-C3</f>
        <v>-0.6248980615</v>
      </c>
      <c r="N32" s="249">
        <v>3.7</v>
      </c>
      <c r="O32" s="250">
        <f>2*3.7</f>
        <v>7.4</v>
      </c>
      <c r="P32" s="249">
        <v>6.0</v>
      </c>
      <c r="Q32" s="249">
        <v>8.4</v>
      </c>
      <c r="R32" s="249">
        <v>1.0</v>
      </c>
      <c r="S32" s="249">
        <v>0.0</v>
      </c>
      <c r="T32" s="249">
        <v>45.0</v>
      </c>
      <c r="U32" s="265">
        <f t="shared" ref="U32:V32" si="34">U22</f>
        <v>-20</v>
      </c>
      <c r="V32" s="265">
        <f t="shared" si="34"/>
        <v>55</v>
      </c>
      <c r="W32" s="265"/>
      <c r="X32" s="265"/>
      <c r="Y32" s="265">
        <f t="shared" si="35"/>
        <v>136</v>
      </c>
    </row>
    <row r="33">
      <c r="A33" s="248" t="s">
        <v>199</v>
      </c>
      <c r="B33" s="249" t="s">
        <v>133</v>
      </c>
      <c r="C33" s="249" t="s">
        <v>196</v>
      </c>
      <c r="D33" s="266">
        <f t="shared" si="29"/>
        <v>23.6</v>
      </c>
      <c r="E33" s="266">
        <f t="shared" si="30"/>
        <v>16.992</v>
      </c>
      <c r="F33" s="251">
        <f t="shared" si="31"/>
        <v>0.726084322</v>
      </c>
      <c r="G33" s="252">
        <f t="shared" si="32"/>
        <v>4.6543752</v>
      </c>
      <c r="H33" s="249">
        <v>1590.0</v>
      </c>
      <c r="I33" s="249">
        <f>1590*(1-(C4+C5+C6))</f>
        <v>1144.8</v>
      </c>
      <c r="J33" s="267">
        <f>I33-C12</f>
        <v>-3226.947092</v>
      </c>
      <c r="K33" s="249">
        <v>1.0</v>
      </c>
      <c r="L33" s="249">
        <f t="shared" si="33"/>
        <v>1.1448</v>
      </c>
      <c r="M33" s="254">
        <f>L33-C3</f>
        <v>-1.769698062</v>
      </c>
      <c r="N33" s="249">
        <v>3.7</v>
      </c>
      <c r="O33" s="250">
        <f>4*3.7</f>
        <v>14.8</v>
      </c>
      <c r="P33" s="249">
        <v>12.0</v>
      </c>
      <c r="Q33" s="249">
        <v>16.8</v>
      </c>
      <c r="R33" s="249">
        <v>1.0</v>
      </c>
      <c r="S33" s="249">
        <v>0.0</v>
      </c>
      <c r="T33" s="249">
        <v>45.0</v>
      </c>
      <c r="U33" s="265">
        <f t="shared" ref="U33:V33" si="36">U23</f>
        <v>-20</v>
      </c>
      <c r="V33" s="265">
        <f t="shared" si="36"/>
        <v>55</v>
      </c>
      <c r="W33" s="265"/>
      <c r="X33" s="265"/>
      <c r="Y33" s="265">
        <f t="shared" si="35"/>
        <v>136</v>
      </c>
    </row>
    <row r="34">
      <c r="E34" s="230"/>
    </row>
    <row r="44">
      <c r="E44" s="230"/>
    </row>
    <row r="45">
      <c r="E45" s="230"/>
    </row>
    <row r="46">
      <c r="E46" s="230"/>
    </row>
    <row r="47">
      <c r="E47" s="230"/>
    </row>
    <row r="48">
      <c r="E48" s="230"/>
    </row>
    <row r="49">
      <c r="E49" s="230"/>
    </row>
    <row r="50">
      <c r="E50" s="230"/>
    </row>
    <row r="51">
      <c r="E51" s="230"/>
    </row>
    <row r="52">
      <c r="E52" s="230"/>
    </row>
    <row r="53">
      <c r="E53" s="230"/>
    </row>
    <row r="54">
      <c r="E54" s="230"/>
    </row>
    <row r="55">
      <c r="E55" s="230"/>
    </row>
    <row r="56">
      <c r="E56" s="230"/>
    </row>
    <row r="57">
      <c r="E57" s="230"/>
    </row>
    <row r="58">
      <c r="E58" s="230"/>
    </row>
    <row r="59">
      <c r="E59" s="230"/>
    </row>
    <row r="60">
      <c r="E60" s="230"/>
    </row>
    <row r="61">
      <c r="E61" s="230"/>
    </row>
    <row r="62">
      <c r="E62" s="230"/>
    </row>
    <row r="63">
      <c r="E63" s="230"/>
    </row>
    <row r="64">
      <c r="E64" s="230"/>
    </row>
    <row r="65">
      <c r="E65" s="230"/>
    </row>
    <row r="66">
      <c r="E66" s="230"/>
    </row>
    <row r="67">
      <c r="E67" s="230"/>
    </row>
    <row r="68">
      <c r="E68" s="230"/>
    </row>
    <row r="69">
      <c r="E69" s="230"/>
    </row>
    <row r="70">
      <c r="E70" s="230"/>
    </row>
    <row r="71">
      <c r="E71" s="230"/>
    </row>
    <row r="72">
      <c r="E72" s="230"/>
    </row>
    <row r="73">
      <c r="E73" s="230"/>
    </row>
    <row r="74">
      <c r="E74" s="230"/>
    </row>
    <row r="75">
      <c r="E75" s="230"/>
    </row>
    <row r="76">
      <c r="E76" s="230"/>
    </row>
    <row r="77">
      <c r="E77" s="230"/>
    </row>
    <row r="78">
      <c r="E78" s="230"/>
    </row>
    <row r="79">
      <c r="E79" s="230"/>
    </row>
    <row r="80">
      <c r="E80" s="230"/>
    </row>
    <row r="81">
      <c r="E81" s="230"/>
    </row>
    <row r="82">
      <c r="E82" s="230"/>
    </row>
    <row r="83">
      <c r="E83" s="230"/>
    </row>
    <row r="84">
      <c r="E84" s="230"/>
    </row>
    <row r="85">
      <c r="E85" s="230"/>
    </row>
    <row r="86">
      <c r="E86" s="230"/>
    </row>
    <row r="87">
      <c r="E87" s="230"/>
    </row>
    <row r="88">
      <c r="E88" s="230"/>
    </row>
    <row r="89">
      <c r="E89" s="230"/>
    </row>
    <row r="90">
      <c r="E90" s="230"/>
    </row>
    <row r="91">
      <c r="E91" s="230"/>
    </row>
    <row r="92">
      <c r="E92" s="230"/>
    </row>
    <row r="93">
      <c r="E93" s="230"/>
    </row>
    <row r="94">
      <c r="E94" s="230"/>
    </row>
    <row r="95">
      <c r="E95" s="230"/>
    </row>
    <row r="96">
      <c r="E96" s="230"/>
    </row>
    <row r="97">
      <c r="E97" s="230"/>
    </row>
    <row r="98">
      <c r="E98" s="230"/>
    </row>
    <row r="99">
      <c r="E99" s="230"/>
    </row>
    <row r="100">
      <c r="E100" s="230"/>
    </row>
    <row r="101">
      <c r="E101" s="230"/>
    </row>
    <row r="102">
      <c r="E102" s="230"/>
    </row>
    <row r="103">
      <c r="E103" s="230"/>
    </row>
    <row r="104">
      <c r="E104" s="230"/>
    </row>
    <row r="105">
      <c r="E105" s="230"/>
    </row>
    <row r="106">
      <c r="E106" s="230"/>
    </row>
    <row r="107">
      <c r="E107" s="230"/>
    </row>
    <row r="108">
      <c r="E108" s="230"/>
    </row>
    <row r="109">
      <c r="E109" s="230"/>
    </row>
    <row r="110">
      <c r="E110" s="230"/>
    </row>
    <row r="111">
      <c r="E111" s="230"/>
    </row>
    <row r="112">
      <c r="E112" s="230"/>
    </row>
    <row r="113">
      <c r="E113" s="230"/>
    </row>
    <row r="114">
      <c r="E114" s="230"/>
    </row>
    <row r="115">
      <c r="E115" s="230"/>
    </row>
    <row r="116">
      <c r="E116" s="230"/>
    </row>
    <row r="117">
      <c r="E117" s="230"/>
    </row>
    <row r="118">
      <c r="E118" s="230"/>
    </row>
    <row r="119">
      <c r="E119" s="230"/>
    </row>
    <row r="120">
      <c r="E120" s="230"/>
    </row>
    <row r="121">
      <c r="E121" s="230"/>
    </row>
    <row r="122">
      <c r="E122" s="230"/>
    </row>
    <row r="123">
      <c r="E123" s="230"/>
    </row>
    <row r="124">
      <c r="E124" s="230"/>
    </row>
    <row r="125">
      <c r="E125" s="230"/>
    </row>
    <row r="126">
      <c r="E126" s="230"/>
    </row>
    <row r="127">
      <c r="E127" s="230"/>
    </row>
    <row r="128">
      <c r="E128" s="230"/>
    </row>
    <row r="129">
      <c r="E129" s="230"/>
    </row>
    <row r="130">
      <c r="E130" s="230"/>
    </row>
    <row r="131">
      <c r="E131" s="230"/>
    </row>
    <row r="132">
      <c r="E132" s="230"/>
    </row>
    <row r="133">
      <c r="E133" s="230"/>
    </row>
    <row r="134">
      <c r="E134" s="230"/>
    </row>
    <row r="135">
      <c r="E135" s="230"/>
    </row>
    <row r="136">
      <c r="E136" s="230"/>
    </row>
    <row r="137">
      <c r="E137" s="230"/>
    </row>
    <row r="138">
      <c r="E138" s="230"/>
    </row>
    <row r="139">
      <c r="E139" s="230"/>
    </row>
    <row r="140">
      <c r="E140" s="230"/>
    </row>
    <row r="141">
      <c r="E141" s="230"/>
    </row>
    <row r="142">
      <c r="E142" s="230"/>
    </row>
    <row r="143">
      <c r="E143" s="230"/>
    </row>
    <row r="144">
      <c r="E144" s="230"/>
    </row>
    <row r="145">
      <c r="E145" s="230"/>
    </row>
    <row r="146">
      <c r="E146" s="230"/>
    </row>
    <row r="147">
      <c r="E147" s="230"/>
    </row>
    <row r="148">
      <c r="E148" s="230"/>
    </row>
    <row r="149">
      <c r="E149" s="230"/>
    </row>
    <row r="150">
      <c r="E150" s="230"/>
    </row>
    <row r="151">
      <c r="E151" s="230"/>
    </row>
    <row r="152">
      <c r="E152" s="230"/>
    </row>
    <row r="153">
      <c r="E153" s="230"/>
    </row>
    <row r="154">
      <c r="E154" s="230"/>
    </row>
    <row r="155">
      <c r="E155" s="230"/>
    </row>
    <row r="156">
      <c r="E156" s="230"/>
    </row>
    <row r="157">
      <c r="E157" s="230"/>
    </row>
    <row r="158">
      <c r="E158" s="230"/>
    </row>
    <row r="159">
      <c r="E159" s="230"/>
    </row>
    <row r="160">
      <c r="E160" s="230"/>
    </row>
    <row r="161">
      <c r="E161" s="230"/>
    </row>
    <row r="162">
      <c r="E162" s="230"/>
    </row>
    <row r="163">
      <c r="E163" s="230"/>
    </row>
    <row r="164">
      <c r="E164" s="230"/>
    </row>
    <row r="165">
      <c r="E165" s="230"/>
    </row>
    <row r="166">
      <c r="E166" s="230"/>
    </row>
    <row r="167">
      <c r="E167" s="230"/>
    </row>
    <row r="168">
      <c r="E168" s="230"/>
    </row>
    <row r="169">
      <c r="E169" s="230"/>
    </row>
    <row r="170">
      <c r="E170" s="230"/>
    </row>
    <row r="171">
      <c r="E171" s="230"/>
    </row>
    <row r="172">
      <c r="E172" s="230"/>
    </row>
    <row r="173">
      <c r="E173" s="230"/>
    </row>
    <row r="174">
      <c r="E174" s="230"/>
    </row>
    <row r="175">
      <c r="E175" s="230"/>
    </row>
    <row r="176">
      <c r="E176" s="230"/>
    </row>
    <row r="177">
      <c r="E177" s="230"/>
    </row>
    <row r="178">
      <c r="E178" s="230"/>
    </row>
    <row r="179">
      <c r="E179" s="230"/>
    </row>
    <row r="180">
      <c r="E180" s="230"/>
    </row>
    <row r="181">
      <c r="E181" s="230"/>
    </row>
    <row r="182">
      <c r="E182" s="230"/>
    </row>
    <row r="183">
      <c r="E183" s="230"/>
    </row>
    <row r="184">
      <c r="E184" s="230"/>
    </row>
    <row r="185">
      <c r="E185" s="230"/>
    </row>
    <row r="186">
      <c r="E186" s="230"/>
    </row>
    <row r="187">
      <c r="E187" s="230"/>
    </row>
    <row r="188">
      <c r="E188" s="230"/>
    </row>
    <row r="189">
      <c r="E189" s="230"/>
    </row>
    <row r="190">
      <c r="E190" s="230"/>
    </row>
    <row r="191">
      <c r="E191" s="230"/>
    </row>
    <row r="192">
      <c r="E192" s="230"/>
    </row>
    <row r="193">
      <c r="E193" s="230"/>
    </row>
    <row r="194">
      <c r="E194" s="230"/>
    </row>
    <row r="195">
      <c r="E195" s="230"/>
    </row>
    <row r="196">
      <c r="E196" s="230"/>
    </row>
    <row r="197">
      <c r="E197" s="230"/>
    </row>
    <row r="198">
      <c r="E198" s="230"/>
    </row>
    <row r="199">
      <c r="E199" s="230"/>
    </row>
    <row r="200">
      <c r="E200" s="230"/>
    </row>
    <row r="201">
      <c r="E201" s="230"/>
    </row>
    <row r="202">
      <c r="E202" s="230"/>
    </row>
    <row r="203">
      <c r="E203" s="230"/>
    </row>
    <row r="204">
      <c r="E204" s="230"/>
    </row>
    <row r="205">
      <c r="E205" s="230"/>
    </row>
    <row r="206">
      <c r="E206" s="230"/>
    </row>
    <row r="207">
      <c r="E207" s="230"/>
    </row>
    <row r="208">
      <c r="E208" s="230"/>
    </row>
    <row r="209">
      <c r="E209" s="230"/>
    </row>
    <row r="210">
      <c r="E210" s="230"/>
    </row>
    <row r="211">
      <c r="E211" s="230"/>
    </row>
    <row r="212">
      <c r="E212" s="230"/>
    </row>
    <row r="213">
      <c r="E213" s="230"/>
    </row>
    <row r="214">
      <c r="E214" s="230"/>
    </row>
    <row r="215">
      <c r="E215" s="230"/>
    </row>
    <row r="216">
      <c r="E216" s="230"/>
    </row>
    <row r="217">
      <c r="E217" s="230"/>
    </row>
    <row r="218">
      <c r="E218" s="230"/>
    </row>
    <row r="219">
      <c r="E219" s="230"/>
    </row>
    <row r="220">
      <c r="E220" s="230"/>
    </row>
    <row r="221">
      <c r="E221" s="230"/>
    </row>
    <row r="222">
      <c r="E222" s="230"/>
    </row>
    <row r="223">
      <c r="E223" s="230"/>
    </row>
    <row r="224">
      <c r="E224" s="230"/>
    </row>
    <row r="225">
      <c r="E225" s="230"/>
    </row>
    <row r="226">
      <c r="E226" s="230"/>
    </row>
    <row r="227">
      <c r="E227" s="230"/>
    </row>
    <row r="228">
      <c r="E228" s="230"/>
    </row>
    <row r="229">
      <c r="E229" s="230"/>
    </row>
    <row r="230">
      <c r="E230" s="230"/>
    </row>
    <row r="231">
      <c r="E231" s="230"/>
    </row>
    <row r="232">
      <c r="E232" s="230"/>
    </row>
    <row r="233">
      <c r="E233" s="230"/>
    </row>
    <row r="234">
      <c r="E234" s="230"/>
    </row>
    <row r="235">
      <c r="E235" s="230"/>
    </row>
    <row r="236">
      <c r="E236" s="230"/>
    </row>
    <row r="237">
      <c r="E237" s="230"/>
    </row>
    <row r="238">
      <c r="E238" s="230"/>
    </row>
    <row r="239">
      <c r="E239" s="230"/>
    </row>
    <row r="240">
      <c r="E240" s="230"/>
    </row>
    <row r="241">
      <c r="E241" s="230"/>
    </row>
    <row r="242">
      <c r="E242" s="230"/>
    </row>
    <row r="243">
      <c r="E243" s="230"/>
    </row>
    <row r="244">
      <c r="E244" s="230"/>
    </row>
    <row r="245">
      <c r="E245" s="230"/>
    </row>
    <row r="246">
      <c r="E246" s="230"/>
    </row>
    <row r="247">
      <c r="E247" s="230"/>
    </row>
    <row r="248">
      <c r="E248" s="230"/>
    </row>
    <row r="249">
      <c r="E249" s="230"/>
    </row>
    <row r="250">
      <c r="E250" s="230"/>
    </row>
    <row r="251">
      <c r="E251" s="230"/>
    </row>
    <row r="252">
      <c r="E252" s="230"/>
    </row>
    <row r="253">
      <c r="E253" s="230"/>
    </row>
    <row r="254">
      <c r="E254" s="230"/>
    </row>
    <row r="255">
      <c r="E255" s="230"/>
    </row>
    <row r="256">
      <c r="E256" s="230"/>
    </row>
    <row r="257">
      <c r="E257" s="230"/>
    </row>
    <row r="258">
      <c r="E258" s="230"/>
    </row>
    <row r="259">
      <c r="E259" s="230"/>
    </row>
    <row r="260">
      <c r="E260" s="230"/>
    </row>
    <row r="261">
      <c r="E261" s="230"/>
    </row>
    <row r="262">
      <c r="E262" s="230"/>
    </row>
    <row r="263">
      <c r="E263" s="230"/>
    </row>
    <row r="264">
      <c r="E264" s="230"/>
    </row>
    <row r="265">
      <c r="E265" s="230"/>
    </row>
    <row r="266">
      <c r="E266" s="230"/>
    </row>
    <row r="267">
      <c r="E267" s="230"/>
    </row>
    <row r="268">
      <c r="E268" s="230"/>
    </row>
    <row r="269">
      <c r="E269" s="230"/>
    </row>
    <row r="270">
      <c r="E270" s="230"/>
    </row>
    <row r="271">
      <c r="E271" s="230"/>
    </row>
    <row r="272">
      <c r="E272" s="230"/>
    </row>
    <row r="273">
      <c r="E273" s="230"/>
    </row>
    <row r="274">
      <c r="E274" s="230"/>
    </row>
    <row r="275">
      <c r="E275" s="230"/>
    </row>
    <row r="276">
      <c r="E276" s="230"/>
    </row>
    <row r="277">
      <c r="E277" s="230"/>
    </row>
    <row r="278">
      <c r="E278" s="230"/>
    </row>
    <row r="279">
      <c r="E279" s="230"/>
    </row>
    <row r="280">
      <c r="E280" s="230"/>
    </row>
    <row r="281">
      <c r="E281" s="230"/>
    </row>
    <row r="282">
      <c r="E282" s="230"/>
    </row>
    <row r="283">
      <c r="E283" s="230"/>
    </row>
    <row r="284">
      <c r="E284" s="230"/>
    </row>
    <row r="285">
      <c r="E285" s="230"/>
    </row>
    <row r="286">
      <c r="E286" s="230"/>
    </row>
    <row r="287">
      <c r="E287" s="230"/>
    </row>
    <row r="288">
      <c r="E288" s="230"/>
    </row>
    <row r="289">
      <c r="E289" s="230"/>
    </row>
    <row r="290">
      <c r="E290" s="230"/>
    </row>
    <row r="291">
      <c r="E291" s="230"/>
    </row>
    <row r="292">
      <c r="E292" s="230"/>
    </row>
    <row r="293">
      <c r="E293" s="230"/>
    </row>
    <row r="294">
      <c r="E294" s="230"/>
    </row>
    <row r="295">
      <c r="E295" s="230"/>
    </row>
    <row r="296">
      <c r="E296" s="230"/>
    </row>
    <row r="297">
      <c r="E297" s="230"/>
    </row>
    <row r="298">
      <c r="E298" s="230"/>
    </row>
    <row r="299">
      <c r="E299" s="230"/>
    </row>
    <row r="300">
      <c r="E300" s="230"/>
    </row>
    <row r="301">
      <c r="E301" s="230"/>
    </row>
    <row r="302">
      <c r="E302" s="230"/>
    </row>
    <row r="303">
      <c r="E303" s="230"/>
    </row>
    <row r="304">
      <c r="E304" s="230"/>
    </row>
    <row r="305">
      <c r="E305" s="230"/>
    </row>
    <row r="306">
      <c r="E306" s="230"/>
    </row>
    <row r="307">
      <c r="E307" s="230"/>
    </row>
    <row r="308">
      <c r="E308" s="230"/>
    </row>
    <row r="309">
      <c r="E309" s="230"/>
    </row>
    <row r="310">
      <c r="E310" s="230"/>
    </row>
    <row r="311">
      <c r="E311" s="230"/>
    </row>
    <row r="312">
      <c r="E312" s="230"/>
    </row>
    <row r="313">
      <c r="E313" s="230"/>
    </row>
    <row r="314">
      <c r="E314" s="230"/>
    </row>
    <row r="315">
      <c r="E315" s="230"/>
    </row>
    <row r="316">
      <c r="E316" s="230"/>
    </row>
    <row r="317">
      <c r="E317" s="230"/>
    </row>
    <row r="318">
      <c r="E318" s="230"/>
    </row>
    <row r="319">
      <c r="E319" s="230"/>
    </row>
    <row r="320">
      <c r="E320" s="230"/>
    </row>
    <row r="321">
      <c r="E321" s="230"/>
    </row>
    <row r="322">
      <c r="E322" s="230"/>
    </row>
    <row r="323">
      <c r="E323" s="230"/>
    </row>
    <row r="324">
      <c r="E324" s="230"/>
    </row>
    <row r="325">
      <c r="E325" s="230"/>
    </row>
    <row r="326">
      <c r="E326" s="230"/>
    </row>
    <row r="327">
      <c r="E327" s="230"/>
    </row>
    <row r="328">
      <c r="E328" s="230"/>
    </row>
    <row r="329">
      <c r="E329" s="230"/>
    </row>
    <row r="330">
      <c r="E330" s="230"/>
    </row>
    <row r="331">
      <c r="E331" s="230"/>
    </row>
    <row r="332">
      <c r="E332" s="230"/>
    </row>
    <row r="333">
      <c r="E333" s="230"/>
    </row>
    <row r="334">
      <c r="E334" s="230"/>
    </row>
    <row r="335">
      <c r="E335" s="230"/>
    </row>
    <row r="336">
      <c r="E336" s="230"/>
    </row>
    <row r="337">
      <c r="E337" s="230"/>
    </row>
    <row r="338">
      <c r="E338" s="230"/>
    </row>
    <row r="339">
      <c r="E339" s="230"/>
    </row>
    <row r="340">
      <c r="E340" s="230"/>
    </row>
    <row r="341">
      <c r="E341" s="230"/>
    </row>
    <row r="342">
      <c r="E342" s="230"/>
    </row>
    <row r="343">
      <c r="E343" s="230"/>
    </row>
    <row r="344">
      <c r="E344" s="230"/>
    </row>
    <row r="345">
      <c r="E345" s="230"/>
    </row>
    <row r="346">
      <c r="E346" s="230"/>
    </row>
    <row r="347">
      <c r="E347" s="230"/>
    </row>
    <row r="348">
      <c r="E348" s="230"/>
    </row>
    <row r="349">
      <c r="E349" s="230"/>
    </row>
    <row r="350">
      <c r="E350" s="230"/>
    </row>
    <row r="351">
      <c r="E351" s="230"/>
    </row>
    <row r="352">
      <c r="E352" s="230"/>
    </row>
    <row r="353">
      <c r="E353" s="230"/>
    </row>
    <row r="354">
      <c r="E354" s="230"/>
    </row>
    <row r="355">
      <c r="E355" s="230"/>
    </row>
    <row r="356">
      <c r="E356" s="230"/>
    </row>
    <row r="357">
      <c r="E357" s="230"/>
    </row>
    <row r="358">
      <c r="E358" s="230"/>
    </row>
    <row r="359">
      <c r="E359" s="230"/>
    </row>
    <row r="360">
      <c r="E360" s="230"/>
    </row>
    <row r="361">
      <c r="E361" s="230"/>
    </row>
    <row r="362">
      <c r="E362" s="230"/>
    </row>
    <row r="363">
      <c r="E363" s="230"/>
    </row>
    <row r="364">
      <c r="E364" s="230"/>
    </row>
    <row r="365">
      <c r="E365" s="230"/>
    </row>
    <row r="366">
      <c r="E366" s="230"/>
    </row>
    <row r="367">
      <c r="E367" s="230"/>
    </row>
    <row r="368">
      <c r="E368" s="230"/>
    </row>
    <row r="369">
      <c r="E369" s="230"/>
    </row>
    <row r="370">
      <c r="E370" s="230"/>
    </row>
    <row r="371">
      <c r="E371" s="230"/>
    </row>
    <row r="372">
      <c r="E372" s="230"/>
    </row>
    <row r="373">
      <c r="E373" s="230"/>
    </row>
    <row r="374">
      <c r="E374" s="230"/>
    </row>
    <row r="375">
      <c r="E375" s="230"/>
    </row>
    <row r="376">
      <c r="E376" s="230"/>
    </row>
    <row r="377">
      <c r="E377" s="230"/>
    </row>
    <row r="378">
      <c r="E378" s="230"/>
    </row>
    <row r="379">
      <c r="E379" s="230"/>
    </row>
    <row r="380">
      <c r="E380" s="230"/>
    </row>
    <row r="381">
      <c r="E381" s="230"/>
    </row>
    <row r="382">
      <c r="E382" s="230"/>
    </row>
    <row r="383">
      <c r="E383" s="230"/>
    </row>
    <row r="384">
      <c r="E384" s="230"/>
    </row>
    <row r="385">
      <c r="E385" s="230"/>
    </row>
    <row r="386">
      <c r="E386" s="230"/>
    </row>
    <row r="387">
      <c r="E387" s="230"/>
    </row>
    <row r="388">
      <c r="E388" s="230"/>
    </row>
    <row r="389">
      <c r="E389" s="230"/>
    </row>
    <row r="390">
      <c r="E390" s="230"/>
    </row>
    <row r="391">
      <c r="E391" s="230"/>
    </row>
    <row r="392">
      <c r="E392" s="230"/>
    </row>
    <row r="393">
      <c r="E393" s="230"/>
    </row>
    <row r="394">
      <c r="E394" s="230"/>
    </row>
    <row r="395">
      <c r="E395" s="230"/>
    </row>
    <row r="396">
      <c r="E396" s="230"/>
    </row>
    <row r="397">
      <c r="E397" s="230"/>
    </row>
    <row r="398">
      <c r="E398" s="230"/>
    </row>
    <row r="399">
      <c r="E399" s="230"/>
    </row>
    <row r="400">
      <c r="E400" s="230"/>
    </row>
    <row r="401">
      <c r="E401" s="230"/>
    </row>
    <row r="402">
      <c r="E402" s="230"/>
    </row>
    <row r="403">
      <c r="E403" s="230"/>
    </row>
    <row r="404">
      <c r="E404" s="230"/>
    </row>
    <row r="405">
      <c r="E405" s="230"/>
    </row>
    <row r="406">
      <c r="E406" s="230"/>
    </row>
    <row r="407">
      <c r="E407" s="230"/>
    </row>
    <row r="408">
      <c r="E408" s="230"/>
    </row>
    <row r="409">
      <c r="E409" s="230"/>
    </row>
    <row r="410">
      <c r="E410" s="230"/>
    </row>
    <row r="411">
      <c r="E411" s="230"/>
    </row>
    <row r="412">
      <c r="E412" s="230"/>
    </row>
    <row r="413">
      <c r="E413" s="230"/>
    </row>
    <row r="414">
      <c r="E414" s="230"/>
    </row>
    <row r="415">
      <c r="E415" s="230"/>
    </row>
    <row r="416">
      <c r="E416" s="230"/>
    </row>
    <row r="417">
      <c r="E417" s="230"/>
    </row>
    <row r="418">
      <c r="E418" s="230"/>
    </row>
    <row r="419">
      <c r="E419" s="230"/>
    </row>
    <row r="420">
      <c r="E420" s="230"/>
    </row>
    <row r="421">
      <c r="E421" s="230"/>
    </row>
    <row r="422">
      <c r="E422" s="230"/>
    </row>
    <row r="423">
      <c r="E423" s="230"/>
    </row>
    <row r="424">
      <c r="E424" s="230"/>
    </row>
    <row r="425">
      <c r="E425" s="230"/>
    </row>
    <row r="426">
      <c r="E426" s="230"/>
    </row>
    <row r="427">
      <c r="E427" s="230"/>
    </row>
    <row r="428">
      <c r="E428" s="230"/>
    </row>
    <row r="429">
      <c r="E429" s="230"/>
    </row>
    <row r="430">
      <c r="E430" s="230"/>
    </row>
    <row r="431">
      <c r="E431" s="230"/>
    </row>
    <row r="432">
      <c r="E432" s="230"/>
    </row>
    <row r="433">
      <c r="E433" s="230"/>
    </row>
    <row r="434">
      <c r="E434" s="230"/>
    </row>
    <row r="435">
      <c r="E435" s="230"/>
    </row>
    <row r="436">
      <c r="E436" s="230"/>
    </row>
    <row r="437">
      <c r="E437" s="230"/>
    </row>
    <row r="438">
      <c r="E438" s="230"/>
    </row>
    <row r="439">
      <c r="E439" s="230"/>
    </row>
    <row r="440">
      <c r="E440" s="230"/>
    </row>
    <row r="441">
      <c r="E441" s="230"/>
    </row>
    <row r="442">
      <c r="E442" s="230"/>
    </row>
    <row r="443">
      <c r="E443" s="230"/>
    </row>
    <row r="444">
      <c r="E444" s="230"/>
    </row>
    <row r="445">
      <c r="E445" s="230"/>
    </row>
    <row r="446">
      <c r="E446" s="230"/>
    </row>
    <row r="447">
      <c r="E447" s="230"/>
    </row>
    <row r="448">
      <c r="E448" s="230"/>
    </row>
    <row r="449">
      <c r="E449" s="230"/>
    </row>
    <row r="450">
      <c r="E450" s="230"/>
    </row>
    <row r="451">
      <c r="E451" s="230"/>
    </row>
    <row r="452">
      <c r="E452" s="230"/>
    </row>
    <row r="453">
      <c r="E453" s="230"/>
    </row>
    <row r="454">
      <c r="E454" s="230"/>
    </row>
    <row r="455">
      <c r="E455" s="230"/>
    </row>
    <row r="456">
      <c r="E456" s="230"/>
    </row>
    <row r="457">
      <c r="E457" s="230"/>
    </row>
    <row r="458">
      <c r="E458" s="230"/>
    </row>
    <row r="459">
      <c r="E459" s="230"/>
    </row>
    <row r="460">
      <c r="E460" s="230"/>
    </row>
    <row r="461">
      <c r="E461" s="230"/>
    </row>
    <row r="462">
      <c r="E462" s="230"/>
    </row>
    <row r="463">
      <c r="E463" s="230"/>
    </row>
    <row r="464">
      <c r="E464" s="230"/>
    </row>
    <row r="465">
      <c r="E465" s="230"/>
    </row>
    <row r="466">
      <c r="E466" s="230"/>
    </row>
    <row r="467">
      <c r="E467" s="230"/>
    </row>
    <row r="468">
      <c r="E468" s="230"/>
    </row>
    <row r="469">
      <c r="E469" s="230"/>
    </row>
    <row r="470">
      <c r="E470" s="230"/>
    </row>
    <row r="471">
      <c r="E471" s="230"/>
    </row>
    <row r="472">
      <c r="E472" s="230"/>
    </row>
    <row r="473">
      <c r="E473" s="230"/>
    </row>
    <row r="474">
      <c r="E474" s="230"/>
    </row>
    <row r="475">
      <c r="E475" s="230"/>
    </row>
    <row r="476">
      <c r="E476" s="230"/>
    </row>
    <row r="477">
      <c r="E477" s="230"/>
    </row>
    <row r="478">
      <c r="E478" s="230"/>
    </row>
    <row r="479">
      <c r="E479" s="230"/>
    </row>
    <row r="480">
      <c r="E480" s="230"/>
    </row>
    <row r="481">
      <c r="E481" s="230"/>
    </row>
    <row r="482">
      <c r="E482" s="230"/>
    </row>
    <row r="483">
      <c r="E483" s="230"/>
    </row>
    <row r="484">
      <c r="E484" s="230"/>
    </row>
    <row r="485">
      <c r="E485" s="230"/>
    </row>
    <row r="486">
      <c r="E486" s="230"/>
    </row>
    <row r="487">
      <c r="E487" s="230"/>
    </row>
    <row r="488">
      <c r="E488" s="230"/>
    </row>
    <row r="489">
      <c r="E489" s="230"/>
    </row>
    <row r="490">
      <c r="E490" s="230"/>
    </row>
    <row r="491">
      <c r="E491" s="230"/>
    </row>
    <row r="492">
      <c r="E492" s="230"/>
    </row>
    <row r="493">
      <c r="E493" s="230"/>
    </row>
    <row r="494">
      <c r="E494" s="230"/>
    </row>
    <row r="495">
      <c r="E495" s="230"/>
    </row>
    <row r="496">
      <c r="E496" s="230"/>
    </row>
    <row r="497">
      <c r="E497" s="230"/>
    </row>
    <row r="498">
      <c r="E498" s="230"/>
    </row>
    <row r="499">
      <c r="E499" s="230"/>
    </row>
    <row r="500">
      <c r="E500" s="230"/>
    </row>
    <row r="501">
      <c r="E501" s="230"/>
    </row>
    <row r="502">
      <c r="E502" s="230"/>
    </row>
    <row r="503">
      <c r="E503" s="230"/>
    </row>
    <row r="504">
      <c r="E504" s="230"/>
    </row>
    <row r="505">
      <c r="E505" s="230"/>
    </row>
    <row r="506">
      <c r="E506" s="230"/>
    </row>
    <row r="507">
      <c r="E507" s="230"/>
    </row>
    <row r="508">
      <c r="E508" s="230"/>
    </row>
    <row r="509">
      <c r="E509" s="230"/>
    </row>
    <row r="510">
      <c r="E510" s="230"/>
    </row>
    <row r="511">
      <c r="E511" s="230"/>
    </row>
    <row r="512">
      <c r="E512" s="230"/>
    </row>
    <row r="513">
      <c r="E513" s="230"/>
    </row>
    <row r="514">
      <c r="E514" s="230"/>
    </row>
    <row r="515">
      <c r="E515" s="230"/>
    </row>
    <row r="516">
      <c r="E516" s="230"/>
    </row>
    <row r="517">
      <c r="E517" s="230"/>
    </row>
    <row r="518">
      <c r="E518" s="230"/>
    </row>
    <row r="519">
      <c r="E519" s="230"/>
    </row>
    <row r="520">
      <c r="E520" s="230"/>
    </row>
    <row r="521">
      <c r="E521" s="230"/>
    </row>
    <row r="522">
      <c r="E522" s="230"/>
    </row>
    <row r="523">
      <c r="E523" s="230"/>
    </row>
    <row r="524">
      <c r="E524" s="230"/>
    </row>
    <row r="525">
      <c r="E525" s="230"/>
    </row>
    <row r="526">
      <c r="E526" s="230"/>
    </row>
    <row r="527">
      <c r="E527" s="230"/>
    </row>
    <row r="528">
      <c r="E528" s="230"/>
    </row>
    <row r="529">
      <c r="E529" s="230"/>
    </row>
    <row r="530">
      <c r="E530" s="230"/>
    </row>
    <row r="531">
      <c r="E531" s="230"/>
    </row>
    <row r="532">
      <c r="E532" s="230"/>
    </row>
    <row r="533">
      <c r="E533" s="230"/>
    </row>
    <row r="534">
      <c r="E534" s="230"/>
    </row>
    <row r="535">
      <c r="E535" s="230"/>
    </row>
    <row r="536">
      <c r="E536" s="230"/>
    </row>
    <row r="537">
      <c r="E537" s="230"/>
    </row>
    <row r="538">
      <c r="E538" s="230"/>
    </row>
    <row r="539">
      <c r="E539" s="230"/>
    </row>
    <row r="540">
      <c r="E540" s="230"/>
    </row>
    <row r="541">
      <c r="E541" s="230"/>
    </row>
    <row r="542">
      <c r="E542" s="230"/>
    </row>
    <row r="543">
      <c r="E543" s="230"/>
    </row>
    <row r="544">
      <c r="E544" s="230"/>
    </row>
    <row r="545">
      <c r="E545" s="230"/>
    </row>
    <row r="546">
      <c r="E546" s="230"/>
    </row>
    <row r="547">
      <c r="E547" s="230"/>
    </row>
    <row r="548">
      <c r="E548" s="230"/>
    </row>
    <row r="549">
      <c r="E549" s="230"/>
    </row>
    <row r="550">
      <c r="E550" s="230"/>
    </row>
    <row r="551">
      <c r="E551" s="230"/>
    </row>
    <row r="552">
      <c r="E552" s="230"/>
    </row>
    <row r="553">
      <c r="E553" s="230"/>
    </row>
    <row r="554">
      <c r="E554" s="230"/>
    </row>
    <row r="555">
      <c r="E555" s="230"/>
    </row>
    <row r="556">
      <c r="E556" s="230"/>
    </row>
    <row r="557">
      <c r="E557" s="230"/>
    </row>
    <row r="558">
      <c r="E558" s="230"/>
    </row>
    <row r="559">
      <c r="E559" s="230"/>
    </row>
    <row r="560">
      <c r="E560" s="230"/>
    </row>
    <row r="561">
      <c r="E561" s="230"/>
    </row>
    <row r="562">
      <c r="E562" s="230"/>
    </row>
    <row r="563">
      <c r="E563" s="230"/>
    </row>
    <row r="564">
      <c r="E564" s="230"/>
    </row>
    <row r="565">
      <c r="E565" s="230"/>
    </row>
    <row r="566">
      <c r="E566" s="230"/>
    </row>
    <row r="567">
      <c r="E567" s="230"/>
    </row>
    <row r="568">
      <c r="E568" s="230"/>
    </row>
    <row r="569">
      <c r="E569" s="230"/>
    </row>
    <row r="570">
      <c r="E570" s="230"/>
    </row>
    <row r="571">
      <c r="E571" s="230"/>
    </row>
    <row r="572">
      <c r="E572" s="230"/>
    </row>
    <row r="573">
      <c r="E573" s="230"/>
    </row>
    <row r="574">
      <c r="E574" s="230"/>
    </row>
    <row r="575">
      <c r="E575" s="230"/>
    </row>
    <row r="576">
      <c r="E576" s="230"/>
    </row>
    <row r="577">
      <c r="E577" s="230"/>
    </row>
    <row r="578">
      <c r="E578" s="230"/>
    </row>
    <row r="579">
      <c r="E579" s="230"/>
    </row>
    <row r="580">
      <c r="E580" s="230"/>
    </row>
    <row r="581">
      <c r="E581" s="230"/>
    </row>
    <row r="582">
      <c r="E582" s="230"/>
    </row>
    <row r="583">
      <c r="E583" s="230"/>
    </row>
    <row r="584">
      <c r="E584" s="230"/>
    </row>
    <row r="585">
      <c r="E585" s="230"/>
    </row>
    <row r="586">
      <c r="E586" s="230"/>
    </row>
    <row r="587">
      <c r="E587" s="230"/>
    </row>
    <row r="588">
      <c r="E588" s="230"/>
    </row>
    <row r="589">
      <c r="E589" s="230"/>
    </row>
    <row r="590">
      <c r="E590" s="230"/>
    </row>
    <row r="591">
      <c r="E591" s="230"/>
    </row>
    <row r="592">
      <c r="E592" s="230"/>
    </row>
    <row r="593">
      <c r="E593" s="230"/>
    </row>
    <row r="594">
      <c r="E594" s="230"/>
    </row>
    <row r="595">
      <c r="E595" s="230"/>
    </row>
    <row r="596">
      <c r="E596" s="230"/>
    </row>
    <row r="597">
      <c r="E597" s="230"/>
    </row>
    <row r="598">
      <c r="E598" s="230"/>
    </row>
    <row r="599">
      <c r="E599" s="230"/>
    </row>
    <row r="600">
      <c r="E600" s="230"/>
    </row>
    <row r="601">
      <c r="E601" s="230"/>
    </row>
    <row r="602">
      <c r="E602" s="230"/>
    </row>
    <row r="603">
      <c r="E603" s="230"/>
    </row>
    <row r="604">
      <c r="E604" s="230"/>
    </row>
    <row r="605">
      <c r="E605" s="230"/>
    </row>
    <row r="606">
      <c r="E606" s="230"/>
    </row>
    <row r="607">
      <c r="E607" s="230"/>
    </row>
    <row r="608">
      <c r="E608" s="230"/>
    </row>
    <row r="609">
      <c r="E609" s="230"/>
    </row>
    <row r="610">
      <c r="E610" s="230"/>
    </row>
    <row r="611">
      <c r="E611" s="230"/>
    </row>
    <row r="612">
      <c r="E612" s="230"/>
    </row>
    <row r="613">
      <c r="E613" s="230"/>
    </row>
    <row r="614">
      <c r="E614" s="230"/>
    </row>
    <row r="615">
      <c r="E615" s="230"/>
    </row>
    <row r="616">
      <c r="E616" s="230"/>
    </row>
    <row r="617">
      <c r="E617" s="230"/>
    </row>
    <row r="618">
      <c r="E618" s="230"/>
    </row>
    <row r="619">
      <c r="E619" s="230"/>
    </row>
    <row r="620">
      <c r="E620" s="230"/>
    </row>
    <row r="621">
      <c r="E621" s="230"/>
    </row>
    <row r="622">
      <c r="E622" s="230"/>
    </row>
    <row r="623">
      <c r="E623" s="230"/>
    </row>
    <row r="624">
      <c r="E624" s="230"/>
    </row>
    <row r="625">
      <c r="E625" s="230"/>
    </row>
    <row r="626">
      <c r="E626" s="230"/>
    </row>
    <row r="627">
      <c r="E627" s="230"/>
    </row>
    <row r="628">
      <c r="E628" s="230"/>
    </row>
    <row r="629">
      <c r="E629" s="230"/>
    </row>
    <row r="630">
      <c r="E630" s="230"/>
    </row>
    <row r="631">
      <c r="E631" s="230"/>
    </row>
    <row r="632">
      <c r="E632" s="230"/>
    </row>
    <row r="633">
      <c r="E633" s="230"/>
    </row>
    <row r="634">
      <c r="E634" s="230"/>
    </row>
    <row r="635">
      <c r="E635" s="230"/>
    </row>
    <row r="636">
      <c r="E636" s="230"/>
    </row>
    <row r="637">
      <c r="E637" s="230"/>
    </row>
    <row r="638">
      <c r="E638" s="230"/>
    </row>
    <row r="639">
      <c r="E639" s="230"/>
    </row>
    <row r="640">
      <c r="E640" s="230"/>
    </row>
    <row r="641">
      <c r="E641" s="230"/>
    </row>
    <row r="642">
      <c r="E642" s="230"/>
    </row>
    <row r="643">
      <c r="E643" s="230"/>
    </row>
    <row r="644">
      <c r="E644" s="230"/>
    </row>
    <row r="645">
      <c r="E645" s="230"/>
    </row>
    <row r="646">
      <c r="E646" s="230"/>
    </row>
    <row r="647">
      <c r="E647" s="230"/>
    </row>
    <row r="648">
      <c r="E648" s="230"/>
    </row>
    <row r="649">
      <c r="E649" s="230"/>
    </row>
    <row r="650">
      <c r="E650" s="230"/>
    </row>
    <row r="651">
      <c r="E651" s="230"/>
    </row>
    <row r="652">
      <c r="E652" s="230"/>
    </row>
    <row r="653">
      <c r="E653" s="230"/>
    </row>
    <row r="654">
      <c r="E654" s="230"/>
    </row>
    <row r="655">
      <c r="E655" s="230"/>
    </row>
    <row r="656">
      <c r="E656" s="230"/>
    </row>
    <row r="657">
      <c r="E657" s="230"/>
    </row>
    <row r="658">
      <c r="E658" s="230"/>
    </row>
    <row r="659">
      <c r="E659" s="230"/>
    </row>
    <row r="660">
      <c r="E660" s="230"/>
    </row>
    <row r="661">
      <c r="E661" s="230"/>
    </row>
    <row r="662">
      <c r="E662" s="230"/>
    </row>
    <row r="663">
      <c r="E663" s="230"/>
    </row>
    <row r="664">
      <c r="E664" s="230"/>
    </row>
    <row r="665">
      <c r="E665" s="230"/>
    </row>
    <row r="666">
      <c r="E666" s="230"/>
    </row>
    <row r="667">
      <c r="E667" s="230"/>
    </row>
    <row r="668">
      <c r="E668" s="230"/>
    </row>
    <row r="669">
      <c r="E669" s="230"/>
    </row>
    <row r="670">
      <c r="E670" s="230"/>
    </row>
    <row r="671">
      <c r="E671" s="230"/>
    </row>
    <row r="672">
      <c r="E672" s="230"/>
    </row>
    <row r="673">
      <c r="E673" s="230"/>
    </row>
    <row r="674">
      <c r="E674" s="230"/>
    </row>
    <row r="675">
      <c r="E675" s="230"/>
    </row>
    <row r="676">
      <c r="E676" s="230"/>
    </row>
    <row r="677">
      <c r="E677" s="230"/>
    </row>
    <row r="678">
      <c r="E678" s="230"/>
    </row>
    <row r="679">
      <c r="E679" s="230"/>
    </row>
    <row r="680">
      <c r="E680" s="230"/>
    </row>
    <row r="681">
      <c r="E681" s="230"/>
    </row>
    <row r="682">
      <c r="E682" s="230"/>
    </row>
    <row r="683">
      <c r="E683" s="230"/>
    </row>
    <row r="684">
      <c r="E684" s="230"/>
    </row>
    <row r="685">
      <c r="E685" s="230"/>
    </row>
    <row r="686">
      <c r="E686" s="230"/>
    </row>
    <row r="687">
      <c r="E687" s="230"/>
    </row>
    <row r="688">
      <c r="E688" s="230"/>
    </row>
    <row r="689">
      <c r="E689" s="230"/>
    </row>
    <row r="690">
      <c r="E690" s="230"/>
    </row>
    <row r="691">
      <c r="E691" s="230"/>
    </row>
    <row r="692">
      <c r="E692" s="230"/>
    </row>
    <row r="693">
      <c r="E693" s="230"/>
    </row>
    <row r="694">
      <c r="E694" s="230"/>
    </row>
    <row r="695">
      <c r="E695" s="230"/>
    </row>
    <row r="696">
      <c r="E696" s="230"/>
    </row>
    <row r="697">
      <c r="E697" s="230"/>
    </row>
    <row r="698">
      <c r="E698" s="230"/>
    </row>
    <row r="699">
      <c r="E699" s="230"/>
    </row>
    <row r="700">
      <c r="E700" s="230"/>
    </row>
    <row r="701">
      <c r="E701" s="230"/>
    </row>
    <row r="702">
      <c r="E702" s="230"/>
    </row>
    <row r="703">
      <c r="E703" s="230"/>
    </row>
    <row r="704">
      <c r="E704" s="230"/>
    </row>
    <row r="705">
      <c r="E705" s="230"/>
    </row>
    <row r="706">
      <c r="E706" s="230"/>
    </row>
    <row r="707">
      <c r="E707" s="230"/>
    </row>
    <row r="708">
      <c r="E708" s="230"/>
    </row>
    <row r="709">
      <c r="E709" s="230"/>
    </row>
    <row r="710">
      <c r="E710" s="230"/>
    </row>
    <row r="711">
      <c r="E711" s="230"/>
    </row>
    <row r="712">
      <c r="E712" s="230"/>
    </row>
    <row r="713">
      <c r="E713" s="230"/>
    </row>
    <row r="714">
      <c r="E714" s="230"/>
    </row>
    <row r="715">
      <c r="E715" s="230"/>
    </row>
    <row r="716">
      <c r="E716" s="230"/>
    </row>
    <row r="717">
      <c r="E717" s="230"/>
    </row>
    <row r="718">
      <c r="E718" s="230"/>
    </row>
    <row r="719">
      <c r="E719" s="230"/>
    </row>
    <row r="720">
      <c r="E720" s="230"/>
    </row>
    <row r="721">
      <c r="E721" s="230"/>
    </row>
    <row r="722">
      <c r="E722" s="230"/>
    </row>
    <row r="723">
      <c r="E723" s="230"/>
    </row>
    <row r="724">
      <c r="E724" s="230"/>
    </row>
    <row r="725">
      <c r="E725" s="230"/>
    </row>
    <row r="726">
      <c r="E726" s="230"/>
    </row>
    <row r="727">
      <c r="E727" s="230"/>
    </row>
    <row r="728">
      <c r="E728" s="230"/>
    </row>
    <row r="729">
      <c r="E729" s="230"/>
    </row>
    <row r="730">
      <c r="E730" s="230"/>
    </row>
    <row r="731">
      <c r="E731" s="230"/>
    </row>
    <row r="732">
      <c r="E732" s="230"/>
    </row>
    <row r="733">
      <c r="E733" s="230"/>
    </row>
    <row r="734">
      <c r="E734" s="230"/>
    </row>
    <row r="735">
      <c r="E735" s="230"/>
    </row>
    <row r="736">
      <c r="E736" s="230"/>
    </row>
    <row r="737">
      <c r="E737" s="230"/>
    </row>
    <row r="738">
      <c r="E738" s="230"/>
    </row>
    <row r="739">
      <c r="E739" s="230"/>
    </row>
    <row r="740">
      <c r="E740" s="230"/>
    </row>
    <row r="741">
      <c r="E741" s="230"/>
    </row>
    <row r="742">
      <c r="E742" s="230"/>
    </row>
    <row r="743">
      <c r="E743" s="230"/>
    </row>
    <row r="744">
      <c r="E744" s="230"/>
    </row>
    <row r="745">
      <c r="E745" s="230"/>
    </row>
    <row r="746">
      <c r="E746" s="230"/>
    </row>
    <row r="747">
      <c r="E747" s="230"/>
    </row>
    <row r="748">
      <c r="E748" s="230"/>
    </row>
    <row r="749">
      <c r="E749" s="230"/>
    </row>
    <row r="750">
      <c r="E750" s="230"/>
    </row>
    <row r="751">
      <c r="E751" s="230"/>
    </row>
    <row r="752">
      <c r="E752" s="230"/>
    </row>
    <row r="753">
      <c r="E753" s="230"/>
    </row>
    <row r="754">
      <c r="E754" s="230"/>
    </row>
    <row r="755">
      <c r="E755" s="230"/>
    </row>
    <row r="756">
      <c r="E756" s="230"/>
    </row>
    <row r="757">
      <c r="E757" s="230"/>
    </row>
    <row r="758">
      <c r="E758" s="230"/>
    </row>
    <row r="759">
      <c r="E759" s="230"/>
    </row>
    <row r="760">
      <c r="E760" s="230"/>
    </row>
    <row r="761">
      <c r="E761" s="230"/>
    </row>
    <row r="762">
      <c r="E762" s="230"/>
    </row>
    <row r="763">
      <c r="E763" s="230"/>
    </row>
    <row r="764">
      <c r="E764" s="230"/>
    </row>
    <row r="765">
      <c r="E765" s="230"/>
    </row>
    <row r="766">
      <c r="E766" s="230"/>
    </row>
    <row r="767">
      <c r="E767" s="230"/>
    </row>
    <row r="768">
      <c r="E768" s="230"/>
    </row>
    <row r="769">
      <c r="E769" s="230"/>
    </row>
    <row r="770">
      <c r="E770" s="230"/>
    </row>
    <row r="771">
      <c r="E771" s="230"/>
    </row>
    <row r="772">
      <c r="E772" s="230"/>
    </row>
    <row r="773">
      <c r="E773" s="230"/>
    </row>
    <row r="774">
      <c r="E774" s="230"/>
    </row>
    <row r="775">
      <c r="E775" s="230"/>
    </row>
    <row r="776">
      <c r="E776" s="230"/>
    </row>
    <row r="777">
      <c r="E777" s="230"/>
    </row>
    <row r="778">
      <c r="E778" s="230"/>
    </row>
    <row r="779">
      <c r="E779" s="230"/>
    </row>
    <row r="780">
      <c r="E780" s="230"/>
    </row>
    <row r="781">
      <c r="E781" s="230"/>
    </row>
    <row r="782">
      <c r="E782" s="230"/>
    </row>
    <row r="783">
      <c r="E783" s="230"/>
    </row>
    <row r="784">
      <c r="E784" s="230"/>
    </row>
    <row r="785">
      <c r="E785" s="230"/>
    </row>
    <row r="786">
      <c r="E786" s="230"/>
    </row>
    <row r="787">
      <c r="E787" s="230"/>
    </row>
    <row r="788">
      <c r="E788" s="230"/>
    </row>
    <row r="789">
      <c r="E789" s="230"/>
    </row>
    <row r="790">
      <c r="E790" s="230"/>
    </row>
    <row r="791">
      <c r="E791" s="230"/>
    </row>
    <row r="792">
      <c r="E792" s="230"/>
    </row>
    <row r="793">
      <c r="E793" s="230"/>
    </row>
    <row r="794">
      <c r="E794" s="230"/>
    </row>
    <row r="795">
      <c r="E795" s="230"/>
    </row>
    <row r="796">
      <c r="E796" s="230"/>
    </row>
    <row r="797">
      <c r="E797" s="230"/>
    </row>
    <row r="798">
      <c r="E798" s="230"/>
    </row>
    <row r="799">
      <c r="E799" s="230"/>
    </row>
    <row r="800">
      <c r="E800" s="230"/>
    </row>
    <row r="801">
      <c r="E801" s="230"/>
    </row>
    <row r="802">
      <c r="E802" s="230"/>
    </row>
    <row r="803">
      <c r="E803" s="230"/>
    </row>
    <row r="804">
      <c r="E804" s="230"/>
    </row>
    <row r="805">
      <c r="E805" s="230"/>
    </row>
    <row r="806">
      <c r="E806" s="230"/>
    </row>
    <row r="807">
      <c r="E807" s="230"/>
    </row>
    <row r="808">
      <c r="E808" s="230"/>
    </row>
    <row r="809">
      <c r="E809" s="230"/>
    </row>
    <row r="810">
      <c r="E810" s="230"/>
    </row>
    <row r="811">
      <c r="E811" s="230"/>
    </row>
    <row r="812">
      <c r="E812" s="230"/>
    </row>
    <row r="813">
      <c r="E813" s="230"/>
    </row>
    <row r="814">
      <c r="E814" s="230"/>
    </row>
    <row r="815">
      <c r="E815" s="230"/>
    </row>
    <row r="816">
      <c r="E816" s="230"/>
    </row>
    <row r="817">
      <c r="E817" s="230"/>
    </row>
    <row r="818">
      <c r="E818" s="230"/>
    </row>
    <row r="819">
      <c r="E819" s="230"/>
    </row>
    <row r="820">
      <c r="E820" s="230"/>
    </row>
    <row r="821">
      <c r="E821" s="230"/>
    </row>
    <row r="822">
      <c r="E822" s="230"/>
    </row>
    <row r="823">
      <c r="E823" s="230"/>
    </row>
    <row r="824">
      <c r="E824" s="230"/>
    </row>
    <row r="825">
      <c r="E825" s="230"/>
    </row>
    <row r="826">
      <c r="E826" s="230"/>
    </row>
    <row r="827">
      <c r="E827" s="230"/>
    </row>
    <row r="828">
      <c r="E828" s="230"/>
    </row>
    <row r="829">
      <c r="E829" s="230"/>
    </row>
    <row r="830">
      <c r="E830" s="230"/>
    </row>
    <row r="831">
      <c r="E831" s="230"/>
    </row>
    <row r="832">
      <c r="E832" s="230"/>
    </row>
    <row r="833">
      <c r="E833" s="230"/>
    </row>
    <row r="834">
      <c r="E834" s="230"/>
    </row>
    <row r="835">
      <c r="E835" s="230"/>
    </row>
    <row r="836">
      <c r="E836" s="230"/>
    </row>
    <row r="837">
      <c r="E837" s="230"/>
    </row>
    <row r="838">
      <c r="E838" s="230"/>
    </row>
    <row r="839">
      <c r="E839" s="230"/>
    </row>
    <row r="840">
      <c r="E840" s="230"/>
    </row>
    <row r="841">
      <c r="E841" s="230"/>
    </row>
    <row r="842">
      <c r="E842" s="230"/>
    </row>
    <row r="843">
      <c r="E843" s="230"/>
    </row>
    <row r="844">
      <c r="E844" s="230"/>
    </row>
    <row r="845">
      <c r="E845" s="230"/>
    </row>
    <row r="846">
      <c r="E846" s="230"/>
    </row>
    <row r="847">
      <c r="E847" s="230"/>
    </row>
    <row r="848">
      <c r="E848" s="230"/>
    </row>
    <row r="849">
      <c r="E849" s="230"/>
    </row>
    <row r="850">
      <c r="E850" s="230"/>
    </row>
    <row r="851">
      <c r="E851" s="230"/>
    </row>
    <row r="852">
      <c r="E852" s="230"/>
    </row>
    <row r="853">
      <c r="E853" s="230"/>
    </row>
    <row r="854">
      <c r="E854" s="230"/>
    </row>
    <row r="855">
      <c r="E855" s="230"/>
    </row>
    <row r="856">
      <c r="E856" s="230"/>
    </row>
    <row r="857">
      <c r="E857" s="230"/>
    </row>
    <row r="858">
      <c r="E858" s="230"/>
    </row>
    <row r="859">
      <c r="E859" s="230"/>
    </row>
    <row r="860">
      <c r="E860" s="230"/>
    </row>
    <row r="861">
      <c r="E861" s="230"/>
    </row>
    <row r="862">
      <c r="E862" s="230"/>
    </row>
    <row r="863">
      <c r="E863" s="230"/>
    </row>
    <row r="864">
      <c r="E864" s="230"/>
    </row>
    <row r="865">
      <c r="E865" s="230"/>
    </row>
    <row r="866">
      <c r="E866" s="230"/>
    </row>
    <row r="867">
      <c r="E867" s="230"/>
    </row>
    <row r="868">
      <c r="E868" s="230"/>
    </row>
    <row r="869">
      <c r="E869" s="230"/>
    </row>
    <row r="870">
      <c r="E870" s="230"/>
    </row>
    <row r="871">
      <c r="E871" s="230"/>
    </row>
    <row r="872">
      <c r="E872" s="230"/>
    </row>
    <row r="873">
      <c r="E873" s="230"/>
    </row>
    <row r="874">
      <c r="E874" s="230"/>
    </row>
    <row r="875">
      <c r="E875" s="230"/>
    </row>
    <row r="876">
      <c r="E876" s="230"/>
    </row>
    <row r="877">
      <c r="E877" s="230"/>
    </row>
    <row r="878">
      <c r="E878" s="230"/>
    </row>
    <row r="879">
      <c r="E879" s="230"/>
    </row>
    <row r="880">
      <c r="E880" s="230"/>
    </row>
    <row r="881">
      <c r="E881" s="230"/>
    </row>
    <row r="882">
      <c r="E882" s="230"/>
    </row>
    <row r="883">
      <c r="E883" s="230"/>
    </row>
    <row r="884">
      <c r="E884" s="230"/>
    </row>
    <row r="885">
      <c r="E885" s="230"/>
    </row>
    <row r="886">
      <c r="E886" s="230"/>
    </row>
    <row r="887">
      <c r="E887" s="230"/>
    </row>
    <row r="888">
      <c r="E888" s="230"/>
    </row>
    <row r="889">
      <c r="E889" s="230"/>
    </row>
    <row r="890">
      <c r="E890" s="230"/>
    </row>
    <row r="891">
      <c r="E891" s="230"/>
    </row>
    <row r="892">
      <c r="E892" s="230"/>
    </row>
    <row r="893">
      <c r="E893" s="230"/>
    </row>
    <row r="894">
      <c r="E894" s="230"/>
    </row>
    <row r="895">
      <c r="E895" s="230"/>
    </row>
    <row r="896">
      <c r="E896" s="230"/>
    </row>
    <row r="897">
      <c r="E897" s="230"/>
    </row>
    <row r="898">
      <c r="E898" s="230"/>
    </row>
    <row r="899">
      <c r="E899" s="230"/>
    </row>
    <row r="900">
      <c r="E900" s="230"/>
    </row>
    <row r="901">
      <c r="E901" s="230"/>
    </row>
    <row r="902">
      <c r="E902" s="230"/>
    </row>
    <row r="903">
      <c r="E903" s="230"/>
    </row>
    <row r="904">
      <c r="E904" s="230"/>
    </row>
    <row r="905">
      <c r="E905" s="230"/>
    </row>
    <row r="906">
      <c r="E906" s="230"/>
    </row>
    <row r="907">
      <c r="E907" s="230"/>
    </row>
    <row r="908">
      <c r="E908" s="230"/>
    </row>
    <row r="909">
      <c r="E909" s="230"/>
    </row>
    <row r="910">
      <c r="E910" s="230"/>
    </row>
    <row r="911">
      <c r="E911" s="230"/>
    </row>
    <row r="912">
      <c r="E912" s="230"/>
    </row>
    <row r="913">
      <c r="E913" s="230"/>
    </row>
    <row r="914">
      <c r="E914" s="230"/>
    </row>
    <row r="915">
      <c r="E915" s="230"/>
    </row>
    <row r="916">
      <c r="E916" s="230"/>
    </row>
    <row r="917">
      <c r="E917" s="230"/>
    </row>
    <row r="918">
      <c r="E918" s="230"/>
    </row>
    <row r="919">
      <c r="E919" s="230"/>
    </row>
    <row r="920">
      <c r="E920" s="230"/>
    </row>
    <row r="921">
      <c r="E921" s="230"/>
    </row>
    <row r="922">
      <c r="E922" s="230"/>
    </row>
    <row r="923">
      <c r="E923" s="230"/>
    </row>
    <row r="924">
      <c r="E924" s="230"/>
    </row>
    <row r="925">
      <c r="E925" s="230"/>
    </row>
    <row r="926">
      <c r="E926" s="230"/>
    </row>
    <row r="927">
      <c r="E927" s="230"/>
    </row>
    <row r="928">
      <c r="E928" s="230"/>
    </row>
    <row r="929">
      <c r="E929" s="230"/>
    </row>
    <row r="930">
      <c r="E930" s="230"/>
    </row>
    <row r="931">
      <c r="E931" s="230"/>
    </row>
    <row r="932">
      <c r="E932" s="230"/>
    </row>
    <row r="933">
      <c r="E933" s="230"/>
    </row>
    <row r="934">
      <c r="E934" s="230"/>
    </row>
    <row r="935">
      <c r="E935" s="230"/>
    </row>
    <row r="936">
      <c r="E936" s="230"/>
    </row>
    <row r="937">
      <c r="E937" s="230"/>
    </row>
    <row r="938">
      <c r="E938" s="230"/>
    </row>
    <row r="939">
      <c r="E939" s="230"/>
    </row>
    <row r="940">
      <c r="E940" s="230"/>
    </row>
    <row r="941">
      <c r="E941" s="230"/>
    </row>
    <row r="942">
      <c r="E942" s="230"/>
    </row>
    <row r="943">
      <c r="E943" s="230"/>
    </row>
    <row r="944">
      <c r="E944" s="230"/>
    </row>
    <row r="945">
      <c r="E945" s="230"/>
    </row>
    <row r="946">
      <c r="E946" s="230"/>
    </row>
    <row r="947">
      <c r="E947" s="230"/>
    </row>
    <row r="948">
      <c r="E948" s="230"/>
    </row>
    <row r="949">
      <c r="E949" s="230"/>
    </row>
    <row r="950">
      <c r="E950" s="230"/>
    </row>
    <row r="951">
      <c r="E951" s="230"/>
    </row>
    <row r="952">
      <c r="E952" s="230"/>
    </row>
    <row r="953">
      <c r="E953" s="230"/>
    </row>
    <row r="954">
      <c r="E954" s="230"/>
    </row>
    <row r="955">
      <c r="E955" s="230"/>
    </row>
    <row r="956">
      <c r="E956" s="230"/>
    </row>
    <row r="957">
      <c r="E957" s="230"/>
    </row>
    <row r="958">
      <c r="E958" s="230"/>
    </row>
    <row r="959">
      <c r="E959" s="230"/>
    </row>
    <row r="960">
      <c r="E960" s="230"/>
    </row>
    <row r="961">
      <c r="E961" s="230"/>
    </row>
    <row r="962">
      <c r="E962" s="230"/>
    </row>
    <row r="963">
      <c r="E963" s="230"/>
    </row>
    <row r="964">
      <c r="E964" s="230"/>
    </row>
    <row r="965">
      <c r="E965" s="230"/>
    </row>
    <row r="966">
      <c r="E966" s="230"/>
    </row>
    <row r="967">
      <c r="E967" s="230"/>
    </row>
    <row r="968">
      <c r="E968" s="230"/>
    </row>
    <row r="969">
      <c r="E969" s="230"/>
    </row>
    <row r="970">
      <c r="E970" s="230"/>
    </row>
    <row r="971">
      <c r="E971" s="230"/>
    </row>
    <row r="972">
      <c r="E972" s="230"/>
    </row>
    <row r="973">
      <c r="E973" s="230"/>
    </row>
    <row r="974">
      <c r="E974" s="230"/>
    </row>
    <row r="975">
      <c r="E975" s="230"/>
    </row>
    <row r="976">
      <c r="E976" s="230"/>
    </row>
    <row r="977">
      <c r="E977" s="230"/>
    </row>
    <row r="978">
      <c r="E978" s="230"/>
    </row>
    <row r="979">
      <c r="E979" s="230"/>
    </row>
    <row r="980">
      <c r="E980" s="230"/>
    </row>
    <row r="981">
      <c r="E981" s="230"/>
    </row>
    <row r="982">
      <c r="E982" s="230"/>
    </row>
    <row r="983">
      <c r="E983" s="230"/>
    </row>
    <row r="984">
      <c r="E984" s="230"/>
    </row>
    <row r="985">
      <c r="E985" s="230"/>
    </row>
    <row r="986">
      <c r="E986" s="230"/>
    </row>
    <row r="987">
      <c r="E987" s="230"/>
    </row>
    <row r="988">
      <c r="E988" s="230"/>
    </row>
  </sheetData>
  <mergeCells count="12">
    <mergeCell ref="A8:B8"/>
    <mergeCell ref="A9:B9"/>
    <mergeCell ref="A10:B10"/>
    <mergeCell ref="A11:B11"/>
    <mergeCell ref="A12:B12"/>
    <mergeCell ref="A1:C1"/>
    <mergeCell ref="A2:B2"/>
    <mergeCell ref="A3:B3"/>
    <mergeCell ref="A4:B4"/>
    <mergeCell ref="A5:B5"/>
    <mergeCell ref="A6:B6"/>
    <mergeCell ref="A7:B7"/>
  </mergeCells>
  <conditionalFormatting sqref="D17:E19 D21:E23 D27:E29 D31:E33">
    <cfRule type="cellIs" dxfId="0" priority="1" operator="lessThan">
      <formula>$C$8</formula>
    </cfRule>
  </conditionalFormatting>
  <conditionalFormatting sqref="D17:E19 D21:E23 D27:E29 D31:E33">
    <cfRule type="cellIs" dxfId="1" priority="2" operator="greaterThan">
      <formula>$C$8</formula>
    </cfRule>
  </conditionalFormatting>
  <conditionalFormatting sqref="D17:E19 D21:E23 D27:E29 D31:E33">
    <cfRule type="cellIs" dxfId="2" priority="3" operator="equal">
      <formula>$C$8</formula>
    </cfRule>
  </conditionalFormatting>
  <conditionalFormatting sqref="L17:L19 L27:L29">
    <cfRule type="cellIs" dxfId="1" priority="4" operator="greaterThan">
      <formula>$C$3</formula>
    </cfRule>
  </conditionalFormatting>
  <conditionalFormatting sqref="L17:L19 L27:L29">
    <cfRule type="cellIs" dxfId="0" priority="5" operator="lessThan">
      <formula>$C$3</formula>
    </cfRule>
  </conditionalFormatting>
  <conditionalFormatting sqref="L21:L23 L31:L33">
    <cfRule type="cellIs" dxfId="1" priority="6" operator="greaterThan">
      <formula>$C$3</formula>
    </cfRule>
  </conditionalFormatting>
  <conditionalFormatting sqref="L21:L23 L31:L33">
    <cfRule type="cellIs" dxfId="0" priority="7" operator="lessThan">
      <formula>$C$3</formula>
    </cfRule>
  </conditionalFormatting>
  <conditionalFormatting sqref="D27:D29 D31:D33">
    <cfRule type="cellIs" dxfId="1" priority="8" operator="lessThan">
      <formula>$C$11</formula>
    </cfRule>
  </conditionalFormatting>
  <conditionalFormatting sqref="D27:D29 D31:D33">
    <cfRule type="cellIs" dxfId="0" priority="9" operator="greaterThan">
      <formula>$C$11</formula>
    </cfRule>
  </conditionalFormatting>
  <conditionalFormatting sqref="I17:I19 I21:I23">
    <cfRule type="cellIs" dxfId="1" priority="10" operator="greaterThan">
      <formula>$C$9</formula>
    </cfRule>
  </conditionalFormatting>
  <conditionalFormatting sqref="I17:I19 I21:I23">
    <cfRule type="cellIs" dxfId="0" priority="11" operator="lessThan">
      <formula>$C$9</formula>
    </cfRule>
  </conditionalFormatting>
  <conditionalFormatting sqref="I27:I29 I31:I33">
    <cfRule type="cellIs" dxfId="1" priority="12" operator="greaterThan">
      <formula>$C$12</formula>
    </cfRule>
  </conditionalFormatting>
  <conditionalFormatting sqref="I27:I29 I31:I33">
    <cfRule type="cellIs" dxfId="0" priority="13" operator="lessThan">
      <formula>$C$12</formula>
    </cfRule>
  </conditionalFormatting>
  <hyperlinks>
    <hyperlink r:id="rId1" ref="K2"/>
    <hyperlink r:id="rId2" ref="Z17"/>
    <hyperlink r:id="rId3" ref="Z18"/>
    <hyperlink r:id="rId4" ref="Z19"/>
    <hyperlink r:id="rId5" ref="Z20"/>
    <hyperlink r:id="rId6" ref="Z21"/>
    <hyperlink r:id="rId7" ref="Z22"/>
    <hyperlink r:id="rId8" ref="Z23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9.14"/>
    <col customWidth="1" min="3" max="3" width="13.57"/>
    <col customWidth="1" min="4" max="4" width="12.0"/>
    <col customWidth="1" min="6" max="6" width="11.57"/>
    <col customWidth="1" min="7" max="7" width="11.0"/>
    <col customWidth="1" min="9" max="9" width="12.0"/>
    <col customWidth="1" min="10" max="10" width="8.14"/>
    <col customWidth="1" min="11" max="11" width="7.71"/>
    <col customWidth="1" min="12" max="12" width="11.43"/>
    <col customWidth="1" min="14" max="14" width="10.0"/>
    <col customWidth="1" min="15" max="15" width="11.0"/>
    <col customWidth="1" min="16" max="16" width="10.29"/>
    <col customWidth="1" min="17" max="17" width="10.14"/>
    <col customWidth="1" min="20" max="20" width="16.0"/>
    <col customWidth="1" min="21" max="21" width="30.29"/>
    <col customWidth="1" min="22" max="22" width="14.86"/>
    <col customWidth="1" min="24" max="24" width="10.14"/>
    <col customWidth="1" min="25" max="26" width="0.43"/>
    <col customWidth="1" min="27" max="27" width="11.0"/>
    <col customWidth="1" min="28" max="28" width="0.57"/>
    <col customWidth="1" min="29" max="29" width="0.43"/>
    <col customWidth="1" min="30" max="30" width="7.29"/>
    <col customWidth="1" min="31" max="32" width="0.43"/>
  </cols>
  <sheetData>
    <row r="1">
      <c r="A1" s="184" t="s">
        <v>167</v>
      </c>
      <c r="B1" s="184" t="s">
        <v>100</v>
      </c>
      <c r="C1" s="184" t="s">
        <v>168</v>
      </c>
      <c r="D1" s="184" t="s">
        <v>169</v>
      </c>
      <c r="E1" s="184" t="s">
        <v>170</v>
      </c>
      <c r="F1" s="184" t="s">
        <v>171</v>
      </c>
      <c r="G1" s="184" t="s">
        <v>172</v>
      </c>
      <c r="I1" s="269" t="s">
        <v>167</v>
      </c>
      <c r="J1" s="270" t="s">
        <v>100</v>
      </c>
      <c r="K1" s="271" t="s">
        <v>203</v>
      </c>
      <c r="L1" s="270" t="s">
        <v>173</v>
      </c>
      <c r="M1" s="270" t="s">
        <v>174</v>
      </c>
      <c r="N1" s="270" t="s">
        <v>175</v>
      </c>
      <c r="O1" s="270" t="s">
        <v>176</v>
      </c>
      <c r="P1" s="270" t="s">
        <v>177</v>
      </c>
      <c r="Q1" s="271" t="s">
        <v>178</v>
      </c>
    </row>
    <row r="2">
      <c r="A2" s="272" t="s">
        <v>192</v>
      </c>
      <c r="B2" s="249" t="s">
        <v>122</v>
      </c>
      <c r="C2" s="249" t="s">
        <v>193</v>
      </c>
      <c r="D2" s="273">
        <f t="shared" ref="D2:D4" si="1">4*3.6*3.2</f>
        <v>46.08</v>
      </c>
      <c r="E2" s="250">
        <f>'Battery Calculations'!E17</f>
        <v>33.1776</v>
      </c>
      <c r="F2" s="251">
        <f>'Battery Calculations'!F17</f>
        <v>0.1239553675</v>
      </c>
      <c r="G2" s="252">
        <f>'Battery Calculations'!G17</f>
        <v>29.0650584</v>
      </c>
      <c r="I2" s="274" t="s">
        <v>192</v>
      </c>
      <c r="J2" s="275" t="s">
        <v>122</v>
      </c>
      <c r="K2" s="275" t="s">
        <v>193</v>
      </c>
      <c r="L2" s="275">
        <v>3200.0</v>
      </c>
      <c r="M2" s="276">
        <f>'Battery Calculations'!I17</f>
        <v>9216</v>
      </c>
      <c r="N2" s="277">
        <f>'Battery Calculations'!J17</f>
        <v>7758.750969</v>
      </c>
      <c r="O2" s="275">
        <v>1.0</v>
      </c>
      <c r="P2" s="276">
        <f>(M2*O2)/1000</f>
        <v>9.216</v>
      </c>
      <c r="Q2" s="278">
        <f>'Battery Calculations'!M17</f>
        <v>6.301501938</v>
      </c>
    </row>
    <row r="3">
      <c r="A3" s="272" t="s">
        <v>192</v>
      </c>
      <c r="B3" s="249" t="s">
        <v>124</v>
      </c>
      <c r="C3" s="249" t="s">
        <v>195</v>
      </c>
      <c r="D3" s="273">
        <f t="shared" si="1"/>
        <v>46.08</v>
      </c>
      <c r="E3" s="250">
        <f>'Battery Calculations'!E18</f>
        <v>33.1776</v>
      </c>
      <c r="F3" s="251">
        <f>'Battery Calculations'!F18</f>
        <v>0.1239553675</v>
      </c>
      <c r="G3" s="252">
        <f>'Battery Calculations'!G18</f>
        <v>29.0650584</v>
      </c>
      <c r="I3" s="274" t="s">
        <v>192</v>
      </c>
      <c r="J3" s="275" t="s">
        <v>124</v>
      </c>
      <c r="K3" s="275" t="s">
        <v>195</v>
      </c>
      <c r="L3" s="275">
        <v>3200.0</v>
      </c>
      <c r="M3" s="276">
        <f>'Battery Calculations'!I18</f>
        <v>4608</v>
      </c>
      <c r="N3" s="277">
        <f>'Battery Calculations'!J18</f>
        <v>3150.750969</v>
      </c>
      <c r="O3" s="275">
        <v>1.0</v>
      </c>
      <c r="P3" s="276">
        <f t="shared" ref="P3:P4" si="2">M3*O3/1000</f>
        <v>4.608</v>
      </c>
      <c r="Q3" s="278">
        <f>'Battery Calculations'!M18</f>
        <v>1.693501938</v>
      </c>
    </row>
    <row r="4">
      <c r="A4" s="272" t="s">
        <v>192</v>
      </c>
      <c r="B4" s="249" t="s">
        <v>126</v>
      </c>
      <c r="C4" s="249" t="s">
        <v>196</v>
      </c>
      <c r="D4" s="273">
        <f t="shared" si="1"/>
        <v>46.08</v>
      </c>
      <c r="E4" s="250">
        <f>'Battery Calculations'!E19</f>
        <v>33.1776</v>
      </c>
      <c r="F4" s="251">
        <f>'Battery Calculations'!F19</f>
        <v>0.1239553675</v>
      </c>
      <c r="G4" s="252">
        <f>'Battery Calculations'!G19</f>
        <v>29.0650584</v>
      </c>
      <c r="I4" s="279" t="s">
        <v>192</v>
      </c>
      <c r="J4" s="280" t="s">
        <v>126</v>
      </c>
      <c r="K4" s="280" t="s">
        <v>196</v>
      </c>
      <c r="L4" s="280">
        <v>3200.0</v>
      </c>
      <c r="M4" s="281">
        <f>'Battery Calculations'!I19</f>
        <v>2304</v>
      </c>
      <c r="N4" s="277">
        <f>'Battery Calculations'!J19</f>
        <v>846.7509692</v>
      </c>
      <c r="O4" s="280">
        <v>1.0</v>
      </c>
      <c r="P4" s="282">
        <f t="shared" si="2"/>
        <v>2.304</v>
      </c>
      <c r="Q4" s="278">
        <f>'Battery Calculations'!M19</f>
        <v>-0.6104980615</v>
      </c>
    </row>
    <row r="6">
      <c r="A6" s="184" t="s">
        <v>167</v>
      </c>
      <c r="B6" s="184" t="s">
        <v>100</v>
      </c>
      <c r="C6" s="184" t="s">
        <v>168</v>
      </c>
      <c r="D6" s="184" t="str">
        <f t="shared" ref="D6:E6" si="3">D1</f>
        <v>Nominal Power Capacity (Wh)</v>
      </c>
      <c r="E6" s="184" t="str">
        <f t="shared" si="3"/>
        <v>Nominal Power Capacity with Margin of error (Wh)</v>
      </c>
      <c r="F6" s="184" t="s">
        <v>171</v>
      </c>
      <c r="G6" s="184" t="s">
        <v>172</v>
      </c>
      <c r="I6" s="269" t="s">
        <v>167</v>
      </c>
      <c r="J6" s="270" t="s">
        <v>100</v>
      </c>
      <c r="K6" s="271" t="s">
        <v>203</v>
      </c>
      <c r="L6" s="270" t="s">
        <v>202</v>
      </c>
      <c r="M6" s="270" t="str">
        <f t="shared" ref="M6:N6" si="4">M1</f>
        <v>Rated capacity of pack with margin of error (mAh)</v>
      </c>
      <c r="N6" s="270" t="str">
        <f t="shared" si="4"/>
        <v>Net rated capacity of pack (mAh)</v>
      </c>
      <c r="O6" s="270" t="s">
        <v>176</v>
      </c>
      <c r="P6" s="270" t="s">
        <v>177</v>
      </c>
      <c r="Q6" s="270" t="str">
        <f>Q1</f>
        <v>Net Discharge current for 1C (A)</v>
      </c>
    </row>
    <row r="7">
      <c r="A7" s="272" t="s">
        <v>192</v>
      </c>
      <c r="B7" s="283" t="s">
        <v>122</v>
      </c>
      <c r="C7" s="283" t="s">
        <v>193</v>
      </c>
      <c r="D7" s="284">
        <f t="shared" ref="D7:D9" si="5">4*3.6*3.2</f>
        <v>46.08</v>
      </c>
      <c r="E7" s="284">
        <f>'Battery Calculations'!E27</f>
        <v>33.1776</v>
      </c>
      <c r="F7" s="285">
        <f>'Battery Calculations'!F27</f>
        <v>0.3718661024</v>
      </c>
      <c r="G7" s="286">
        <f>'Battery Calculations'!G27</f>
        <v>20.8399752</v>
      </c>
      <c r="I7" s="287" t="s">
        <v>192</v>
      </c>
      <c r="J7" s="288" t="s">
        <v>122</v>
      </c>
      <c r="K7" s="288" t="s">
        <v>193</v>
      </c>
      <c r="L7" s="288">
        <v>3200.0</v>
      </c>
      <c r="M7" s="289">
        <f>'Battery Calculations'!I27</f>
        <v>9216</v>
      </c>
      <c r="N7" s="290">
        <f>'Battery Calculations'!J27</f>
        <v>4844.252908</v>
      </c>
      <c r="O7" s="288">
        <v>1.0</v>
      </c>
      <c r="P7" s="289">
        <f>(M7*O7)/1000</f>
        <v>9.216</v>
      </c>
      <c r="Q7" s="291">
        <f>'Battery Calculations'!M27</f>
        <v>6.301501938</v>
      </c>
    </row>
    <row r="8">
      <c r="A8" s="272" t="s">
        <v>192</v>
      </c>
      <c r="B8" s="283" t="s">
        <v>124</v>
      </c>
      <c r="C8" s="283" t="s">
        <v>195</v>
      </c>
      <c r="D8" s="284">
        <f t="shared" si="5"/>
        <v>46.08</v>
      </c>
      <c r="E8" s="284">
        <f>'Battery Calculations'!E28</f>
        <v>33.1776</v>
      </c>
      <c r="F8" s="285">
        <f>'Battery Calculations'!F28</f>
        <v>0.3718661024</v>
      </c>
      <c r="G8" s="286">
        <f>'Battery Calculations'!G28</f>
        <v>20.8399752</v>
      </c>
      <c r="I8" s="287" t="s">
        <v>192</v>
      </c>
      <c r="J8" s="288" t="s">
        <v>124</v>
      </c>
      <c r="K8" s="288" t="s">
        <v>195</v>
      </c>
      <c r="L8" s="288">
        <v>3200.0</v>
      </c>
      <c r="M8" s="289">
        <f>'Battery Calculations'!I28</f>
        <v>4608</v>
      </c>
      <c r="N8" s="290">
        <f>'Battery Calculations'!J28</f>
        <v>236.2529077</v>
      </c>
      <c r="O8" s="288">
        <v>1.0</v>
      </c>
      <c r="P8" s="289">
        <f t="shared" ref="P8:P9" si="6">M8*O8/1000</f>
        <v>4.608</v>
      </c>
      <c r="Q8" s="291">
        <f>'Battery Calculations'!M28</f>
        <v>1.693501938</v>
      </c>
    </row>
    <row r="9">
      <c r="A9" s="272" t="s">
        <v>192</v>
      </c>
      <c r="B9" s="283" t="s">
        <v>126</v>
      </c>
      <c r="C9" s="283" t="s">
        <v>196</v>
      </c>
      <c r="D9" s="284">
        <f t="shared" si="5"/>
        <v>46.08</v>
      </c>
      <c r="E9" s="284">
        <f>'Battery Calculations'!E29</f>
        <v>33.1776</v>
      </c>
      <c r="F9" s="285">
        <f>'Battery Calculations'!F29</f>
        <v>0.3718661024</v>
      </c>
      <c r="G9" s="286">
        <f>'Battery Calculations'!G29</f>
        <v>20.8399752</v>
      </c>
      <c r="I9" s="292" t="s">
        <v>192</v>
      </c>
      <c r="J9" s="293" t="s">
        <v>126</v>
      </c>
      <c r="K9" s="293" t="s">
        <v>196</v>
      </c>
      <c r="L9" s="293">
        <v>3200.0</v>
      </c>
      <c r="M9" s="294">
        <f>'Battery Calculations'!I29</f>
        <v>2304</v>
      </c>
      <c r="N9" s="290">
        <f>'Battery Calculations'!J29</f>
        <v>-2067.747092</v>
      </c>
      <c r="O9" s="293">
        <v>1.0</v>
      </c>
      <c r="P9" s="294">
        <f t="shared" si="6"/>
        <v>2.304</v>
      </c>
      <c r="Q9" s="291">
        <f>'Battery Calculations'!M29</f>
        <v>-0.6104980615</v>
      </c>
    </row>
    <row r="11">
      <c r="T11" s="220"/>
      <c r="U11" s="3"/>
      <c r="V11" s="4"/>
      <c r="W11" s="221" t="s">
        <v>148</v>
      </c>
    </row>
    <row r="12">
      <c r="T12" s="224" t="s">
        <v>150</v>
      </c>
      <c r="U12" s="4"/>
      <c r="V12" s="225">
        <f>'Preliminary Power Budget'!J36</f>
        <v>8.2250832</v>
      </c>
      <c r="W12" s="30" t="s">
        <v>151</v>
      </c>
    </row>
    <row r="13">
      <c r="T13" s="224" t="s">
        <v>153</v>
      </c>
      <c r="U13" s="4"/>
      <c r="V13" s="228">
        <f>'Preliminary Current Budget'!H31</f>
        <v>2.914498062</v>
      </c>
      <c r="W13" s="30" t="s">
        <v>154</v>
      </c>
    </row>
    <row r="14">
      <c r="T14" s="224" t="s">
        <v>155</v>
      </c>
      <c r="U14" s="4"/>
      <c r="V14" s="229">
        <v>0.1</v>
      </c>
      <c r="W14" s="30"/>
    </row>
    <row r="15">
      <c r="T15" s="224" t="s">
        <v>156</v>
      </c>
      <c r="U15" s="4"/>
      <c r="V15" s="229">
        <v>0.1</v>
      </c>
      <c r="W15" s="30"/>
    </row>
    <row r="16">
      <c r="T16" s="224" t="s">
        <v>157</v>
      </c>
      <c r="U16" s="4"/>
      <c r="V16" s="229">
        <v>0.08</v>
      </c>
      <c r="W16" s="30"/>
    </row>
    <row r="17">
      <c r="T17" s="237" t="s">
        <v>158</v>
      </c>
      <c r="U17" s="4"/>
      <c r="V17" s="239">
        <v>0.5</v>
      </c>
      <c r="W17" s="239" t="s">
        <v>134</v>
      </c>
    </row>
    <row r="18">
      <c r="T18" s="237" t="s">
        <v>159</v>
      </c>
      <c r="U18" s="4"/>
      <c r="V18" s="238">
        <f>V17*V12</f>
        <v>4.1125416</v>
      </c>
      <c r="W18" s="239" t="s">
        <v>160</v>
      </c>
    </row>
    <row r="19">
      <c r="T19" s="237" t="s">
        <v>161</v>
      </c>
      <c r="U19" s="4"/>
      <c r="V19" s="295">
        <f>(V13*V17*1000)</f>
        <v>1457.249031</v>
      </c>
      <c r="W19" s="239" t="s">
        <v>162</v>
      </c>
    </row>
    <row r="20">
      <c r="T20" s="237" t="s">
        <v>163</v>
      </c>
      <c r="U20" s="4"/>
      <c r="V20" s="239">
        <f>90/60</f>
        <v>1.5</v>
      </c>
      <c r="W20" s="239" t="s">
        <v>134</v>
      </c>
    </row>
    <row r="21">
      <c r="T21" s="243" t="s">
        <v>164</v>
      </c>
      <c r="U21" s="4"/>
      <c r="V21" s="244">
        <f>V12*V20</f>
        <v>12.3376248</v>
      </c>
      <c r="W21" s="245" t="s">
        <v>160</v>
      </c>
    </row>
    <row r="22">
      <c r="T22" s="243" t="s">
        <v>165</v>
      </c>
      <c r="U22" s="4"/>
      <c r="V22" s="246">
        <f>(V13*V20*1000)</f>
        <v>4371.747092</v>
      </c>
      <c r="W22" s="245" t="s">
        <v>162</v>
      </c>
    </row>
  </sheetData>
  <mergeCells count="12">
    <mergeCell ref="T18:U18"/>
    <mergeCell ref="T19:U19"/>
    <mergeCell ref="T20:U20"/>
    <mergeCell ref="T21:U21"/>
    <mergeCell ref="T22:U22"/>
    <mergeCell ref="T11:V11"/>
    <mergeCell ref="T12:U12"/>
    <mergeCell ref="T13:U13"/>
    <mergeCell ref="T14:U14"/>
    <mergeCell ref="T15:U15"/>
    <mergeCell ref="T16:U16"/>
    <mergeCell ref="T17:U17"/>
  </mergeCells>
  <conditionalFormatting sqref="D2:E4">
    <cfRule type="cellIs" dxfId="0" priority="1" operator="lessThan">
      <formula>$V$18</formula>
    </cfRule>
  </conditionalFormatting>
  <conditionalFormatting sqref="D2:E4">
    <cfRule type="cellIs" dxfId="1" priority="2" operator="greaterThan">
      <formula>$V$18</formula>
    </cfRule>
  </conditionalFormatting>
  <conditionalFormatting sqref="D2:E4">
    <cfRule type="cellIs" dxfId="2" priority="3" operator="equal">
      <formula>$C$8</formula>
    </cfRule>
  </conditionalFormatting>
  <conditionalFormatting sqref="D7:D9 E7:E9">
    <cfRule type="cellIs" dxfId="0" priority="4" operator="lessThan">
      <formula>$V$21</formula>
    </cfRule>
  </conditionalFormatting>
  <conditionalFormatting sqref="D7:D9 E7:E9">
    <cfRule type="cellIs" dxfId="1" priority="5" operator="greaterThan">
      <formula>$V$21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3.43"/>
    <col customWidth="1" min="3" max="3" width="12.14"/>
    <col customWidth="1" min="4" max="4" width="12.71"/>
    <col customWidth="1" min="5" max="5" width="10.0"/>
    <col customWidth="1" min="6" max="7" width="10.14"/>
    <col customWidth="1" min="8" max="8" width="13.71"/>
    <col customWidth="1" min="9" max="9" width="10.57"/>
    <col customWidth="1" min="10" max="10" width="9.43"/>
    <col customWidth="1" min="11" max="11" width="10.71"/>
    <col customWidth="1" min="12" max="12" width="12.86"/>
    <col customWidth="1" min="13" max="13" width="13.0"/>
    <col customWidth="1" min="14" max="14" width="12.0"/>
    <col customWidth="1" min="15" max="15" width="11.14"/>
    <col customWidth="1" min="16" max="16" width="11.43"/>
    <col customWidth="1" min="17" max="17" width="11.71"/>
    <col customWidth="1" min="18" max="18" width="80.86"/>
  </cols>
  <sheetData>
    <row r="1">
      <c r="A1" s="184" t="s">
        <v>204</v>
      </c>
      <c r="B1" s="184" t="s">
        <v>205</v>
      </c>
      <c r="C1" s="184" t="s">
        <v>206</v>
      </c>
      <c r="D1" s="184" t="s">
        <v>207</v>
      </c>
      <c r="E1" s="184" t="s">
        <v>208</v>
      </c>
      <c r="F1" s="184" t="s">
        <v>209</v>
      </c>
      <c r="G1" s="184" t="s">
        <v>210</v>
      </c>
      <c r="H1" s="184" t="s">
        <v>211</v>
      </c>
      <c r="I1" s="184" t="s">
        <v>212</v>
      </c>
      <c r="J1" s="184" t="s">
        <v>213</v>
      </c>
      <c r="K1" s="184" t="s">
        <v>214</v>
      </c>
      <c r="L1" s="184" t="s">
        <v>215</v>
      </c>
      <c r="M1" s="184" t="s">
        <v>216</v>
      </c>
      <c r="N1" s="184" t="s">
        <v>217</v>
      </c>
      <c r="O1" s="184" t="s">
        <v>218</v>
      </c>
      <c r="P1" s="184" t="s">
        <v>219</v>
      </c>
      <c r="Q1" s="184" t="s">
        <v>220</v>
      </c>
      <c r="R1" s="184" t="s">
        <v>221</v>
      </c>
    </row>
    <row r="2">
      <c r="A2" s="296" t="s">
        <v>222</v>
      </c>
      <c r="B2" s="283">
        <v>3200.0</v>
      </c>
      <c r="C2" s="283" t="s">
        <v>223</v>
      </c>
      <c r="D2" s="283">
        <v>3250.0</v>
      </c>
      <c r="E2" s="283">
        <v>3350.0</v>
      </c>
      <c r="F2" s="283">
        <v>3.6</v>
      </c>
      <c r="G2" s="283">
        <v>6.5</v>
      </c>
      <c r="H2" s="283" t="s">
        <v>224</v>
      </c>
      <c r="I2" s="283">
        <v>48.5</v>
      </c>
      <c r="J2" s="283">
        <v>0.0</v>
      </c>
      <c r="K2" s="283">
        <v>45.0</v>
      </c>
      <c r="L2" s="283">
        <v>-20.0</v>
      </c>
      <c r="M2" s="283">
        <v>60.0</v>
      </c>
      <c r="N2" s="283">
        <v>-20.0</v>
      </c>
      <c r="O2" s="283">
        <v>50.0</v>
      </c>
      <c r="P2" s="283">
        <v>676.0</v>
      </c>
      <c r="Q2" s="283">
        <v>243.0</v>
      </c>
      <c r="R2" s="297" t="s">
        <v>225</v>
      </c>
    </row>
    <row r="3">
      <c r="A3" s="298" t="s">
        <v>226</v>
      </c>
      <c r="B3" s="283" t="s">
        <v>223</v>
      </c>
      <c r="C3" s="283">
        <v>3500.0</v>
      </c>
      <c r="D3" s="283">
        <v>3400.0</v>
      </c>
      <c r="E3" s="283" t="s">
        <v>223</v>
      </c>
      <c r="F3" s="283">
        <v>3.635</v>
      </c>
      <c r="G3" s="283">
        <v>10.0</v>
      </c>
      <c r="H3" s="283" t="s">
        <v>227</v>
      </c>
      <c r="I3" s="283">
        <v>49.0</v>
      </c>
      <c r="J3" s="283">
        <v>0.0</v>
      </c>
      <c r="K3" s="283">
        <v>45.0</v>
      </c>
      <c r="L3" s="283">
        <v>-20.0</v>
      </c>
      <c r="M3" s="283">
        <v>60.0</v>
      </c>
      <c r="N3" s="283">
        <v>-20.0</v>
      </c>
      <c r="O3" s="283">
        <v>20.0</v>
      </c>
      <c r="P3" s="283" t="s">
        <v>223</v>
      </c>
      <c r="Q3" s="283" t="s">
        <v>223</v>
      </c>
      <c r="R3" s="297" t="s">
        <v>228</v>
      </c>
    </row>
    <row r="4">
      <c r="A4" s="298" t="s">
        <v>229</v>
      </c>
      <c r="B4" s="283">
        <v>2900.0</v>
      </c>
      <c r="C4" s="283">
        <v>3000.0</v>
      </c>
      <c r="D4" s="283" t="s">
        <v>223</v>
      </c>
      <c r="E4" s="283" t="s">
        <v>223</v>
      </c>
      <c r="F4" s="283">
        <v>3.6</v>
      </c>
      <c r="G4" s="283">
        <v>15.0</v>
      </c>
      <c r="H4" s="283" t="s">
        <v>230</v>
      </c>
      <c r="I4" s="283">
        <v>48.0</v>
      </c>
      <c r="J4" s="283">
        <v>0.0</v>
      </c>
      <c r="K4" s="283">
        <v>50.0</v>
      </c>
      <c r="L4" s="283">
        <v>-20.0</v>
      </c>
      <c r="M4" s="283">
        <v>75.0</v>
      </c>
      <c r="N4" s="283">
        <v>-30.0</v>
      </c>
      <c r="O4" s="283">
        <v>25.0</v>
      </c>
      <c r="P4" s="283" t="s">
        <v>223</v>
      </c>
      <c r="Q4" s="283" t="s">
        <v>223</v>
      </c>
      <c r="R4" s="297" t="s">
        <v>231</v>
      </c>
    </row>
  </sheetData>
  <hyperlinks>
    <hyperlink r:id="rId1" ref="R2"/>
    <hyperlink r:id="rId2" ref="R3"/>
    <hyperlink r:id="rId3" ref="R4"/>
  </hyperlinks>
  <drawing r:id="rId4"/>
</worksheet>
</file>