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c03c87bd875a0e/Escritorio/FUENTES BI/"/>
    </mc:Choice>
  </mc:AlternateContent>
  <xr:revisionPtr revIDLastSave="0" documentId="14_{3B578B7F-CA23-49F4-A607-120AF88ABECD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2007" sheetId="19" r:id="rId1"/>
    <sheet name="2008" sheetId="20" r:id="rId2"/>
    <sheet name="2009" sheetId="21" r:id="rId3"/>
    <sheet name="2010" sheetId="22" r:id="rId4"/>
  </sheets>
  <definedNames>
    <definedName name="_xlnm._FilterDatabase" localSheetId="3" hidden="1">'2010'!$B$1:$B$37</definedName>
    <definedName name="_xlnm.Print_Area" localSheetId="2">'2009'!$B$1:$Z$40</definedName>
    <definedName name="_xlnm.Print_Titles" localSheetId="3">'2010'!$B:$C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21" l="1"/>
  <c r="P29" i="19"/>
  <c r="E2" i="22" l="1"/>
  <c r="G2" i="22"/>
  <c r="I2" i="22"/>
  <c r="K2" i="22"/>
  <c r="M2" i="22"/>
  <c r="O2" i="22"/>
  <c r="R2" i="22"/>
  <c r="T2" i="22"/>
  <c r="V2" i="22"/>
  <c r="X2" i="22"/>
  <c r="AB2" i="22"/>
  <c r="AD2" i="22"/>
  <c r="AF2" i="22"/>
  <c r="AH2" i="22"/>
  <c r="AJ2" i="22"/>
  <c r="E3" i="22"/>
  <c r="G3" i="22"/>
  <c r="I3" i="22"/>
  <c r="K3" i="22"/>
  <c r="M3" i="22"/>
  <c r="O3" i="22"/>
  <c r="R3" i="22"/>
  <c r="T3" i="22"/>
  <c r="V3" i="22"/>
  <c r="X3" i="22"/>
  <c r="AB3" i="22"/>
  <c r="AD3" i="22"/>
  <c r="AF3" i="22"/>
  <c r="AH3" i="22"/>
  <c r="AJ3" i="22"/>
  <c r="E4" i="22"/>
  <c r="G4" i="22"/>
  <c r="I4" i="22"/>
  <c r="K4" i="22"/>
  <c r="M4" i="22"/>
  <c r="O4" i="22"/>
  <c r="R4" i="22"/>
  <c r="T4" i="22"/>
  <c r="V4" i="22"/>
  <c r="X4" i="22"/>
  <c r="AB4" i="22"/>
  <c r="AD4" i="22"/>
  <c r="AF4" i="22"/>
  <c r="AH4" i="22"/>
  <c r="AJ4" i="22"/>
  <c r="E5" i="22"/>
  <c r="G5" i="22"/>
  <c r="I5" i="22"/>
  <c r="K5" i="22"/>
  <c r="M5" i="22"/>
  <c r="O5" i="22"/>
  <c r="R5" i="22"/>
  <c r="T5" i="22"/>
  <c r="V5" i="22"/>
  <c r="X5" i="22"/>
  <c r="AB5" i="22"/>
  <c r="AD5" i="22"/>
  <c r="AF5" i="22"/>
  <c r="AH5" i="22"/>
  <c r="AJ5" i="22"/>
  <c r="E6" i="22"/>
  <c r="G6" i="22"/>
  <c r="I6" i="22"/>
  <c r="K6" i="22"/>
  <c r="M6" i="22"/>
  <c r="O6" i="22"/>
  <c r="R6" i="22"/>
  <c r="T6" i="22"/>
  <c r="V6" i="22"/>
  <c r="X6" i="22"/>
  <c r="AB6" i="22"/>
  <c r="AD6" i="22"/>
  <c r="AF6" i="22"/>
  <c r="AH6" i="22"/>
  <c r="AJ6" i="22"/>
  <c r="E7" i="22"/>
  <c r="G7" i="22"/>
  <c r="I7" i="22"/>
  <c r="K7" i="22"/>
  <c r="M7" i="22"/>
  <c r="O7" i="22"/>
  <c r="R7" i="22"/>
  <c r="T7" i="22"/>
  <c r="V7" i="22"/>
  <c r="X7" i="22"/>
  <c r="AB7" i="22"/>
  <c r="AD7" i="22"/>
  <c r="AF7" i="22"/>
  <c r="AH7" i="22"/>
  <c r="AJ7" i="22"/>
  <c r="E8" i="22"/>
  <c r="G8" i="22"/>
  <c r="I8" i="22"/>
  <c r="K8" i="22"/>
  <c r="M8" i="22"/>
  <c r="O8" i="22"/>
  <c r="R8" i="22"/>
  <c r="T8" i="22"/>
  <c r="V8" i="22"/>
  <c r="X8" i="22"/>
  <c r="AB8" i="22"/>
  <c r="AD8" i="22"/>
  <c r="AF8" i="22"/>
  <c r="AH8" i="22"/>
  <c r="AJ8" i="22"/>
  <c r="E9" i="22"/>
  <c r="G9" i="22"/>
  <c r="I9" i="22"/>
  <c r="K9" i="22"/>
  <c r="M9" i="22"/>
  <c r="O9" i="22"/>
  <c r="R9" i="22"/>
  <c r="T9" i="22"/>
  <c r="V9" i="22"/>
  <c r="X9" i="22"/>
  <c r="AB9" i="22"/>
  <c r="AD9" i="22"/>
  <c r="AF9" i="22"/>
  <c r="AH9" i="22"/>
  <c r="AJ9" i="22"/>
  <c r="E10" i="22"/>
  <c r="G10" i="22"/>
  <c r="I10" i="22"/>
  <c r="K10" i="22"/>
  <c r="M10" i="22"/>
  <c r="O10" i="22"/>
  <c r="R10" i="22"/>
  <c r="T10" i="22"/>
  <c r="V10" i="22"/>
  <c r="X10" i="22"/>
  <c r="AB10" i="22"/>
  <c r="AD10" i="22"/>
  <c r="AF10" i="22"/>
  <c r="AH10" i="22"/>
  <c r="AJ10" i="22"/>
  <c r="E11" i="22"/>
  <c r="G11" i="22"/>
  <c r="I11" i="22"/>
  <c r="K11" i="22"/>
  <c r="M11" i="22"/>
  <c r="O11" i="22"/>
  <c r="R11" i="22"/>
  <c r="T11" i="22"/>
  <c r="V11" i="22"/>
  <c r="X11" i="22"/>
  <c r="AB11" i="22"/>
  <c r="AD11" i="22"/>
  <c r="AF11" i="22"/>
  <c r="AH11" i="22"/>
  <c r="AJ11" i="22"/>
  <c r="E12" i="22"/>
  <c r="G12" i="22"/>
  <c r="I12" i="22"/>
  <c r="K12" i="22"/>
  <c r="M12" i="22"/>
  <c r="O12" i="22"/>
  <c r="R12" i="22"/>
  <c r="T12" i="22"/>
  <c r="V12" i="22"/>
  <c r="X12" i="22"/>
  <c r="AB12" i="22"/>
  <c r="AD12" i="22"/>
  <c r="AF12" i="22"/>
  <c r="AH12" i="22"/>
  <c r="AJ12" i="22"/>
  <c r="E13" i="22"/>
  <c r="G13" i="22"/>
  <c r="I13" i="22"/>
  <c r="K13" i="22"/>
  <c r="M13" i="22"/>
  <c r="O13" i="22"/>
  <c r="R13" i="22"/>
  <c r="T13" i="22"/>
  <c r="V13" i="22"/>
  <c r="X13" i="22"/>
  <c r="AB13" i="22"/>
  <c r="AD13" i="22"/>
  <c r="AF13" i="22"/>
  <c r="AH13" i="22"/>
  <c r="AJ13" i="22"/>
  <c r="E14" i="22"/>
  <c r="G14" i="22"/>
  <c r="I14" i="22"/>
  <c r="K14" i="22"/>
  <c r="M14" i="22"/>
  <c r="O14" i="22"/>
  <c r="R14" i="22"/>
  <c r="T14" i="22"/>
  <c r="V14" i="22"/>
  <c r="X14" i="22"/>
  <c r="AB14" i="22"/>
  <c r="AD14" i="22"/>
  <c r="AF14" i="22"/>
  <c r="AH14" i="22"/>
  <c r="AJ14" i="22"/>
  <c r="E15" i="22"/>
  <c r="G15" i="22"/>
  <c r="I15" i="22"/>
  <c r="K15" i="22"/>
  <c r="M15" i="22"/>
  <c r="O15" i="22"/>
  <c r="R15" i="22"/>
  <c r="T15" i="22"/>
  <c r="V15" i="22"/>
  <c r="X15" i="22"/>
  <c r="AB15" i="22"/>
  <c r="AD15" i="22"/>
  <c r="AF15" i="22"/>
  <c r="AH15" i="22"/>
  <c r="AJ15" i="22"/>
  <c r="E16" i="22"/>
  <c r="G16" i="22"/>
  <c r="I16" i="22"/>
  <c r="K16" i="22"/>
  <c r="M16" i="22"/>
  <c r="O16" i="22"/>
  <c r="R16" i="22"/>
  <c r="T16" i="22"/>
  <c r="V16" i="22"/>
  <c r="X16" i="22"/>
  <c r="AB16" i="22"/>
  <c r="AD16" i="22"/>
  <c r="AF16" i="22"/>
  <c r="AH16" i="22"/>
  <c r="AJ16" i="22"/>
  <c r="E17" i="22"/>
  <c r="G17" i="22"/>
  <c r="I17" i="22"/>
  <c r="K17" i="22"/>
  <c r="M17" i="22"/>
  <c r="O17" i="22"/>
  <c r="R17" i="22"/>
  <c r="T17" i="22"/>
  <c r="V17" i="22"/>
  <c r="X17" i="22"/>
  <c r="AB17" i="22"/>
  <c r="AD17" i="22"/>
  <c r="AF17" i="22"/>
  <c r="AH17" i="22"/>
  <c r="AJ17" i="22"/>
  <c r="E18" i="22"/>
  <c r="G18" i="22"/>
  <c r="I18" i="22"/>
  <c r="K18" i="22"/>
  <c r="M18" i="22"/>
  <c r="O18" i="22"/>
  <c r="R18" i="22"/>
  <c r="T18" i="22"/>
  <c r="V18" i="22"/>
  <c r="X18" i="22"/>
  <c r="AB18" i="22"/>
  <c r="AD18" i="22"/>
  <c r="AF18" i="22"/>
  <c r="AH18" i="22"/>
  <c r="AJ18" i="22"/>
  <c r="E19" i="22"/>
  <c r="G19" i="22"/>
  <c r="I19" i="22"/>
  <c r="K19" i="22"/>
  <c r="M19" i="22"/>
  <c r="O19" i="22"/>
  <c r="R19" i="22"/>
  <c r="T19" i="22"/>
  <c r="V19" i="22"/>
  <c r="X19" i="22"/>
  <c r="AB19" i="22"/>
  <c r="AD19" i="22"/>
  <c r="AF19" i="22"/>
  <c r="AH19" i="22"/>
  <c r="AJ19" i="22"/>
  <c r="E20" i="22"/>
  <c r="G20" i="22"/>
  <c r="I20" i="22"/>
  <c r="K20" i="22"/>
  <c r="M20" i="22"/>
  <c r="O20" i="22"/>
  <c r="R20" i="22"/>
  <c r="T20" i="22"/>
  <c r="V20" i="22"/>
  <c r="X20" i="22"/>
  <c r="AB20" i="22"/>
  <c r="AD20" i="22"/>
  <c r="AF20" i="22"/>
  <c r="AH20" i="22"/>
  <c r="AJ20" i="22"/>
  <c r="E21" i="22"/>
  <c r="G21" i="22"/>
  <c r="I21" i="22"/>
  <c r="K21" i="22"/>
  <c r="M21" i="22"/>
  <c r="O21" i="22"/>
  <c r="R21" i="22"/>
  <c r="T21" i="22"/>
  <c r="V21" i="22"/>
  <c r="X21" i="22"/>
  <c r="AB21" i="22"/>
  <c r="AD21" i="22"/>
  <c r="AF21" i="22"/>
  <c r="AH21" i="22"/>
  <c r="AJ21" i="22"/>
  <c r="E22" i="22"/>
  <c r="G22" i="22"/>
  <c r="I22" i="22"/>
  <c r="K22" i="22"/>
  <c r="M22" i="22"/>
  <c r="O22" i="22"/>
  <c r="R22" i="22"/>
  <c r="T22" i="22"/>
  <c r="V22" i="22"/>
  <c r="X22" i="22"/>
  <c r="AB22" i="22"/>
  <c r="AD22" i="22"/>
  <c r="AF22" i="22"/>
  <c r="AH22" i="22"/>
  <c r="AJ22" i="22"/>
  <c r="E23" i="22"/>
  <c r="G23" i="22"/>
  <c r="I23" i="22"/>
  <c r="K23" i="22"/>
  <c r="M23" i="22"/>
  <c r="O23" i="22"/>
  <c r="R23" i="22"/>
  <c r="T23" i="22"/>
  <c r="V23" i="22"/>
  <c r="X23" i="22"/>
  <c r="AB23" i="22"/>
  <c r="AD23" i="22"/>
  <c r="AF23" i="22"/>
  <c r="AH23" i="22"/>
  <c r="AJ23" i="22"/>
  <c r="E24" i="22"/>
  <c r="G24" i="22"/>
  <c r="I24" i="22"/>
  <c r="K24" i="22"/>
  <c r="M24" i="22"/>
  <c r="O24" i="22"/>
  <c r="R24" i="22"/>
  <c r="T24" i="22"/>
  <c r="V24" i="22"/>
  <c r="X24" i="22"/>
  <c r="AB24" i="22"/>
  <c r="AD24" i="22"/>
  <c r="AF24" i="22"/>
  <c r="AH24" i="22"/>
  <c r="AJ24" i="22"/>
  <c r="E25" i="22"/>
  <c r="G25" i="22"/>
  <c r="I25" i="22"/>
  <c r="K25" i="22"/>
  <c r="M25" i="22"/>
  <c r="O25" i="22"/>
  <c r="R25" i="22"/>
  <c r="T25" i="22"/>
  <c r="V25" i="22"/>
  <c r="X25" i="22"/>
  <c r="AB25" i="22"/>
  <c r="AD25" i="22"/>
  <c r="AF25" i="22"/>
  <c r="AH25" i="22"/>
  <c r="AJ25" i="22"/>
  <c r="E26" i="22"/>
  <c r="G26" i="22"/>
  <c r="I26" i="22"/>
  <c r="K26" i="22"/>
  <c r="M26" i="22"/>
  <c r="O26" i="22"/>
  <c r="R26" i="22"/>
  <c r="T26" i="22"/>
  <c r="V26" i="22"/>
  <c r="X26" i="22"/>
  <c r="AB26" i="22"/>
  <c r="AD26" i="22"/>
  <c r="AF26" i="22"/>
  <c r="AH26" i="22"/>
  <c r="AJ26" i="22"/>
  <c r="E27" i="22"/>
  <c r="G27" i="22"/>
  <c r="I27" i="22"/>
  <c r="K27" i="22"/>
  <c r="M27" i="22"/>
  <c r="O27" i="22"/>
  <c r="R27" i="22"/>
  <c r="T27" i="22"/>
  <c r="V27" i="22"/>
  <c r="X27" i="22"/>
  <c r="AB27" i="22"/>
  <c r="AD27" i="22"/>
  <c r="AF27" i="22"/>
  <c r="AH27" i="22"/>
  <c r="AJ27" i="22"/>
  <c r="E28" i="22"/>
  <c r="G28" i="22"/>
  <c r="I28" i="22"/>
  <c r="K28" i="22"/>
  <c r="M28" i="22"/>
  <c r="O28" i="22"/>
  <c r="R28" i="22"/>
  <c r="T28" i="22"/>
  <c r="V28" i="22"/>
  <c r="X28" i="22"/>
  <c r="AB28" i="22"/>
  <c r="AD28" i="22"/>
  <c r="AF28" i="22"/>
  <c r="AH28" i="22"/>
  <c r="AJ28" i="22"/>
  <c r="E29" i="22"/>
  <c r="G29" i="22"/>
  <c r="I29" i="22"/>
  <c r="K29" i="22"/>
  <c r="M29" i="22"/>
  <c r="O29" i="22"/>
  <c r="R29" i="22"/>
  <c r="T29" i="22"/>
  <c r="V29" i="22"/>
  <c r="X29" i="22"/>
  <c r="AB29" i="22"/>
  <c r="AD29" i="22"/>
  <c r="AF29" i="22"/>
  <c r="AH29" i="22"/>
  <c r="AJ29" i="22"/>
  <c r="E30" i="22"/>
  <c r="G30" i="22"/>
  <c r="I30" i="22"/>
  <c r="K30" i="22"/>
  <c r="M30" i="22"/>
  <c r="O30" i="22"/>
  <c r="R30" i="22"/>
  <c r="T30" i="22"/>
  <c r="V30" i="22"/>
  <c r="X30" i="22"/>
  <c r="AB30" i="22"/>
  <c r="AD30" i="22"/>
  <c r="AF30" i="22"/>
  <c r="AH30" i="22"/>
  <c r="AJ30" i="22"/>
  <c r="E31" i="22"/>
  <c r="G31" i="22"/>
  <c r="I31" i="22"/>
  <c r="K31" i="22"/>
  <c r="M31" i="22"/>
  <c r="O31" i="22"/>
  <c r="R31" i="22"/>
  <c r="T31" i="22"/>
  <c r="V31" i="22"/>
  <c r="X31" i="22"/>
  <c r="AB31" i="22"/>
  <c r="AD31" i="22"/>
  <c r="AF31" i="22"/>
  <c r="AH31" i="22"/>
  <c r="AJ31" i="22"/>
  <c r="E32" i="22"/>
  <c r="G32" i="22"/>
  <c r="I32" i="22"/>
  <c r="K32" i="22"/>
  <c r="M32" i="22"/>
  <c r="O32" i="22"/>
  <c r="R32" i="22"/>
  <c r="T32" i="22"/>
  <c r="V32" i="22"/>
  <c r="X32" i="22"/>
  <c r="AB32" i="22"/>
  <c r="AD32" i="22"/>
  <c r="AF32" i="22"/>
  <c r="AH32" i="22"/>
  <c r="AJ32" i="22"/>
  <c r="E33" i="22"/>
  <c r="G33" i="22"/>
  <c r="I33" i="22"/>
  <c r="K33" i="22"/>
  <c r="M33" i="22"/>
  <c r="O33" i="22"/>
  <c r="R33" i="22"/>
  <c r="T33" i="22"/>
  <c r="V33" i="22"/>
  <c r="X33" i="22"/>
  <c r="AB33" i="22"/>
  <c r="AD33" i="22"/>
  <c r="AF33" i="22"/>
  <c r="AH33" i="22"/>
  <c r="AJ33" i="22"/>
  <c r="E34" i="22"/>
  <c r="G34" i="22"/>
  <c r="I34" i="22"/>
  <c r="K34" i="22"/>
  <c r="M34" i="22"/>
  <c r="O34" i="22"/>
  <c r="R34" i="22"/>
  <c r="T34" i="22"/>
  <c r="V34" i="22"/>
  <c r="X34" i="22"/>
  <c r="AB34" i="22"/>
  <c r="AD34" i="22"/>
  <c r="AF34" i="22"/>
  <c r="AH34" i="22"/>
  <c r="AJ34" i="22"/>
  <c r="E35" i="22"/>
  <c r="G35" i="22"/>
  <c r="I35" i="22"/>
  <c r="K35" i="22"/>
  <c r="M35" i="22"/>
  <c r="O35" i="22"/>
  <c r="R35" i="22"/>
  <c r="T35" i="22"/>
  <c r="V35" i="22"/>
  <c r="X35" i="22"/>
  <c r="AB35" i="22"/>
  <c r="AD35" i="22"/>
  <c r="AF35" i="22"/>
  <c r="AH35" i="22"/>
  <c r="AJ35" i="22"/>
  <c r="E36" i="22"/>
  <c r="G36" i="22"/>
  <c r="I36" i="22"/>
  <c r="K36" i="22"/>
  <c r="M36" i="22"/>
  <c r="O36" i="22"/>
  <c r="R36" i="22"/>
  <c r="T36" i="22"/>
  <c r="V36" i="22"/>
  <c r="X36" i="22"/>
  <c r="AB36" i="22"/>
  <c r="AD36" i="22"/>
  <c r="AF36" i="22"/>
  <c r="AH36" i="22"/>
  <c r="AJ36" i="22"/>
  <c r="E37" i="22"/>
  <c r="G37" i="22"/>
  <c r="I37" i="22"/>
  <c r="K37" i="22"/>
  <c r="M37" i="22"/>
  <c r="O37" i="22"/>
  <c r="R37" i="22"/>
  <c r="T37" i="22"/>
  <c r="V37" i="22"/>
  <c r="X37" i="22"/>
  <c r="AB37" i="22"/>
  <c r="AD37" i="22"/>
  <c r="AF37" i="22"/>
  <c r="AH37" i="22"/>
  <c r="AJ37" i="22"/>
  <c r="AN39" i="22"/>
  <c r="E2" i="21"/>
  <c r="G2" i="21"/>
  <c r="I2" i="21"/>
  <c r="K2" i="21"/>
  <c r="M2" i="21"/>
  <c r="P2" i="21"/>
  <c r="R2" i="21"/>
  <c r="V2" i="21"/>
  <c r="X2" i="21"/>
  <c r="Z2" i="21"/>
  <c r="AA2" i="21"/>
  <c r="AB2" i="21"/>
  <c r="T2" i="21" s="1"/>
  <c r="E3" i="21"/>
  <c r="G3" i="21"/>
  <c r="I3" i="21"/>
  <c r="K3" i="21"/>
  <c r="M3" i="21"/>
  <c r="P3" i="21"/>
  <c r="R3" i="21"/>
  <c r="V3" i="21"/>
  <c r="X3" i="21"/>
  <c r="Z3" i="21"/>
  <c r="AA3" i="21"/>
  <c r="AB3" i="21"/>
  <c r="T3" i="21" s="1"/>
  <c r="E4" i="21"/>
  <c r="G4" i="21"/>
  <c r="I4" i="21"/>
  <c r="K4" i="21"/>
  <c r="M4" i="21"/>
  <c r="P4" i="21"/>
  <c r="R4" i="21"/>
  <c r="V4" i="21"/>
  <c r="X4" i="21"/>
  <c r="Z4" i="21"/>
  <c r="AA4" i="21"/>
  <c r="AB4" i="21"/>
  <c r="T4" i="21" s="1"/>
  <c r="E5" i="21"/>
  <c r="G5" i="21"/>
  <c r="I5" i="21"/>
  <c r="K5" i="21"/>
  <c r="M5" i="21"/>
  <c r="P5" i="21"/>
  <c r="R5" i="21"/>
  <c r="V5" i="21"/>
  <c r="X5" i="21"/>
  <c r="Z5" i="21"/>
  <c r="AA5" i="21"/>
  <c r="AB5" i="21"/>
  <c r="T5" i="21" s="1"/>
  <c r="E6" i="21"/>
  <c r="G6" i="21"/>
  <c r="I6" i="21"/>
  <c r="K6" i="21"/>
  <c r="M6" i="21"/>
  <c r="P6" i="21"/>
  <c r="R6" i="21"/>
  <c r="V6" i="21"/>
  <c r="X6" i="21"/>
  <c r="Z6" i="21"/>
  <c r="AA6" i="21"/>
  <c r="AB6" i="21"/>
  <c r="T6" i="21" s="1"/>
  <c r="E7" i="21"/>
  <c r="G7" i="21"/>
  <c r="I7" i="21"/>
  <c r="K7" i="21"/>
  <c r="M7" i="21"/>
  <c r="P7" i="21"/>
  <c r="R7" i="21"/>
  <c r="V7" i="21"/>
  <c r="X7" i="21"/>
  <c r="Z7" i="21"/>
  <c r="AA7" i="21"/>
  <c r="AB7" i="21"/>
  <c r="T7" i="21" s="1"/>
  <c r="E8" i="21"/>
  <c r="G8" i="21"/>
  <c r="I8" i="21"/>
  <c r="K8" i="21"/>
  <c r="M8" i="21"/>
  <c r="P8" i="21"/>
  <c r="R8" i="21"/>
  <c r="V8" i="21"/>
  <c r="X8" i="21"/>
  <c r="Z8" i="21"/>
  <c r="AA8" i="21"/>
  <c r="AB8" i="21"/>
  <c r="T8" i="21" s="1"/>
  <c r="E9" i="21"/>
  <c r="G9" i="21"/>
  <c r="I9" i="21"/>
  <c r="K9" i="21"/>
  <c r="M9" i="21"/>
  <c r="P9" i="21"/>
  <c r="R9" i="21"/>
  <c r="V9" i="21"/>
  <c r="Z9" i="21"/>
  <c r="AA9" i="21"/>
  <c r="AB9" i="21"/>
  <c r="T9" i="21" s="1"/>
  <c r="E10" i="21"/>
  <c r="G10" i="21"/>
  <c r="I10" i="21"/>
  <c r="K10" i="21"/>
  <c r="M10" i="21"/>
  <c r="P10" i="21"/>
  <c r="R10" i="21"/>
  <c r="V10" i="21"/>
  <c r="X10" i="21"/>
  <c r="Z10" i="21"/>
  <c r="AA10" i="21"/>
  <c r="AB10" i="21"/>
  <c r="T10" i="21" s="1"/>
  <c r="E11" i="21"/>
  <c r="G11" i="21"/>
  <c r="I11" i="21"/>
  <c r="K11" i="21"/>
  <c r="M11" i="21"/>
  <c r="P11" i="21"/>
  <c r="R11" i="21"/>
  <c r="V11" i="21"/>
  <c r="X11" i="21"/>
  <c r="Z11" i="21"/>
  <c r="AA11" i="21"/>
  <c r="AB11" i="21"/>
  <c r="T11" i="21" s="1"/>
  <c r="E12" i="21"/>
  <c r="G12" i="21"/>
  <c r="I12" i="21"/>
  <c r="K12" i="21"/>
  <c r="M12" i="21"/>
  <c r="P12" i="21"/>
  <c r="R12" i="21"/>
  <c r="V12" i="21"/>
  <c r="X12" i="21"/>
  <c r="Z12" i="21"/>
  <c r="AA12" i="21"/>
  <c r="AB12" i="21"/>
  <c r="T12" i="21" s="1"/>
  <c r="E13" i="21"/>
  <c r="G13" i="21"/>
  <c r="I13" i="21"/>
  <c r="K13" i="21"/>
  <c r="M13" i="21"/>
  <c r="P13" i="21"/>
  <c r="R13" i="21"/>
  <c r="V13" i="21"/>
  <c r="X13" i="21"/>
  <c r="Z13" i="21"/>
  <c r="AA13" i="21"/>
  <c r="AB13" i="21"/>
  <c r="T13" i="21" s="1"/>
  <c r="E14" i="21"/>
  <c r="G14" i="21"/>
  <c r="I14" i="21"/>
  <c r="K14" i="21"/>
  <c r="M14" i="21"/>
  <c r="P14" i="21"/>
  <c r="R14" i="21"/>
  <c r="V14" i="21"/>
  <c r="X14" i="21"/>
  <c r="Z14" i="21"/>
  <c r="AA14" i="21"/>
  <c r="AB14" i="21"/>
  <c r="T14" i="21" s="1"/>
  <c r="E15" i="21"/>
  <c r="G15" i="21"/>
  <c r="I15" i="21"/>
  <c r="K15" i="21"/>
  <c r="M15" i="21"/>
  <c r="P15" i="21"/>
  <c r="R15" i="21"/>
  <c r="V15" i="21"/>
  <c r="X15" i="21"/>
  <c r="Z15" i="21"/>
  <c r="AA15" i="21"/>
  <c r="AB15" i="21"/>
  <c r="T15" i="21" s="1"/>
  <c r="E16" i="21"/>
  <c r="G16" i="21"/>
  <c r="I16" i="21"/>
  <c r="K16" i="21"/>
  <c r="M16" i="21"/>
  <c r="P16" i="21"/>
  <c r="R16" i="21"/>
  <c r="V16" i="21"/>
  <c r="X16" i="21"/>
  <c r="Z16" i="21"/>
  <c r="AA16" i="21"/>
  <c r="AB16" i="21"/>
  <c r="T16" i="21"/>
  <c r="E17" i="21"/>
  <c r="G17" i="21"/>
  <c r="I17" i="21"/>
  <c r="K17" i="21"/>
  <c r="M17" i="21"/>
  <c r="P17" i="21"/>
  <c r="R17" i="21"/>
  <c r="V17" i="21"/>
  <c r="X17" i="21"/>
  <c r="Z17" i="21"/>
  <c r="AA17" i="21"/>
  <c r="AB17" i="21"/>
  <c r="T17" i="21" s="1"/>
  <c r="E18" i="21"/>
  <c r="G18" i="21"/>
  <c r="I18" i="21"/>
  <c r="K18" i="21"/>
  <c r="M18" i="21"/>
  <c r="P18" i="21"/>
  <c r="R18" i="21"/>
  <c r="V18" i="21"/>
  <c r="X18" i="21"/>
  <c r="Z18" i="21"/>
  <c r="AA18" i="21"/>
  <c r="AB18" i="21"/>
  <c r="T18" i="21" s="1"/>
  <c r="E19" i="21"/>
  <c r="G19" i="21"/>
  <c r="I19" i="21"/>
  <c r="K19" i="21"/>
  <c r="M19" i="21"/>
  <c r="P19" i="21"/>
  <c r="R19" i="21"/>
  <c r="V19" i="21"/>
  <c r="X19" i="21"/>
  <c r="Z19" i="21"/>
  <c r="AA19" i="21"/>
  <c r="AB19" i="21"/>
  <c r="T19" i="21" s="1"/>
  <c r="E20" i="21"/>
  <c r="G20" i="21"/>
  <c r="I20" i="21"/>
  <c r="K20" i="21"/>
  <c r="M20" i="21"/>
  <c r="P20" i="21"/>
  <c r="R20" i="21"/>
  <c r="V20" i="21"/>
  <c r="X20" i="21"/>
  <c r="Z20" i="21"/>
  <c r="AA20" i="21"/>
  <c r="AB20" i="21"/>
  <c r="T20" i="21" s="1"/>
  <c r="E21" i="21"/>
  <c r="G21" i="21"/>
  <c r="I21" i="21"/>
  <c r="K21" i="21"/>
  <c r="M21" i="21"/>
  <c r="P21" i="21"/>
  <c r="R21" i="21"/>
  <c r="V21" i="21"/>
  <c r="X21" i="21"/>
  <c r="Z21" i="21"/>
  <c r="AA21" i="21"/>
  <c r="AB21" i="21"/>
  <c r="T21" i="21" s="1"/>
  <c r="E22" i="21"/>
  <c r="G22" i="21"/>
  <c r="I22" i="21"/>
  <c r="K22" i="21"/>
  <c r="M22" i="21"/>
  <c r="P22" i="21"/>
  <c r="R22" i="21"/>
  <c r="V22" i="21"/>
  <c r="X22" i="21"/>
  <c r="Z22" i="21"/>
  <c r="AA22" i="21"/>
  <c r="AB22" i="21"/>
  <c r="T22" i="21" s="1"/>
  <c r="E23" i="21"/>
  <c r="G23" i="21"/>
  <c r="I23" i="21"/>
  <c r="K23" i="21"/>
  <c r="M23" i="21"/>
  <c r="P23" i="21"/>
  <c r="R23" i="21"/>
  <c r="V23" i="21"/>
  <c r="X23" i="21"/>
  <c r="Z23" i="21"/>
  <c r="AA23" i="21"/>
  <c r="AB23" i="21"/>
  <c r="T23" i="21" s="1"/>
  <c r="E24" i="21"/>
  <c r="G24" i="21"/>
  <c r="I24" i="21"/>
  <c r="K24" i="21"/>
  <c r="M24" i="21"/>
  <c r="P24" i="21"/>
  <c r="R24" i="21"/>
  <c r="V24" i="21"/>
  <c r="X24" i="21"/>
  <c r="Z24" i="21"/>
  <c r="AA24" i="21"/>
  <c r="AB24" i="21"/>
  <c r="T24" i="21"/>
  <c r="E25" i="21"/>
  <c r="G25" i="21"/>
  <c r="I25" i="21"/>
  <c r="K25" i="21"/>
  <c r="M25" i="21"/>
  <c r="P25" i="21"/>
  <c r="R25" i="21"/>
  <c r="V25" i="21"/>
  <c r="X25" i="21"/>
  <c r="Z25" i="21"/>
  <c r="AA25" i="21"/>
  <c r="AB25" i="21"/>
  <c r="T25" i="21" s="1"/>
  <c r="E26" i="21"/>
  <c r="G26" i="21"/>
  <c r="I26" i="21"/>
  <c r="K26" i="21"/>
  <c r="M26" i="21"/>
  <c r="P26" i="21"/>
  <c r="R26" i="21"/>
  <c r="V26" i="21"/>
  <c r="X26" i="21"/>
  <c r="Z26" i="21"/>
  <c r="AA26" i="21"/>
  <c r="AB26" i="21"/>
  <c r="T26" i="21" s="1"/>
  <c r="E27" i="21"/>
  <c r="G27" i="21"/>
  <c r="I27" i="21"/>
  <c r="K27" i="21"/>
  <c r="M27" i="21"/>
  <c r="P27" i="21"/>
  <c r="R27" i="21"/>
  <c r="V27" i="21"/>
  <c r="X27" i="21"/>
  <c r="Z27" i="21"/>
  <c r="AA27" i="21"/>
  <c r="AB27" i="21"/>
  <c r="T27" i="21" s="1"/>
  <c r="E28" i="21"/>
  <c r="G28" i="21"/>
  <c r="I28" i="21"/>
  <c r="K28" i="21"/>
  <c r="M28" i="21"/>
  <c r="P28" i="21"/>
  <c r="R28" i="21"/>
  <c r="V28" i="21"/>
  <c r="X28" i="21"/>
  <c r="Z28" i="21"/>
  <c r="AA28" i="21"/>
  <c r="AB28" i="21"/>
  <c r="T28" i="21" s="1"/>
  <c r="E29" i="21"/>
  <c r="G29" i="21"/>
  <c r="I29" i="21"/>
  <c r="K29" i="21"/>
  <c r="M29" i="21"/>
  <c r="P29" i="21"/>
  <c r="R29" i="21"/>
  <c r="V29" i="21"/>
  <c r="X29" i="21"/>
  <c r="Z29" i="21"/>
  <c r="AA29" i="21"/>
  <c r="AB29" i="21"/>
  <c r="T29" i="21" s="1"/>
  <c r="E30" i="21"/>
  <c r="G30" i="21"/>
  <c r="I30" i="21"/>
  <c r="K30" i="21"/>
  <c r="M30" i="21"/>
  <c r="P30" i="21"/>
  <c r="R30" i="21"/>
  <c r="V30" i="21"/>
  <c r="X30" i="21"/>
  <c r="Z30" i="21"/>
  <c r="AA30" i="21"/>
  <c r="AB30" i="21"/>
  <c r="T30" i="21" s="1"/>
  <c r="E31" i="21"/>
  <c r="G31" i="21"/>
  <c r="I31" i="21"/>
  <c r="K31" i="21"/>
  <c r="M31" i="21"/>
  <c r="P31" i="21"/>
  <c r="R31" i="21"/>
  <c r="V31" i="21"/>
  <c r="X31" i="21"/>
  <c r="Z31" i="21"/>
  <c r="AA31" i="21"/>
  <c r="AB31" i="21"/>
  <c r="T31" i="21" s="1"/>
  <c r="E32" i="21"/>
  <c r="G32" i="21"/>
  <c r="I32" i="21"/>
  <c r="K32" i="21"/>
  <c r="M32" i="21"/>
  <c r="P32" i="21"/>
  <c r="R32" i="21"/>
  <c r="V32" i="21"/>
  <c r="X32" i="21"/>
  <c r="Z32" i="21"/>
  <c r="AA32" i="21"/>
  <c r="AB32" i="21"/>
  <c r="T32" i="21"/>
  <c r="E33" i="21"/>
  <c r="G33" i="21"/>
  <c r="I33" i="21"/>
  <c r="K33" i="21"/>
  <c r="M33" i="21"/>
  <c r="P33" i="21"/>
  <c r="R33" i="21"/>
  <c r="V33" i="21"/>
  <c r="X33" i="21"/>
  <c r="Z33" i="21"/>
  <c r="AA33" i="21"/>
  <c r="AB33" i="21"/>
  <c r="T33" i="21" s="1"/>
  <c r="E34" i="21"/>
  <c r="G34" i="21"/>
  <c r="I34" i="21"/>
  <c r="K34" i="21"/>
  <c r="M34" i="21"/>
  <c r="P34" i="21"/>
  <c r="R34" i="21"/>
  <c r="V34" i="21"/>
  <c r="X34" i="21"/>
  <c r="Z34" i="21"/>
  <c r="AA34" i="21"/>
  <c r="AB34" i="21"/>
  <c r="T34" i="21" s="1"/>
  <c r="E35" i="21"/>
  <c r="G35" i="21"/>
  <c r="I35" i="21"/>
  <c r="K35" i="21"/>
  <c r="M35" i="21"/>
  <c r="P35" i="21"/>
  <c r="R35" i="21"/>
  <c r="V35" i="21"/>
  <c r="X35" i="21"/>
  <c r="Z35" i="21"/>
  <c r="AA35" i="21"/>
  <c r="AB35" i="21"/>
  <c r="T35" i="21" s="1"/>
  <c r="E36" i="21"/>
  <c r="G36" i="21"/>
  <c r="I36" i="21"/>
  <c r="K36" i="21"/>
  <c r="M36" i="21"/>
  <c r="P36" i="21"/>
  <c r="R36" i="21"/>
  <c r="V36" i="21"/>
  <c r="X36" i="21"/>
  <c r="Z36" i="21"/>
  <c r="AA36" i="21"/>
  <c r="AB36" i="21"/>
  <c r="T36" i="21" s="1"/>
  <c r="E37" i="21"/>
  <c r="G37" i="21"/>
  <c r="I37" i="21"/>
  <c r="K37" i="21"/>
  <c r="M37" i="21"/>
  <c r="P37" i="21"/>
  <c r="R37" i="21"/>
  <c r="V37" i="21"/>
  <c r="X37" i="21"/>
  <c r="Z37" i="21"/>
  <c r="AA37" i="21"/>
  <c r="AB37" i="21"/>
  <c r="T37" i="21" s="1"/>
  <c r="E4" i="20"/>
  <c r="G4" i="20"/>
  <c r="I4" i="20"/>
  <c r="K4" i="20"/>
  <c r="M4" i="20"/>
  <c r="P4" i="20"/>
  <c r="R4" i="20"/>
  <c r="E3" i="20"/>
  <c r="G3" i="20"/>
  <c r="I3" i="20"/>
  <c r="K3" i="20"/>
  <c r="M3" i="20"/>
  <c r="P3" i="20"/>
  <c r="R3" i="20"/>
  <c r="E5" i="20"/>
  <c r="G5" i="20"/>
  <c r="I5" i="20"/>
  <c r="K5" i="20"/>
  <c r="M5" i="20"/>
  <c r="P5" i="20"/>
  <c r="R5" i="20"/>
  <c r="E6" i="20"/>
  <c r="G6" i="20"/>
  <c r="I6" i="20"/>
  <c r="K6" i="20"/>
  <c r="M6" i="20"/>
  <c r="P6" i="20"/>
  <c r="Q6" i="20"/>
  <c r="R6" i="20" s="1"/>
  <c r="E7" i="20"/>
  <c r="G7" i="20"/>
  <c r="I7" i="20"/>
  <c r="K7" i="20"/>
  <c r="M7" i="20"/>
  <c r="P7" i="20"/>
  <c r="R7" i="20"/>
  <c r="E8" i="20"/>
  <c r="G8" i="20"/>
  <c r="I8" i="20"/>
  <c r="K8" i="20"/>
  <c r="M8" i="20"/>
  <c r="P8" i="20"/>
  <c r="R8" i="20"/>
  <c r="E9" i="20"/>
  <c r="G9" i="20"/>
  <c r="I9" i="20"/>
  <c r="K9" i="20"/>
  <c r="M9" i="20"/>
  <c r="P9" i="20"/>
  <c r="Q9" i="20"/>
  <c r="R9" i="20" s="1"/>
  <c r="E10" i="20"/>
  <c r="G10" i="20"/>
  <c r="I10" i="20"/>
  <c r="K10" i="20"/>
  <c r="M10" i="20"/>
  <c r="P10" i="20"/>
  <c r="Q10" i="20"/>
  <c r="R10" i="20" s="1"/>
  <c r="E11" i="20"/>
  <c r="G11" i="20"/>
  <c r="I11" i="20"/>
  <c r="K11" i="20"/>
  <c r="M11" i="20"/>
  <c r="P11" i="20"/>
  <c r="Q11" i="20"/>
  <c r="R11" i="20" s="1"/>
  <c r="E12" i="20"/>
  <c r="G12" i="20"/>
  <c r="I12" i="20"/>
  <c r="K12" i="20"/>
  <c r="M12" i="20"/>
  <c r="P12" i="20"/>
  <c r="Q12" i="20"/>
  <c r="R12" i="20" s="1"/>
  <c r="E13" i="20"/>
  <c r="G13" i="20"/>
  <c r="I13" i="20"/>
  <c r="K13" i="20"/>
  <c r="M13" i="20"/>
  <c r="P13" i="20"/>
  <c r="Q13" i="20"/>
  <c r="R13" i="20" s="1"/>
  <c r="E14" i="20"/>
  <c r="G14" i="20"/>
  <c r="I14" i="20"/>
  <c r="K14" i="20"/>
  <c r="M14" i="20"/>
  <c r="P14" i="20"/>
  <c r="R14" i="20"/>
  <c r="E15" i="20"/>
  <c r="G15" i="20"/>
  <c r="I15" i="20"/>
  <c r="K15" i="20"/>
  <c r="M15" i="20"/>
  <c r="P15" i="20"/>
  <c r="Q15" i="20"/>
  <c r="R15" i="20" s="1"/>
  <c r="E16" i="20"/>
  <c r="G16" i="20"/>
  <c r="I16" i="20"/>
  <c r="K16" i="20"/>
  <c r="M16" i="20"/>
  <c r="P16" i="20"/>
  <c r="Q16" i="20"/>
  <c r="R16" i="20" s="1"/>
  <c r="E17" i="20"/>
  <c r="G17" i="20"/>
  <c r="I17" i="20"/>
  <c r="K17" i="20"/>
  <c r="M17" i="20"/>
  <c r="P17" i="20"/>
  <c r="R17" i="20"/>
  <c r="E18" i="20"/>
  <c r="G18" i="20"/>
  <c r="I18" i="20"/>
  <c r="K18" i="20"/>
  <c r="M18" i="20"/>
  <c r="P18" i="20"/>
  <c r="Q18" i="20"/>
  <c r="R18" i="20" s="1"/>
  <c r="E19" i="20"/>
  <c r="G19" i="20"/>
  <c r="I19" i="20"/>
  <c r="K19" i="20"/>
  <c r="M19" i="20"/>
  <c r="P19" i="20"/>
  <c r="R19" i="20"/>
  <c r="E20" i="20"/>
  <c r="G20" i="20"/>
  <c r="I20" i="20"/>
  <c r="K20" i="20"/>
  <c r="M20" i="20"/>
  <c r="P20" i="20"/>
  <c r="Q20" i="20"/>
  <c r="R20" i="20" s="1"/>
  <c r="E21" i="20"/>
  <c r="G21" i="20"/>
  <c r="I21" i="20"/>
  <c r="K21" i="20"/>
  <c r="M21" i="20"/>
  <c r="P21" i="20"/>
  <c r="Q21" i="20"/>
  <c r="R21" i="20" s="1"/>
  <c r="E22" i="20"/>
  <c r="G22" i="20"/>
  <c r="I22" i="20"/>
  <c r="K22" i="20"/>
  <c r="M22" i="20"/>
  <c r="P22" i="20"/>
  <c r="R22" i="20"/>
  <c r="E23" i="20"/>
  <c r="G23" i="20"/>
  <c r="I23" i="20"/>
  <c r="K23" i="20"/>
  <c r="M23" i="20"/>
  <c r="P23" i="20"/>
  <c r="Q23" i="20"/>
  <c r="R23" i="20" s="1"/>
  <c r="E24" i="20"/>
  <c r="G24" i="20"/>
  <c r="I24" i="20"/>
  <c r="K24" i="20"/>
  <c r="M24" i="20"/>
  <c r="P24" i="20"/>
  <c r="Q24" i="20"/>
  <c r="R24" i="20" s="1"/>
  <c r="E25" i="20"/>
  <c r="G25" i="20"/>
  <c r="I25" i="20"/>
  <c r="K25" i="20"/>
  <c r="M25" i="20"/>
  <c r="P25" i="20"/>
  <c r="Q25" i="20"/>
  <c r="R25" i="20" s="1"/>
  <c r="D26" i="20"/>
  <c r="G26" i="20"/>
  <c r="I26" i="20"/>
  <c r="K26" i="20"/>
  <c r="M26" i="20"/>
  <c r="P26" i="20"/>
  <c r="R26" i="20"/>
  <c r="E27" i="20"/>
  <c r="G27" i="20"/>
  <c r="I27" i="20"/>
  <c r="K27" i="20"/>
  <c r="M27" i="20"/>
  <c r="P27" i="20"/>
  <c r="R27" i="20"/>
  <c r="E28" i="20"/>
  <c r="G28" i="20"/>
  <c r="H28" i="20"/>
  <c r="I28" i="20" s="1"/>
  <c r="K28" i="20"/>
  <c r="M28" i="20"/>
  <c r="P28" i="20"/>
  <c r="Q28" i="20"/>
  <c r="R28" i="20" s="1"/>
  <c r="E29" i="20"/>
  <c r="G29" i="20"/>
  <c r="I29" i="20"/>
  <c r="K29" i="20"/>
  <c r="M29" i="20"/>
  <c r="P29" i="20"/>
  <c r="R29" i="20"/>
  <c r="E30" i="20"/>
  <c r="G30" i="20"/>
  <c r="I30" i="20"/>
  <c r="K30" i="20"/>
  <c r="M30" i="20"/>
  <c r="P30" i="20"/>
  <c r="Q30" i="20"/>
  <c r="R30" i="20"/>
  <c r="E31" i="20"/>
  <c r="G31" i="20"/>
  <c r="I31" i="20"/>
  <c r="K31" i="20"/>
  <c r="M31" i="20"/>
  <c r="P31" i="20"/>
  <c r="R31" i="20"/>
  <c r="E32" i="20"/>
  <c r="G32" i="20"/>
  <c r="I32" i="20"/>
  <c r="K32" i="20"/>
  <c r="M32" i="20"/>
  <c r="O32" i="20"/>
  <c r="Q32" i="20"/>
  <c r="R32" i="20" s="1"/>
  <c r="E33" i="20"/>
  <c r="G33" i="20"/>
  <c r="I33" i="20"/>
  <c r="K33" i="20"/>
  <c r="M33" i="20"/>
  <c r="P33" i="20"/>
  <c r="R33" i="20"/>
  <c r="E34" i="20"/>
  <c r="G34" i="20"/>
  <c r="I34" i="20"/>
  <c r="K34" i="20"/>
  <c r="M34" i="20"/>
  <c r="P34" i="20"/>
  <c r="Q34" i="20"/>
  <c r="R34" i="20"/>
  <c r="E35" i="20"/>
  <c r="G35" i="20"/>
  <c r="I35" i="20"/>
  <c r="K35" i="20"/>
  <c r="M35" i="20"/>
  <c r="P35" i="20"/>
  <c r="R35" i="20"/>
  <c r="E36" i="20"/>
  <c r="G36" i="20"/>
  <c r="I36" i="20"/>
  <c r="K36" i="20"/>
  <c r="M36" i="20"/>
  <c r="P36" i="20"/>
  <c r="R36" i="20"/>
  <c r="E37" i="20"/>
  <c r="G37" i="20"/>
  <c r="I37" i="20"/>
  <c r="K37" i="20"/>
  <c r="M37" i="20"/>
  <c r="P37" i="20"/>
  <c r="Q37" i="20"/>
  <c r="R37" i="20"/>
  <c r="E38" i="20"/>
  <c r="G38" i="20"/>
  <c r="H38" i="20"/>
  <c r="I38" i="20"/>
  <c r="K38" i="20"/>
  <c r="M38" i="20"/>
  <c r="P38" i="20"/>
  <c r="Q38" i="20"/>
  <c r="R38" i="20" s="1"/>
  <c r="D4" i="19"/>
  <c r="F4" i="19"/>
  <c r="H4" i="19"/>
  <c r="J4" i="19"/>
  <c r="L4" i="19"/>
  <c r="O4" i="19"/>
  <c r="Q4" i="19"/>
  <c r="D3" i="19"/>
  <c r="F3" i="19"/>
  <c r="H3" i="19"/>
  <c r="J3" i="19"/>
  <c r="L3" i="19"/>
  <c r="O3" i="19"/>
  <c r="P3" i="19"/>
  <c r="Q3" i="19" s="1"/>
  <c r="D5" i="19"/>
  <c r="F5" i="19"/>
  <c r="H5" i="19"/>
  <c r="J5" i="19"/>
  <c r="L5" i="19"/>
  <c r="O5" i="19"/>
  <c r="P5" i="19"/>
  <c r="Q5" i="19" s="1"/>
  <c r="D6" i="19"/>
  <c r="F6" i="19"/>
  <c r="H6" i="19"/>
  <c r="J6" i="19"/>
  <c r="L6" i="19"/>
  <c r="O6" i="19"/>
  <c r="P6" i="19"/>
  <c r="Q6" i="19" s="1"/>
  <c r="D7" i="19"/>
  <c r="F7" i="19"/>
  <c r="H7" i="19"/>
  <c r="J7" i="19"/>
  <c r="L7" i="19"/>
  <c r="O7" i="19"/>
  <c r="P7" i="19"/>
  <c r="Q7" i="19" s="1"/>
  <c r="D8" i="19"/>
  <c r="F8" i="19"/>
  <c r="H8" i="19"/>
  <c r="J8" i="19"/>
  <c r="L8" i="19"/>
  <c r="O8" i="19"/>
  <c r="Q8" i="19"/>
  <c r="D9" i="19"/>
  <c r="F9" i="19"/>
  <c r="H9" i="19"/>
  <c r="J9" i="19"/>
  <c r="L9" i="19"/>
  <c r="O9" i="19"/>
  <c r="P9" i="19"/>
  <c r="Q9" i="19" s="1"/>
  <c r="D10" i="19"/>
  <c r="F10" i="19"/>
  <c r="H10" i="19"/>
  <c r="J10" i="19"/>
  <c r="L10" i="19"/>
  <c r="O10" i="19"/>
  <c r="P10" i="19"/>
  <c r="Q10" i="19" s="1"/>
  <c r="D11" i="19"/>
  <c r="F11" i="19"/>
  <c r="H11" i="19"/>
  <c r="J11" i="19"/>
  <c r="L11" i="19"/>
  <c r="O11" i="19"/>
  <c r="P11" i="19"/>
  <c r="Q11" i="19" s="1"/>
  <c r="D12" i="19"/>
  <c r="F12" i="19"/>
  <c r="H12" i="19"/>
  <c r="J12" i="19"/>
  <c r="L12" i="19"/>
  <c r="O12" i="19"/>
  <c r="Q12" i="19"/>
  <c r="D13" i="19"/>
  <c r="F13" i="19"/>
  <c r="H13" i="19"/>
  <c r="J13" i="19"/>
  <c r="L13" i="19"/>
  <c r="O13" i="19"/>
  <c r="P13" i="19"/>
  <c r="Q13" i="19" s="1"/>
  <c r="D14" i="19"/>
  <c r="F14" i="19"/>
  <c r="H14" i="19"/>
  <c r="J14" i="19"/>
  <c r="L14" i="19"/>
  <c r="O14" i="19"/>
  <c r="P14" i="19"/>
  <c r="Q14" i="19" s="1"/>
  <c r="D15" i="19"/>
  <c r="F15" i="19"/>
  <c r="H15" i="19"/>
  <c r="J15" i="19"/>
  <c r="L15" i="19"/>
  <c r="O15" i="19"/>
  <c r="Q15" i="19"/>
  <c r="D16" i="19"/>
  <c r="F16" i="19"/>
  <c r="H16" i="19"/>
  <c r="J16" i="19"/>
  <c r="L16" i="19"/>
  <c r="O16" i="19"/>
  <c r="P16" i="19"/>
  <c r="Q16" i="19" s="1"/>
  <c r="D17" i="19"/>
  <c r="F17" i="19"/>
  <c r="H17" i="19"/>
  <c r="J17" i="19"/>
  <c r="L17" i="19"/>
  <c r="O17" i="19"/>
  <c r="P17" i="19"/>
  <c r="Q17" i="19" s="1"/>
  <c r="D18" i="19"/>
  <c r="F18" i="19"/>
  <c r="H18" i="19"/>
  <c r="J18" i="19"/>
  <c r="L18" i="19"/>
  <c r="O18" i="19"/>
  <c r="Q18" i="19"/>
  <c r="D19" i="19"/>
  <c r="F19" i="19"/>
  <c r="H19" i="19"/>
  <c r="J19" i="19"/>
  <c r="L19" i="19"/>
  <c r="O19" i="19"/>
  <c r="Q19" i="19"/>
  <c r="D20" i="19"/>
  <c r="F20" i="19"/>
  <c r="H20" i="19"/>
  <c r="J20" i="19"/>
  <c r="L20" i="19"/>
  <c r="O20" i="19"/>
  <c r="P20" i="19"/>
  <c r="Q20" i="19" s="1"/>
  <c r="D21" i="19"/>
  <c r="F21" i="19"/>
  <c r="H21" i="19"/>
  <c r="J21" i="19"/>
  <c r="L21" i="19"/>
  <c r="O21" i="19"/>
  <c r="P21" i="19"/>
  <c r="Q21" i="19" s="1"/>
  <c r="D22" i="19"/>
  <c r="F22" i="19"/>
  <c r="H22" i="19"/>
  <c r="J22" i="19"/>
  <c r="L22" i="19"/>
  <c r="O22" i="19"/>
  <c r="P22" i="19"/>
  <c r="Q22" i="19" s="1"/>
  <c r="D23" i="19"/>
  <c r="F23" i="19"/>
  <c r="H23" i="19"/>
  <c r="J23" i="19"/>
  <c r="L23" i="19"/>
  <c r="O23" i="19"/>
  <c r="P23" i="19"/>
  <c r="Q23" i="19" s="1"/>
  <c r="D24" i="19"/>
  <c r="F24" i="19"/>
  <c r="H24" i="19"/>
  <c r="J24" i="19"/>
  <c r="L24" i="19"/>
  <c r="O24" i="19"/>
  <c r="P24" i="19"/>
  <c r="Q24" i="19" s="1"/>
  <c r="D25" i="19"/>
  <c r="F25" i="19"/>
  <c r="H25" i="19"/>
  <c r="J25" i="19"/>
  <c r="L25" i="19"/>
  <c r="O25" i="19"/>
  <c r="P25" i="19"/>
  <c r="Q25" i="19" s="1"/>
  <c r="D26" i="19"/>
  <c r="F26" i="19"/>
  <c r="H26" i="19"/>
  <c r="J26" i="19"/>
  <c r="L26" i="19"/>
  <c r="O26" i="19"/>
  <c r="Q26" i="19"/>
  <c r="D27" i="19"/>
  <c r="F27" i="19"/>
  <c r="H27" i="19"/>
  <c r="J27" i="19"/>
  <c r="L27" i="19"/>
  <c r="O27" i="19"/>
  <c r="P27" i="19"/>
  <c r="Q27" i="19" s="1"/>
  <c r="D28" i="19"/>
  <c r="F28" i="19"/>
  <c r="H28" i="19"/>
  <c r="J28" i="19"/>
  <c r="L28" i="19"/>
  <c r="O28" i="19"/>
  <c r="Q28" i="19"/>
  <c r="D29" i="19"/>
  <c r="F29" i="19"/>
  <c r="H29" i="19"/>
  <c r="J29" i="19"/>
  <c r="L29" i="19"/>
  <c r="O29" i="19"/>
  <c r="Q29" i="19"/>
  <c r="D30" i="19"/>
  <c r="F30" i="19"/>
  <c r="H30" i="19"/>
  <c r="J30" i="19"/>
  <c r="L30" i="19"/>
  <c r="O30" i="19"/>
  <c r="P30" i="19"/>
  <c r="Q30" i="19" s="1"/>
  <c r="D31" i="19"/>
  <c r="F31" i="19"/>
  <c r="H31" i="19"/>
  <c r="J31" i="19"/>
  <c r="L31" i="19"/>
  <c r="O31" i="19"/>
  <c r="Q31" i="19"/>
  <c r="D32" i="19"/>
  <c r="F32" i="19"/>
  <c r="H32" i="19"/>
  <c r="J32" i="19"/>
  <c r="L32" i="19"/>
  <c r="O32" i="19"/>
  <c r="P32" i="19"/>
  <c r="Q32" i="19" s="1"/>
  <c r="D33" i="19"/>
  <c r="F33" i="19"/>
  <c r="H33" i="19"/>
  <c r="J33" i="19"/>
  <c r="L33" i="19"/>
  <c r="O33" i="19"/>
  <c r="P33" i="19"/>
  <c r="Q33" i="19" s="1"/>
  <c r="D34" i="19"/>
  <c r="F34" i="19"/>
  <c r="H34" i="19"/>
  <c r="J34" i="19"/>
  <c r="L34" i="19"/>
  <c r="O34" i="19"/>
  <c r="Q34" i="19"/>
  <c r="D35" i="19"/>
  <c r="F35" i="19"/>
  <c r="H35" i="19"/>
  <c r="J35" i="19"/>
  <c r="L35" i="19"/>
  <c r="O35" i="19"/>
  <c r="P35" i="19"/>
  <c r="Q35" i="19" s="1"/>
  <c r="D36" i="19"/>
  <c r="F36" i="19"/>
  <c r="H36" i="19"/>
  <c r="J36" i="19"/>
  <c r="L36" i="19"/>
  <c r="O36" i="19"/>
  <c r="Q36" i="19"/>
  <c r="D37" i="19"/>
  <c r="F37" i="19"/>
  <c r="H37" i="19"/>
  <c r="J37" i="19"/>
  <c r="L37" i="19"/>
  <c r="O37" i="19"/>
  <c r="P37" i="19"/>
  <c r="Q37" i="19" s="1"/>
  <c r="D38" i="19"/>
  <c r="F38" i="19"/>
  <c r="H38" i="19"/>
  <c r="J38" i="19"/>
  <c r="L38" i="19"/>
  <c r="O38" i="19"/>
  <c r="P38" i="19"/>
  <c r="Q38" i="19" s="1"/>
  <c r="P32" i="20"/>
  <c r="E26" i="20" l="1"/>
</calcChain>
</file>

<file path=xl/sharedStrings.xml><?xml version="1.0" encoding="utf-8"?>
<sst xmlns="http://schemas.openxmlformats.org/spreadsheetml/2006/main" count="372" uniqueCount="139">
  <si>
    <t>DEPTOS</t>
  </si>
  <si>
    <t>Población</t>
  </si>
  <si>
    <t>POLIO</t>
  </si>
  <si>
    <t>DPT</t>
  </si>
  <si>
    <t>BCG</t>
  </si>
  <si>
    <t>HEPATITIS B</t>
  </si>
  <si>
    <t>H.i.B.</t>
  </si>
  <si>
    <t xml:space="preserve">Población </t>
  </si>
  <si>
    <t>T.V.</t>
  </si>
  <si>
    <t>FIEBRE AMARILLA</t>
  </si>
  <si>
    <t>Fecha</t>
  </si>
  <si>
    <t>Menor 1 año</t>
  </si>
  <si>
    <t>3.Dosis</t>
  </si>
  <si>
    <t>%</t>
  </si>
  <si>
    <t>U.Dósis</t>
  </si>
  <si>
    <t>De 1 año</t>
  </si>
  <si>
    <t>Envio</t>
  </si>
  <si>
    <t>AMAZONAS</t>
  </si>
  <si>
    <t>XII-2007</t>
  </si>
  <si>
    <t>ANTIOQUIA</t>
  </si>
  <si>
    <t>ARAUCA</t>
  </si>
  <si>
    <t>ATLANTICO</t>
  </si>
  <si>
    <t>BARRANQUILLA</t>
  </si>
  <si>
    <t>BOGOTA</t>
  </si>
  <si>
    <t>BOLIVAR</t>
  </si>
  <si>
    <t>CARTAGENA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</si>
  <si>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</si>
  <si>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</si>
  <si>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</si>
  <si>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</si>
  <si>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</si>
  <si>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</si>
  <si>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</si>
  <si>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</si>
  <si>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</si>
  <si>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</si>
  <si>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</si>
  <si>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</si>
  <si>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</si>
  <si>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</si>
  <si>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</si>
  <si>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</si>
  <si>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</si>
  <si>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</si>
  <si>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</si>
  <si>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 xml:space="preserve">QUINDIO </t>
  </si>
  <si>
    <t>RISARALDA</t>
  </si>
  <si>
    <t>SAN ANDRES</t>
  </si>
  <si>
    <t>SANTANDER</t>
  </si>
  <si>
    <t>SUCRE</t>
  </si>
  <si>
    <t>TOLIMA</t>
  </si>
  <si>
    <t>VALLE</t>
  </si>
  <si>
    <t>VAUPES</t>
  </si>
  <si>
    <t>VICHADA</t>
  </si>
  <si>
    <t>CODEP</t>
  </si>
  <si>
    <t>DEPARTAMENTOS</t>
  </si>
  <si>
    <t>05</t>
  </si>
  <si>
    <t>08</t>
  </si>
  <si>
    <t>09</t>
  </si>
  <si>
    <t>Población
Menor 1 año</t>
  </si>
  <si>
    <t>VOP &lt;DE1 AÑO 3ras + VIP &lt;1AÑO 3as Dosis</t>
  </si>
  <si>
    <t>% VOP 3ras</t>
  </si>
  <si>
    <t>DPT MENOR DE UN AÑO 3ras. Dosis</t>
  </si>
  <si>
    <t>% DPT 3ras</t>
  </si>
  <si>
    <t>BCG RECIEN NACIDO (HASTA 28 DÍAS) + MENOR UN AÑO (29 DÍAS A 11 MESES 29 DIAS)
Dosis Unica</t>
  </si>
  <si>
    <t>% BCG</t>
  </si>
  <si>
    <t>HB MENOR DE UN AÑO + (HB &lt; 1 AÑO (ÚNICAMENTE CUANDO NO SE PUEDE COLOCAR PENTAVALENTE POR REACCION A LA DPT) 3ras Dosis</t>
  </si>
  <si>
    <t>% Hepatitis B</t>
  </si>
  <si>
    <t>Hib MENOR DE UN AÑO
3ra.Dosis</t>
  </si>
  <si>
    <t>% Hib</t>
  </si>
  <si>
    <t>Población 
De 1 año</t>
  </si>
  <si>
    <t>SRP (T.V.) DE UN AÑO
U.Dósis</t>
  </si>
  <si>
    <t>%TV</t>
  </si>
  <si>
    <t>F.A. 1 AÑO
U. Dósis</t>
  </si>
  <si>
    <t>%F.A.</t>
  </si>
  <si>
    <t>ROTAVIRUS DE 2 A 7 MESES 29 DIAS
2da Dosis</t>
  </si>
  <si>
    <t>% Rota 2da Dosis</t>
  </si>
  <si>
    <t>Neumo de (12 meses)
3ra Dosis</t>
  </si>
  <si>
    <t>% Neumo de (12 meses)
3ra dosis</t>
  </si>
  <si>
    <t>Neumo de (12-23 meses) 2da Dosis</t>
  </si>
  <si>
    <t>% Neumo de (12-23 meses)</t>
  </si>
  <si>
    <t>Neumo de (24- 35 Meses) Dosis Unica</t>
  </si>
  <si>
    <t>% Neumo de (24- 35 Meses)</t>
  </si>
  <si>
    <t>81</t>
  </si>
  <si>
    <t>08001</t>
  </si>
  <si>
    <t>11</t>
  </si>
  <si>
    <t>BOGOTÁ D.C.</t>
  </si>
  <si>
    <t>13</t>
  </si>
  <si>
    <t>BOLÍVAR</t>
  </si>
  <si>
    <t>13001</t>
  </si>
  <si>
    <t>15</t>
  </si>
  <si>
    <t>BOYACÁ</t>
  </si>
  <si>
    <t>17</t>
  </si>
  <si>
    <t>18</t>
  </si>
  <si>
    <t>CAQUETÁ</t>
  </si>
  <si>
    <t>85</t>
  </si>
  <si>
    <t>19</t>
  </si>
  <si>
    <t>20</t>
  </si>
  <si>
    <t>27</t>
  </si>
  <si>
    <t>CHOCÓ</t>
  </si>
  <si>
    <t>25</t>
  </si>
  <si>
    <t>CÓRDOBA</t>
  </si>
  <si>
    <t>94</t>
  </si>
  <si>
    <t>GUAINÍA</t>
  </si>
  <si>
    <t>95</t>
  </si>
  <si>
    <t>41</t>
  </si>
  <si>
    <t>44</t>
  </si>
  <si>
    <t>47</t>
  </si>
  <si>
    <t>47001</t>
  </si>
  <si>
    <t>50</t>
  </si>
  <si>
    <t>52</t>
  </si>
  <si>
    <t>54</t>
  </si>
  <si>
    <t>86</t>
  </si>
  <si>
    <t>63</t>
  </si>
  <si>
    <t>QUINDIÓ</t>
  </si>
  <si>
    <t>66</t>
  </si>
  <si>
    <t>88</t>
  </si>
  <si>
    <t>SAN ANDRÉS</t>
  </si>
  <si>
    <t>68</t>
  </si>
  <si>
    <t>70</t>
  </si>
  <si>
    <t>73</t>
  </si>
  <si>
    <t>76</t>
  </si>
  <si>
    <t>97</t>
  </si>
  <si>
    <t>VAUPÉS</t>
  </si>
  <si>
    <t>99</t>
  </si>
  <si>
    <t>Neumo de (11 Meses 29 Dias)
2da Dosis</t>
  </si>
  <si>
    <t>% Neumo de (11 Meses 29 Dias)
2ra dosis</t>
  </si>
  <si>
    <t>VOP al año de la 3ra Dosis
1er. Ref.</t>
  </si>
  <si>
    <t>% VOP
1er Ref.</t>
  </si>
  <si>
    <t>DPT Al año de la 3ra Dosis
1er. Ref.</t>
  </si>
  <si>
    <t>% DPT
1er Ref.</t>
  </si>
  <si>
    <t>VOP 5 AÑOS
2do. Ref.</t>
  </si>
  <si>
    <t>% VOP
2do Ref.</t>
  </si>
  <si>
    <t>DPT 5 AÑOS
2do. Ref.</t>
  </si>
  <si>
    <t>% DPT
2do Ref.</t>
  </si>
  <si>
    <t>SRP (T.V.) 5 AÑOS Ref.</t>
  </si>
  <si>
    <t>% T.V.
Ref. 5 AÑOS</t>
  </si>
  <si>
    <t>FLU DE 50 Y MAS AÑOS ÚNICA</t>
  </si>
  <si>
    <t>Biologicos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</si>
</sst>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_-* #,##0.00\ _€_-;\-* #,##0.00\ _€_-;_-* &quot;-&quot;??\ _€_-;_-@_-"/>
    <numFmt numFmtId="166" formatCode="_ * #,##0.00_ ;_ * \-#,##0.00_ ;_ * &quot;-&quot;??_ ;_ @_ "/>
    <numFmt numFmtId="167" formatCode="0.0"/>
    <numFmt numFmtId="168" formatCode="_ * #,##0_ ;_ * \-#,##0_ ;_ * &quot;-&quot;??_ ;_ @_ "/>
    <numFmt numFmtId="169" formatCode="_ * #,##0.0_ ;_ * \-#,##0.0_ ;_ * &quot;-&quot;??_ ;_ @_ "/>
    <numFmt numFmtId="170" formatCode="_(* #,##0_);_(* \(#,##0\);_(* &quot;-&quot;??_);_(@_)"/>
    <numFmt numFmtId="171" formatCode="_-* #,##0\ _€_-;\-* #,##0\ _€_-;_-* &quot;-&quot;??\ _€_-;_-@_-"/>
    <numFmt numFmtId="172" formatCode="_(* #,##0.0_);_(* \(#,##0.0\);_(* &quot;-&quot;??_);_(@_)"/>
    <numFmt numFmtId="173" formatCode="#,##0\ _€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8"/>
      <name val="Arial"/>
      <family val="2"/>
    </font>
    <font>
      <sz val="8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9"/>
      <color indexed="9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4" borderId="0" applyNumberFormat="0" applyBorder="0" applyAlignment="0" applyProtection="0"/>
    <xf numFmtId="0" fontId="21" fillId="16" borderId="1" applyNumberFormat="0" applyAlignment="0" applyProtection="0"/>
    <xf numFmtId="0" fontId="22" fillId="17" borderId="2" applyNumberFormat="0" applyAlignment="0" applyProtection="0"/>
    <xf numFmtId="0" fontId="23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21" borderId="0" applyNumberFormat="0" applyBorder="0" applyAlignment="0" applyProtection="0"/>
    <xf numFmtId="0" fontId="25" fillId="7" borderId="1" applyNumberFormat="0" applyAlignment="0" applyProtection="0"/>
    <xf numFmtId="0" fontId="26" fillId="3" borderId="0" applyNumberFormat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22" borderId="0" applyNumberFormat="0" applyBorder="0" applyAlignment="0" applyProtection="0"/>
    <xf numFmtId="0" fontId="18" fillId="0" borderId="0"/>
    <xf numFmtId="0" fontId="36" fillId="0" borderId="0"/>
    <xf numFmtId="0" fontId="36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7" fillId="0" borderId="0"/>
    <xf numFmtId="0" fontId="18" fillId="23" borderId="4" applyNumberFormat="0" applyFont="0" applyAlignment="0" applyProtection="0"/>
    <xf numFmtId="9" fontId="18" fillId="0" borderId="0" applyFont="0" applyFill="0" applyBorder="0" applyAlignment="0" applyProtection="0"/>
    <xf numFmtId="0" fontId="28" fillId="16" borderId="5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24" fillId="0" borderId="8" applyNumberFormat="0" applyFill="0" applyAlignment="0" applyProtection="0"/>
    <xf numFmtId="0" fontId="34" fillId="0" borderId="9" applyNumberFormat="0" applyFill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0" borderId="0"/>
    <xf numFmtId="9" fontId="18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195">
    <xf numFmtId="0" fontId="0" fillId="0" borderId="0" xfId="0"/>
    <xf numFmtId="3" fontId="9" fillId="25" borderId="17" xfId="39" applyNumberFormat="1" applyFont="1" applyFill="1" applyBorder="1"/>
    <xf numFmtId="172" fontId="7" fillId="0" borderId="35" xfId="32" applyNumberFormat="1" applyFont="1" applyBorder="1"/>
    <xf numFmtId="0" fontId="7" fillId="0" borderId="36" xfId="39" applyFont="1" applyBorder="1" applyAlignment="1">
      <alignment horizontal="left" wrapText="1"/>
    </xf>
    <xf numFmtId="170" fontId="8" fillId="0" borderId="35" xfId="32" applyNumberFormat="1" applyFont="1" applyBorder="1"/>
    <xf numFmtId="3" fontId="9" fillId="25" borderId="37" xfId="39" applyNumberFormat="1" applyFont="1" applyFill="1" applyBorder="1"/>
    <xf numFmtId="167" fontId="8" fillId="0" borderId="42" xfId="39" applyNumberFormat="1" applyFont="1" applyBorder="1" applyAlignment="1">
      <alignment horizontal="center"/>
    </xf>
    <xf numFmtId="0" fontId="7" fillId="26" borderId="23" xfId="39" applyFont="1" applyFill="1" applyBorder="1" applyAlignment="1">
      <alignment horizontal="left" wrapText="1"/>
    </xf>
    <xf numFmtId="3" fontId="9" fillId="25" borderId="23" xfId="39" applyNumberFormat="1" applyFont="1" applyFill="1" applyBorder="1"/>
    <xf numFmtId="170" fontId="8" fillId="0" borderId="43" xfId="32" applyNumberFormat="1" applyFont="1" applyBorder="1"/>
    <xf numFmtId="0" fontId="9" fillId="26" borderId="23" xfId="39" applyFont="1" applyFill="1" applyBorder="1" applyAlignment="1">
      <alignment horizontal="left" wrapText="1"/>
    </xf>
    <xf numFmtId="170" fontId="9" fillId="25" borderId="17" xfId="32" applyNumberFormat="1" applyFont="1" applyFill="1" applyBorder="1" applyAlignment="1">
      <alignment vertical="center"/>
    </xf>
    <xf numFmtId="170" fontId="9" fillId="25" borderId="23" xfId="32" applyNumberFormat="1" applyFont="1" applyFill="1" applyBorder="1" applyAlignment="1">
      <alignment vertical="center"/>
    </xf>
    <xf numFmtId="0" fontId="7" fillId="0" borderId="23" xfId="39" applyFont="1" applyBorder="1" applyAlignment="1">
      <alignment horizontal="left" wrapText="1"/>
    </xf>
    <xf numFmtId="0" fontId="7" fillId="26" borderId="26" xfId="39" applyFont="1" applyFill="1" applyBorder="1" applyAlignment="1">
      <alignment horizontal="left" wrapText="1"/>
    </xf>
    <xf numFmtId="3" fontId="9" fillId="25" borderId="27" xfId="39" applyNumberFormat="1" applyFont="1" applyFill="1" applyBorder="1"/>
    <xf numFmtId="170" fontId="8" fillId="0" borderId="44" xfId="32" applyNumberFormat="1" applyFont="1" applyBorder="1"/>
    <xf numFmtId="3" fontId="9" fillId="25" borderId="26" xfId="39" applyNumberFormat="1" applyFont="1" applyFill="1" applyBorder="1"/>
    <xf numFmtId="0" fontId="11" fillId="0" borderId="0" xfId="42"/>
    <xf numFmtId="167" fontId="11" fillId="0" borderId="0" xfId="42" applyNumberFormat="1"/>
    <xf numFmtId="0" fontId="12" fillId="0" borderId="16" xfId="42" applyFont="1" applyBorder="1"/>
    <xf numFmtId="169" fontId="12" fillId="0" borderId="13" xfId="34" applyNumberFormat="1" applyFont="1" applyBorder="1" applyAlignment="1">
      <alignment horizontal="center" vertical="center"/>
    </xf>
    <xf numFmtId="14" fontId="14" fillId="0" borderId="31" xfId="42" applyNumberFormat="1" applyFont="1" applyBorder="1" applyAlignment="1">
      <alignment horizontal="center"/>
    </xf>
    <xf numFmtId="168" fontId="11" fillId="26" borderId="28" xfId="34" applyNumberFormat="1" applyFont="1" applyFill="1" applyBorder="1"/>
    <xf numFmtId="168" fontId="11" fillId="0" borderId="28" xfId="34" applyNumberFormat="1" applyFont="1" applyBorder="1"/>
    <xf numFmtId="168" fontId="16" fillId="26" borderId="28" xfId="34" applyNumberFormat="1" applyFont="1" applyFill="1" applyBorder="1" applyAlignment="1">
      <alignment vertical="center"/>
    </xf>
    <xf numFmtId="3" fontId="16" fillId="26" borderId="28" xfId="46" applyNumberFormat="1" applyFont="1" applyFill="1" applyBorder="1" applyAlignment="1">
      <alignment vertical="center"/>
    </xf>
    <xf numFmtId="0" fontId="14" fillId="26" borderId="28" xfId="42" applyFont="1" applyFill="1" applyBorder="1" applyAlignment="1">
      <alignment horizontal="left"/>
    </xf>
    <xf numFmtId="14" fontId="14" fillId="0" borderId="34" xfId="42" applyNumberFormat="1" applyFont="1" applyBorder="1" applyAlignment="1">
      <alignment horizontal="center"/>
    </xf>
    <xf numFmtId="168" fontId="11" fillId="0" borderId="33" xfId="34" applyNumberFormat="1" applyFont="1" applyBorder="1"/>
    <xf numFmtId="168" fontId="16" fillId="26" borderId="33" xfId="34" applyNumberFormat="1" applyFont="1" applyFill="1" applyBorder="1" applyAlignment="1">
      <alignment vertical="center"/>
    </xf>
    <xf numFmtId="3" fontId="16" fillId="26" borderId="33" xfId="46" applyNumberFormat="1" applyFont="1" applyFill="1" applyBorder="1" applyAlignment="1">
      <alignment vertical="center"/>
    </xf>
    <xf numFmtId="0" fontId="14" fillId="0" borderId="23" xfId="42" applyFont="1" applyBorder="1" applyAlignment="1">
      <alignment horizontal="left"/>
    </xf>
    <xf numFmtId="3" fontId="16" fillId="26" borderId="33" xfId="42" applyNumberFormat="1" applyFont="1" applyFill="1" applyBorder="1"/>
    <xf numFmtId="168" fontId="11" fillId="26" borderId="33" xfId="34" applyNumberFormat="1" applyFont="1" applyFill="1" applyBorder="1"/>
    <xf numFmtId="0" fontId="14" fillId="26" borderId="23" xfId="42" applyFont="1" applyFill="1" applyBorder="1" applyAlignment="1">
      <alignment horizontal="left"/>
    </xf>
    <xf numFmtId="168" fontId="16" fillId="26" borderId="33" xfId="34" applyNumberFormat="1" applyFont="1" applyFill="1" applyBorder="1"/>
    <xf numFmtId="3" fontId="16" fillId="26" borderId="33" xfId="42" applyNumberFormat="1" applyFont="1" applyFill="1" applyBorder="1" applyAlignment="1">
      <alignment vertical="center"/>
    </xf>
    <xf numFmtId="168" fontId="16" fillId="26" borderId="32" xfId="34" applyNumberFormat="1" applyFont="1" applyFill="1" applyBorder="1" applyAlignment="1">
      <alignment vertical="center"/>
    </xf>
    <xf numFmtId="0" fontId="12" fillId="25" borderId="28" xfId="42" applyFont="1" applyFill="1" applyBorder="1" applyAlignment="1">
      <alignment horizontal="center"/>
    </xf>
    <xf numFmtId="0" fontId="12" fillId="25" borderId="16" xfId="42" applyFont="1" applyFill="1" applyBorder="1" applyAlignment="1">
      <alignment horizontal="center" vertical="center"/>
    </xf>
    <xf numFmtId="0" fontId="12" fillId="25" borderId="16" xfId="42" quotePrefix="1" applyFont="1" applyFill="1" applyBorder="1" applyAlignment="1">
      <alignment horizontal="center" vertical="center"/>
    </xf>
    <xf numFmtId="0" fontId="14" fillId="25" borderId="28" xfId="42" applyFont="1" applyFill="1" applyBorder="1" applyAlignment="1">
      <alignment horizontal="center"/>
    </xf>
    <xf numFmtId="0" fontId="12" fillId="25" borderId="28" xfId="42" applyFont="1" applyFill="1" applyBorder="1"/>
    <xf numFmtId="0" fontId="12" fillId="25" borderId="19" xfId="42" quotePrefix="1" applyFont="1" applyFill="1" applyBorder="1" applyAlignment="1">
      <alignment horizontal="center"/>
    </xf>
    <xf numFmtId="0" fontId="14" fillId="25" borderId="19" xfId="42" quotePrefix="1" applyFont="1" applyFill="1" applyBorder="1" applyAlignment="1">
      <alignment horizontal="center"/>
    </xf>
    <xf numFmtId="0" fontId="12" fillId="25" borderId="19" xfId="42" applyFont="1" applyFill="1" applyBorder="1" applyAlignment="1">
      <alignment horizontal="center"/>
    </xf>
    <xf numFmtId="168" fontId="11" fillId="0" borderId="0" xfId="42" applyNumberFormat="1"/>
    <xf numFmtId="3" fontId="11" fillId="0" borderId="14" xfId="34" applyNumberFormat="1" applyFont="1" applyBorder="1" applyAlignment="1"/>
    <xf numFmtId="3" fontId="11" fillId="0" borderId="25" xfId="34" applyNumberFormat="1" applyFont="1" applyBorder="1"/>
    <xf numFmtId="3" fontId="12" fillId="25" borderId="26" xfId="42" applyNumberFormat="1" applyFont="1" applyFill="1" applyBorder="1"/>
    <xf numFmtId="173" fontId="11" fillId="0" borderId="14" xfId="34" applyNumberFormat="1" applyFont="1" applyBorder="1"/>
    <xf numFmtId="168" fontId="13" fillId="0" borderId="10" xfId="34" applyNumberFormat="1" applyFont="1" applyBorder="1" applyAlignment="1">
      <alignment horizontal="center"/>
    </xf>
    <xf numFmtId="3" fontId="11" fillId="0" borderId="14" xfId="34" applyNumberFormat="1" applyFont="1" applyBorder="1"/>
    <xf numFmtId="0" fontId="14" fillId="26" borderId="47" xfId="42" applyFont="1" applyFill="1" applyBorder="1" applyAlignment="1">
      <alignment horizontal="left" wrapText="1"/>
    </xf>
    <xf numFmtId="49" fontId="11" fillId="0" borderId="26" xfId="42" applyNumberFormat="1" applyBorder="1" applyAlignment="1">
      <alignment horizontal="center" vertical="center"/>
    </xf>
    <xf numFmtId="3" fontId="11" fillId="0" borderId="12" xfId="34" applyNumberFormat="1" applyFont="1" applyBorder="1" applyAlignment="1"/>
    <xf numFmtId="3" fontId="11" fillId="0" borderId="15" xfId="34" applyNumberFormat="1" applyFont="1" applyBorder="1"/>
    <xf numFmtId="3" fontId="12" fillId="25" borderId="23" xfId="42" applyNumberFormat="1" applyFont="1" applyFill="1" applyBorder="1"/>
    <xf numFmtId="173" fontId="11" fillId="0" borderId="12" xfId="34" applyNumberFormat="1" applyFont="1" applyBorder="1"/>
    <xf numFmtId="3" fontId="11" fillId="0" borderId="12" xfId="34" applyNumberFormat="1" applyFont="1" applyBorder="1"/>
    <xf numFmtId="0" fontId="14" fillId="0" borderId="48" xfId="42" applyFont="1" applyBorder="1" applyAlignment="1">
      <alignment horizontal="left" wrapText="1"/>
    </xf>
    <xf numFmtId="49" fontId="11" fillId="0" borderId="23" xfId="42" applyNumberFormat="1" applyBorder="1" applyAlignment="1">
      <alignment horizontal="center" vertical="center"/>
    </xf>
    <xf numFmtId="173" fontId="11" fillId="0" borderId="12" xfId="34" applyNumberFormat="1" applyFont="1" applyFill="1" applyBorder="1"/>
    <xf numFmtId="3" fontId="11" fillId="0" borderId="12" xfId="34" applyNumberFormat="1" applyFont="1" applyFill="1" applyBorder="1"/>
    <xf numFmtId="3" fontId="11" fillId="0" borderId="15" xfId="34" applyNumberFormat="1" applyFont="1" applyFill="1" applyBorder="1"/>
    <xf numFmtId="0" fontId="14" fillId="26" borderId="48" xfId="42" applyFont="1" applyFill="1" applyBorder="1" applyAlignment="1">
      <alignment horizontal="left" wrapText="1"/>
    </xf>
    <xf numFmtId="168" fontId="11" fillId="0" borderId="49" xfId="34" applyNumberFormat="1" applyFont="1" applyFill="1" applyBorder="1"/>
    <xf numFmtId="168" fontId="12" fillId="26" borderId="12" xfId="34" applyNumberFormat="1" applyFont="1" applyFill="1" applyBorder="1" applyAlignment="1">
      <alignment horizontal="center"/>
    </xf>
    <xf numFmtId="168" fontId="14" fillId="26" borderId="12" xfId="34" applyNumberFormat="1" applyFont="1" applyFill="1" applyBorder="1" applyAlignment="1">
      <alignment horizontal="center"/>
    </xf>
    <xf numFmtId="3" fontId="11" fillId="0" borderId="50" xfId="42" applyNumberFormat="1" applyBorder="1"/>
    <xf numFmtId="168" fontId="12" fillId="25" borderId="23" xfId="34" applyNumberFormat="1" applyFont="1" applyFill="1" applyBorder="1" applyAlignment="1">
      <alignment vertical="center"/>
    </xf>
    <xf numFmtId="3" fontId="11" fillId="0" borderId="10" xfId="34" applyNumberFormat="1" applyFont="1" applyBorder="1" applyAlignment="1"/>
    <xf numFmtId="3" fontId="11" fillId="0" borderId="24" xfId="34" applyNumberFormat="1" applyFont="1" applyBorder="1"/>
    <xf numFmtId="3" fontId="12" fillId="25" borderId="22" xfId="42" applyNumberFormat="1" applyFont="1" applyFill="1" applyBorder="1"/>
    <xf numFmtId="173" fontId="11" fillId="0" borderId="10" xfId="34" applyNumberFormat="1" applyFont="1" applyBorder="1"/>
    <xf numFmtId="3" fontId="11" fillId="0" borderId="10" xfId="34" applyNumberFormat="1" applyFont="1" applyBorder="1"/>
    <xf numFmtId="0" fontId="14" fillId="0" borderId="51" xfId="42" applyFont="1" applyBorder="1" applyAlignment="1">
      <alignment horizontal="left" wrapText="1"/>
    </xf>
    <xf numFmtId="49" fontId="11" fillId="0" borderId="22" xfId="42" applyNumberFormat="1" applyBorder="1" applyAlignment="1">
      <alignment horizontal="center" vertical="center"/>
    </xf>
    <xf numFmtId="0" fontId="12" fillId="0" borderId="16" xfId="42" applyFont="1" applyBorder="1" applyAlignment="1">
      <alignment horizontal="center" vertical="center"/>
    </xf>
    <xf numFmtId="0" fontId="12" fillId="0" borderId="16" xfId="42" quotePrefix="1" applyFont="1" applyBorder="1" applyAlignment="1">
      <alignment horizontal="center" vertical="center"/>
    </xf>
    <xf numFmtId="0" fontId="14" fillId="0" borderId="28" xfId="42" applyFont="1" applyBorder="1" applyAlignment="1">
      <alignment horizontal="center"/>
    </xf>
    <xf numFmtId="0" fontId="12" fillId="0" borderId="28" xfId="42" applyFont="1" applyBorder="1" applyAlignment="1">
      <alignment horizontal="center"/>
    </xf>
    <xf numFmtId="0" fontId="12" fillId="24" borderId="28" xfId="42" applyFont="1" applyFill="1" applyBorder="1" applyAlignment="1">
      <alignment horizontal="center"/>
    </xf>
    <xf numFmtId="0" fontId="14" fillId="0" borderId="19" xfId="42" quotePrefix="1" applyFont="1" applyBorder="1" applyAlignment="1">
      <alignment horizontal="center"/>
    </xf>
    <xf numFmtId="0" fontId="12" fillId="0" borderId="19" xfId="42" applyFont="1" applyBorder="1" applyAlignment="1">
      <alignment horizontal="center"/>
    </xf>
    <xf numFmtId="0" fontId="12" fillId="24" borderId="19" xfId="42" applyFont="1" applyFill="1" applyBorder="1" applyAlignment="1">
      <alignment horizontal="center"/>
    </xf>
    <xf numFmtId="3" fontId="16" fillId="26" borderId="32" xfId="46" applyNumberFormat="1" applyFont="1" applyFill="1" applyBorder="1" applyAlignment="1">
      <alignment vertical="center"/>
    </xf>
    <xf numFmtId="168" fontId="11" fillId="0" borderId="32" xfId="34" applyNumberFormat="1" applyFont="1" applyBorder="1" applyAlignment="1">
      <alignment vertical="center"/>
    </xf>
    <xf numFmtId="169" fontId="12" fillId="0" borderId="55" xfId="34" applyNumberFormat="1" applyFont="1" applyBorder="1" applyAlignment="1">
      <alignment horizontal="center" vertical="center"/>
    </xf>
    <xf numFmtId="168" fontId="11" fillId="0" borderId="32" xfId="34" applyNumberFormat="1" applyFont="1" applyBorder="1"/>
    <xf numFmtId="3" fontId="16" fillId="26" borderId="41" xfId="46" applyNumberFormat="1" applyFont="1" applyFill="1" applyBorder="1" applyAlignment="1">
      <alignment vertical="center"/>
    </xf>
    <xf numFmtId="168" fontId="11" fillId="0" borderId="41" xfId="34" applyNumberFormat="1" applyFont="1" applyBorder="1"/>
    <xf numFmtId="169" fontId="12" fillId="0" borderId="56" xfId="34" applyNumberFormat="1" applyFont="1" applyBorder="1" applyAlignment="1">
      <alignment horizontal="center" vertical="center"/>
    </xf>
    <xf numFmtId="168" fontId="16" fillId="26" borderId="41" xfId="34" applyNumberFormat="1" applyFont="1" applyFill="1" applyBorder="1" applyAlignment="1">
      <alignment vertical="center"/>
    </xf>
    <xf numFmtId="0" fontId="14" fillId="0" borderId="32" xfId="42" applyFont="1" applyBorder="1" applyAlignment="1">
      <alignment horizontal="left"/>
    </xf>
    <xf numFmtId="0" fontId="14" fillId="0" borderId="22" xfId="42" applyFont="1" applyBorder="1" applyAlignment="1">
      <alignment horizontal="left"/>
    </xf>
    <xf numFmtId="0" fontId="14" fillId="0" borderId="57" xfId="42" applyFont="1" applyBorder="1" applyAlignment="1">
      <alignment horizontal="left" wrapText="1"/>
    </xf>
    <xf numFmtId="3" fontId="12" fillId="25" borderId="36" xfId="42" applyNumberFormat="1" applyFont="1" applyFill="1" applyBorder="1"/>
    <xf numFmtId="3" fontId="11" fillId="0" borderId="53" xfId="34" applyNumberFormat="1" applyFont="1" applyBorder="1"/>
    <xf numFmtId="3" fontId="11" fillId="0" borderId="52" xfId="34" applyNumberFormat="1" applyFont="1" applyBorder="1"/>
    <xf numFmtId="173" fontId="11" fillId="0" borderId="52" xfId="34" applyNumberFormat="1" applyFont="1" applyBorder="1"/>
    <xf numFmtId="3" fontId="11" fillId="0" borderId="52" xfId="34" applyNumberFormat="1" applyFont="1" applyBorder="1" applyAlignment="1"/>
    <xf numFmtId="169" fontId="12" fillId="0" borderId="11" xfId="34" applyNumberFormat="1" applyFont="1" applyBorder="1" applyAlignment="1">
      <alignment horizontal="center" vertical="center"/>
    </xf>
    <xf numFmtId="3" fontId="9" fillId="25" borderId="54" xfId="39" applyNumberFormat="1" applyFont="1" applyFill="1" applyBorder="1"/>
    <xf numFmtId="3" fontId="9" fillId="25" borderId="32" xfId="39" applyNumberFormat="1" applyFont="1" applyFill="1" applyBorder="1"/>
    <xf numFmtId="170" fontId="8" fillId="0" borderId="32" xfId="32" applyNumberFormat="1" applyFont="1" applyBorder="1"/>
    <xf numFmtId="172" fontId="7" fillId="0" borderId="43" xfId="32" applyNumberFormat="1" applyFont="1" applyBorder="1"/>
    <xf numFmtId="0" fontId="35" fillId="36" borderId="29" xfId="40" applyFont="1" applyFill="1" applyBorder="1" applyAlignment="1">
      <alignment horizontal="center" vertical="center" wrapText="1"/>
    </xf>
    <xf numFmtId="0" fontId="10" fillId="24" borderId="16" xfId="43" applyFont="1" applyFill="1" applyBorder="1" applyAlignment="1">
      <alignment horizontal="center" vertical="center"/>
    </xf>
    <xf numFmtId="0" fontId="10" fillId="39" borderId="45" xfId="40" applyFont="1" applyFill="1" applyBorder="1" applyAlignment="1">
      <alignment horizontal="center" vertical="center" wrapText="1"/>
    </xf>
    <xf numFmtId="171" fontId="15" fillId="27" borderId="46" xfId="37" applyNumberFormat="1" applyFont="1" applyFill="1" applyBorder="1" applyAlignment="1">
      <alignment horizontal="center" vertical="center" wrapText="1"/>
    </xf>
    <xf numFmtId="0" fontId="10" fillId="38" borderId="45" xfId="40" applyFont="1" applyFill="1" applyBorder="1" applyAlignment="1">
      <alignment horizontal="center" vertical="center" wrapText="1"/>
    </xf>
    <xf numFmtId="171" fontId="10" fillId="28" borderId="46" xfId="37" applyNumberFormat="1" applyFont="1" applyFill="1" applyBorder="1" applyAlignment="1">
      <alignment horizontal="center" vertical="center" wrapText="1"/>
    </xf>
    <xf numFmtId="0" fontId="10" fillId="36" borderId="29" xfId="40" applyFont="1" applyFill="1" applyBorder="1" applyAlignment="1">
      <alignment horizontal="center" vertical="center" wrapText="1"/>
    </xf>
    <xf numFmtId="171" fontId="10" fillId="36" borderId="39" xfId="37" applyNumberFormat="1" applyFont="1" applyFill="1" applyBorder="1" applyAlignment="1">
      <alignment horizontal="center" vertical="center" wrapText="1"/>
    </xf>
    <xf numFmtId="0" fontId="10" fillId="32" borderId="45" xfId="45" applyFont="1" applyFill="1" applyBorder="1" applyAlignment="1">
      <alignment horizontal="center" vertical="center" wrapText="1"/>
    </xf>
    <xf numFmtId="0" fontId="10" fillId="32" borderId="46" xfId="44" applyFont="1" applyFill="1" applyBorder="1" applyAlignment="1">
      <alignment horizontal="center" vertical="center" wrapText="1"/>
    </xf>
    <xf numFmtId="0" fontId="10" fillId="37" borderId="29" xfId="40" applyFont="1" applyFill="1" applyBorder="1" applyAlignment="1">
      <alignment horizontal="center" vertical="center" wrapText="1"/>
    </xf>
    <xf numFmtId="171" fontId="10" fillId="29" borderId="39" xfId="37" applyNumberFormat="1" applyFont="1" applyFill="1" applyBorder="1" applyAlignment="1">
      <alignment horizontal="center" vertical="center" wrapText="1"/>
    </xf>
    <xf numFmtId="0" fontId="10" fillId="33" borderId="45" xfId="40" applyFont="1" applyFill="1" applyBorder="1" applyAlignment="1">
      <alignment horizontal="center" vertical="center" wrapText="1"/>
    </xf>
    <xf numFmtId="171" fontId="10" fillId="33" borderId="46" xfId="37" applyNumberFormat="1" applyFont="1" applyFill="1" applyBorder="1" applyAlignment="1">
      <alignment horizontal="center" vertical="center" wrapText="1"/>
    </xf>
    <xf numFmtId="0" fontId="10" fillId="34" borderId="29" xfId="45" applyFont="1" applyFill="1" applyBorder="1" applyAlignment="1">
      <alignment horizontal="center" vertical="center" wrapText="1"/>
    </xf>
    <xf numFmtId="0" fontId="10" fillId="34" borderId="39" xfId="45" applyFont="1" applyFill="1" applyBorder="1" applyAlignment="1">
      <alignment horizontal="center" vertical="center" wrapText="1"/>
    </xf>
    <xf numFmtId="0" fontId="10" fillId="34" borderId="45" xfId="45" applyFont="1" applyFill="1" applyBorder="1" applyAlignment="1">
      <alignment horizontal="center" vertical="center" wrapText="1"/>
    </xf>
    <xf numFmtId="0" fontId="10" fillId="34" borderId="46" xfId="45" applyFont="1" applyFill="1" applyBorder="1" applyAlignment="1">
      <alignment horizontal="center" vertical="center" wrapText="1"/>
    </xf>
    <xf numFmtId="0" fontId="10" fillId="34" borderId="30" xfId="45" applyFont="1" applyFill="1" applyBorder="1" applyAlignment="1">
      <alignment horizontal="center" vertical="center" wrapText="1"/>
    </xf>
    <xf numFmtId="0" fontId="10" fillId="27" borderId="45" xfId="40" applyFont="1" applyFill="1" applyBorder="1" applyAlignment="1">
      <alignment horizontal="center" vertical="center" wrapText="1"/>
    </xf>
    <xf numFmtId="0" fontId="10" fillId="30" borderId="29" xfId="40" applyFont="1" applyFill="1" applyBorder="1" applyAlignment="1">
      <alignment horizontal="center" vertical="center" wrapText="1"/>
    </xf>
    <xf numFmtId="0" fontId="10" fillId="30" borderId="39" xfId="40" applyFont="1" applyFill="1" applyBorder="1" applyAlignment="1">
      <alignment horizontal="center" vertical="center" wrapText="1"/>
    </xf>
    <xf numFmtId="0" fontId="10" fillId="35" borderId="29" xfId="40" applyFont="1" applyFill="1" applyBorder="1" applyAlignment="1">
      <alignment horizontal="center" vertical="center" wrapText="1"/>
    </xf>
    <xf numFmtId="0" fontId="10" fillId="35" borderId="39" xfId="40" applyFont="1" applyFill="1" applyBorder="1" applyAlignment="1">
      <alignment horizontal="center" vertical="center" wrapText="1"/>
    </xf>
    <xf numFmtId="0" fontId="10" fillId="37" borderId="45" xfId="40" applyFont="1" applyFill="1" applyBorder="1" applyAlignment="1">
      <alignment horizontal="center" vertical="center" wrapText="1"/>
    </xf>
    <xf numFmtId="169" fontId="9" fillId="0" borderId="55" xfId="34" applyNumberFormat="1" applyFont="1" applyBorder="1" applyAlignment="1">
      <alignment horizontal="center" vertical="center"/>
    </xf>
    <xf numFmtId="0" fontId="7" fillId="0" borderId="22" xfId="43" applyFont="1" applyBorder="1" applyAlignment="1">
      <alignment horizontal="left" wrapText="1"/>
    </xf>
    <xf numFmtId="169" fontId="9" fillId="0" borderId="13" xfId="34" applyNumberFormat="1" applyFont="1" applyBorder="1" applyAlignment="1">
      <alignment horizontal="center" vertical="center"/>
    </xf>
    <xf numFmtId="0" fontId="7" fillId="0" borderId="36" xfId="43" applyFont="1" applyBorder="1" applyAlignment="1">
      <alignment horizontal="left" wrapText="1"/>
    </xf>
    <xf numFmtId="0" fontId="7" fillId="26" borderId="23" xfId="43" applyFont="1" applyFill="1" applyBorder="1" applyAlignment="1">
      <alignment horizontal="left" wrapText="1"/>
    </xf>
    <xf numFmtId="0" fontId="9" fillId="26" borderId="23" xfId="43" applyFont="1" applyFill="1" applyBorder="1" applyAlignment="1">
      <alignment horizontal="left" wrapText="1"/>
    </xf>
    <xf numFmtId="0" fontId="7" fillId="0" borderId="23" xfId="43" applyFont="1" applyBorder="1" applyAlignment="1">
      <alignment horizontal="left" wrapText="1"/>
    </xf>
    <xf numFmtId="0" fontId="7" fillId="0" borderId="23" xfId="42" applyFont="1" applyBorder="1" applyAlignment="1">
      <alignment horizontal="left"/>
    </xf>
    <xf numFmtId="169" fontId="9" fillId="0" borderId="18" xfId="34" applyNumberFormat="1" applyFont="1" applyBorder="1" applyAlignment="1">
      <alignment horizontal="center" vertical="center"/>
    </xf>
    <xf numFmtId="0" fontId="7" fillId="26" borderId="26" xfId="43" applyFont="1" applyFill="1" applyBorder="1" applyAlignment="1">
      <alignment horizontal="left" wrapText="1"/>
    </xf>
    <xf numFmtId="0" fontId="10" fillId="24" borderId="16" xfId="39" applyFont="1" applyFill="1" applyBorder="1" applyAlignment="1">
      <alignment horizontal="center" vertical="center"/>
    </xf>
    <xf numFmtId="0" fontId="35" fillId="38" borderId="45" xfId="40" applyFont="1" applyFill="1" applyBorder="1" applyAlignment="1">
      <alignment horizontal="center" vertical="center" wrapText="1"/>
    </xf>
    <xf numFmtId="0" fontId="8" fillId="0" borderId="0" xfId="39" applyFont="1"/>
    <xf numFmtId="49" fontId="7" fillId="0" borderId="58" xfId="43" applyNumberFormat="1" applyFont="1" applyBorder="1" applyAlignment="1">
      <alignment horizontal="left" wrapText="1"/>
    </xf>
    <xf numFmtId="0" fontId="38" fillId="0" borderId="0" xfId="39" applyFont="1"/>
    <xf numFmtId="49" fontId="7" fillId="26" borderId="50" xfId="43" applyNumberFormat="1" applyFont="1" applyFill="1" applyBorder="1" applyAlignment="1">
      <alignment horizontal="left" wrapText="1"/>
    </xf>
    <xf numFmtId="49" fontId="9" fillId="26" borderId="50" xfId="43" applyNumberFormat="1" applyFont="1" applyFill="1" applyBorder="1" applyAlignment="1">
      <alignment horizontal="left" wrapText="1"/>
    </xf>
    <xf numFmtId="49" fontId="7" fillId="0" borderId="50" xfId="43" applyNumberFormat="1" applyFont="1" applyBorder="1" applyAlignment="1">
      <alignment horizontal="left" wrapText="1"/>
    </xf>
    <xf numFmtId="49" fontId="7" fillId="0" borderId="50" xfId="42" applyNumberFormat="1" applyFont="1" applyBorder="1" applyAlignment="1">
      <alignment horizontal="left"/>
    </xf>
    <xf numFmtId="49" fontId="7" fillId="26" borderId="59" xfId="43" applyNumberFormat="1" applyFont="1" applyFill="1" applyBorder="1" applyAlignment="1">
      <alignment horizontal="left" wrapText="1"/>
    </xf>
    <xf numFmtId="169" fontId="9" fillId="0" borderId="40" xfId="34" applyNumberFormat="1" applyFont="1" applyBorder="1" applyAlignment="1">
      <alignment horizontal="center" vertical="center"/>
    </xf>
    <xf numFmtId="3" fontId="7" fillId="0" borderId="30" xfId="39" applyNumberFormat="1" applyFont="1" applyBorder="1"/>
    <xf numFmtId="0" fontId="10" fillId="25" borderId="16" xfId="39" applyFont="1" applyFill="1" applyBorder="1" applyAlignment="1">
      <alignment horizontal="center" vertical="center" wrapText="1"/>
    </xf>
    <xf numFmtId="0" fontId="15" fillId="25" borderId="16" xfId="39" quotePrefix="1" applyFont="1" applyFill="1" applyBorder="1" applyAlignment="1">
      <alignment horizontal="center" vertical="center" wrapText="1"/>
    </xf>
    <xf numFmtId="0" fontId="10" fillId="37" borderId="46" xfId="42" applyFont="1" applyFill="1" applyBorder="1" applyAlignment="1">
      <alignment horizontal="center" vertical="center" wrapText="1"/>
    </xf>
    <xf numFmtId="0" fontId="37" fillId="0" borderId="0" xfId="39" applyFont="1"/>
    <xf numFmtId="0" fontId="8" fillId="0" borderId="0" xfId="43" applyFont="1"/>
    <xf numFmtId="3" fontId="9" fillId="25" borderId="17" xfId="43" applyNumberFormat="1" applyFont="1" applyFill="1" applyBorder="1"/>
    <xf numFmtId="170" fontId="8" fillId="0" borderId="35" xfId="36" applyNumberFormat="1" applyFont="1" applyBorder="1"/>
    <xf numFmtId="3" fontId="9" fillId="25" borderId="19" xfId="43" applyNumberFormat="1" applyFont="1" applyFill="1" applyBorder="1"/>
    <xf numFmtId="172" fontId="7" fillId="0" borderId="35" xfId="36" applyNumberFormat="1" applyFont="1" applyBorder="1"/>
    <xf numFmtId="167" fontId="7" fillId="0" borderId="35" xfId="36" applyNumberFormat="1" applyFont="1" applyBorder="1" applyAlignment="1">
      <alignment horizontal="center"/>
    </xf>
    <xf numFmtId="170" fontId="38" fillId="0" borderId="0" xfId="43" applyNumberFormat="1" applyFont="1"/>
    <xf numFmtId="1" fontId="38" fillId="0" borderId="0" xfId="43" applyNumberFormat="1" applyFont="1"/>
    <xf numFmtId="14" fontId="8" fillId="0" borderId="0" xfId="43" applyNumberFormat="1" applyFont="1"/>
    <xf numFmtId="3" fontId="9" fillId="25" borderId="37" xfId="43" applyNumberFormat="1" applyFont="1" applyFill="1" applyBorder="1"/>
    <xf numFmtId="3" fontId="9" fillId="25" borderId="23" xfId="43" applyNumberFormat="1" applyFont="1" applyFill="1" applyBorder="1"/>
    <xf numFmtId="170" fontId="9" fillId="25" borderId="17" xfId="36" applyNumberFormat="1" applyFont="1" applyFill="1" applyBorder="1" applyAlignment="1">
      <alignment vertical="center"/>
    </xf>
    <xf numFmtId="170" fontId="9" fillId="25" borderId="23" xfId="36" applyNumberFormat="1" applyFont="1" applyFill="1" applyBorder="1" applyAlignment="1">
      <alignment vertical="center"/>
    </xf>
    <xf numFmtId="3" fontId="9" fillId="25" borderId="27" xfId="43" applyNumberFormat="1" applyFont="1" applyFill="1" applyBorder="1"/>
    <xf numFmtId="3" fontId="9" fillId="25" borderId="26" xfId="43" applyNumberFormat="1" applyFont="1" applyFill="1" applyBorder="1"/>
    <xf numFmtId="172" fontId="7" fillId="0" borderId="38" xfId="36" applyNumberFormat="1" applyFont="1" applyBorder="1"/>
    <xf numFmtId="167" fontId="7" fillId="0" borderId="38" xfId="36" applyNumberFormat="1" applyFont="1" applyBorder="1" applyAlignment="1">
      <alignment horizontal="center"/>
    </xf>
    <xf numFmtId="0" fontId="10" fillId="24" borderId="19" xfId="43" applyFont="1" applyFill="1" applyBorder="1" applyAlignment="1">
      <alignment horizontal="center" vertical="center"/>
    </xf>
    <xf numFmtId="0" fontId="10" fillId="25" borderId="19" xfId="43" applyFont="1" applyFill="1" applyBorder="1" applyAlignment="1">
      <alignment horizontal="center" vertical="center" wrapText="1"/>
    </xf>
    <xf numFmtId="0" fontId="15" fillId="25" borderId="19" xfId="43" quotePrefix="1" applyFont="1" applyFill="1" applyBorder="1" applyAlignment="1">
      <alignment horizontal="center" vertical="center" wrapText="1"/>
    </xf>
    <xf numFmtId="0" fontId="37" fillId="0" borderId="0" xfId="43" applyFont="1"/>
    <xf numFmtId="170" fontId="40" fillId="0" borderId="12" xfId="0" applyNumberFormat="1" applyFont="1" applyBorder="1"/>
    <xf numFmtId="0" fontId="40" fillId="0" borderId="12" xfId="0" applyFont="1" applyBorder="1"/>
    <xf numFmtId="1" fontId="39" fillId="31" borderId="12" xfId="0" applyNumberFormat="1" applyFont="1" applyFill="1" applyBorder="1" applyAlignment="1" applyProtection="1">
      <alignment horizontal="center" vertical="center" wrapText="1"/>
      <protection locked="0"/>
    </xf>
    <xf numFmtId="0" fontId="12" fillId="25" borderId="20" xfId="42" applyFont="1" applyFill="1" applyBorder="1" applyAlignment="1">
      <alignment horizontal="center" vertical="center"/>
    </xf>
    <xf numFmtId="0" fontId="12" fillId="25" borderId="21" xfId="42" applyFont="1" applyFill="1" applyBorder="1" applyAlignment="1">
      <alignment horizontal="center" vertical="center"/>
    </xf>
    <xf numFmtId="0" fontId="12" fillId="25" borderId="29" xfId="42" applyFont="1" applyFill="1" applyBorder="1" applyAlignment="1">
      <alignment horizontal="center" vertical="center"/>
    </xf>
    <xf numFmtId="0" fontId="12" fillId="25" borderId="39" xfId="42" applyFont="1" applyFill="1" applyBorder="1" applyAlignment="1">
      <alignment horizontal="center" vertical="center"/>
    </xf>
    <xf numFmtId="0" fontId="12" fillId="25" borderId="20" xfId="42" applyFont="1" applyFill="1" applyBorder="1" applyAlignment="1">
      <alignment horizontal="center" wrapText="1"/>
    </xf>
    <xf numFmtId="0" fontId="12" fillId="25" borderId="21" xfId="42" applyFont="1" applyFill="1" applyBorder="1" applyAlignment="1">
      <alignment horizontal="center" wrapText="1"/>
    </xf>
    <xf numFmtId="0" fontId="12" fillId="0" borderId="20" xfId="42" applyFont="1" applyBorder="1" applyAlignment="1">
      <alignment horizontal="center" vertical="center"/>
    </xf>
    <xf numFmtId="0" fontId="12" fillId="0" borderId="21" xfId="42" applyFont="1" applyBorder="1" applyAlignment="1">
      <alignment horizontal="center" vertical="center"/>
    </xf>
    <xf numFmtId="0" fontId="12" fillId="0" borderId="29" xfId="42" applyFont="1" applyBorder="1" applyAlignment="1">
      <alignment horizontal="center" vertical="center"/>
    </xf>
    <xf numFmtId="0" fontId="12" fillId="0" borderId="39" xfId="42" applyFont="1" applyBorder="1" applyAlignment="1">
      <alignment horizontal="center" vertical="center"/>
    </xf>
    <xf numFmtId="0" fontId="12" fillId="0" borderId="20" xfId="42" applyFont="1" applyBorder="1" applyAlignment="1">
      <alignment horizontal="center" vertical="center" wrapText="1"/>
    </xf>
    <xf numFmtId="0" fontId="12" fillId="0" borderId="21" xfId="42" applyFont="1" applyBorder="1" applyAlignment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1" builtinId="27" customBuiltin="1"/>
    <cellStyle name="Calculation" xfId="20" builtinId="22" customBuiltin="1"/>
    <cellStyle name="Check Cell" xfId="21" builtinId="23" customBuiltin="1"/>
    <cellStyle name="Explanatory Text" xfId="51" builtinId="53" customBuiltin="1"/>
    <cellStyle name="Good" xfId="19" builtinId="26" customBuiltin="1"/>
    <cellStyle name="Heading 1" xfId="53" builtinId="16" customBuiltin="1"/>
    <cellStyle name="Heading 2" xfId="54" builtinId="17" customBuiltin="1"/>
    <cellStyle name="Heading 3" xfId="55" builtinId="18" customBuiltin="1"/>
    <cellStyle name="Heading 4" xfId="23" builtinId="19" customBuiltin="1"/>
    <cellStyle name="Input" xfId="30" builtinId="20" customBuiltin="1"/>
    <cellStyle name="Linked Cell" xfId="22" builtinId="24" customBuiltin="1"/>
    <cellStyle name="Millares 2" xfId="32" xr:uid="{00000000-0005-0000-0000-000020000000}"/>
    <cellStyle name="Millares 2 2" xfId="33" xr:uid="{00000000-0005-0000-0000-000021000000}"/>
    <cellStyle name="Millares 3" xfId="34" xr:uid="{00000000-0005-0000-0000-000022000000}"/>
    <cellStyle name="Millares 3 2" xfId="35" xr:uid="{00000000-0005-0000-0000-000023000000}"/>
    <cellStyle name="Millares 3 3" xfId="60" xr:uid="{00000000-0005-0000-0000-000024000000}"/>
    <cellStyle name="Millares 3 4" xfId="66" xr:uid="{00000000-0005-0000-0000-000025000000}"/>
    <cellStyle name="Millares 3 5" xfId="70" xr:uid="{00000000-0005-0000-0000-000026000000}"/>
    <cellStyle name="Millares 3 6" xfId="74" xr:uid="{00000000-0005-0000-0000-000027000000}"/>
    <cellStyle name="Millares 3 7" xfId="78" xr:uid="{00000000-0005-0000-0000-000028000000}"/>
    <cellStyle name="Millares 3 8" xfId="83" xr:uid="{00000000-0005-0000-0000-000029000000}"/>
    <cellStyle name="Millares 4" xfId="61" xr:uid="{00000000-0005-0000-0000-00002A000000}"/>
    <cellStyle name="Millares_COBERTURAS DEPARTAMENTALES y MUNICIPALES_AÑO2009" xfId="36" xr:uid="{00000000-0005-0000-0000-00002B000000}"/>
    <cellStyle name="Millares_CONTROL DOSIS Y PORCENTAJES POR MES" xfId="37" xr:uid="{00000000-0005-0000-0000-00002C000000}"/>
    <cellStyle name="Neutral" xfId="38" builtinId="28" customBuiltin="1"/>
    <cellStyle name="Normal" xfId="0" builtinId="0"/>
    <cellStyle name="Normal 2" xfId="39" xr:uid="{00000000-0005-0000-0000-00002F000000}"/>
    <cellStyle name="Normal 2 2" xfId="62" xr:uid="{00000000-0005-0000-0000-000030000000}"/>
    <cellStyle name="Normal 3" xfId="40" xr:uid="{00000000-0005-0000-0000-000031000000}"/>
    <cellStyle name="Normal 3 2" xfId="41" xr:uid="{00000000-0005-0000-0000-000032000000}"/>
    <cellStyle name="Normal 3 2 2" xfId="59" xr:uid="{00000000-0005-0000-0000-000033000000}"/>
    <cellStyle name="Normal 3 2 3" xfId="67" xr:uid="{00000000-0005-0000-0000-000034000000}"/>
    <cellStyle name="Normal 3 2 4" xfId="71" xr:uid="{00000000-0005-0000-0000-000035000000}"/>
    <cellStyle name="Normal 3 2 5" xfId="75" xr:uid="{00000000-0005-0000-0000-000036000000}"/>
    <cellStyle name="Normal 3 2 6" xfId="79" xr:uid="{00000000-0005-0000-0000-000037000000}"/>
    <cellStyle name="Normal 3 2 7" xfId="84" xr:uid="{00000000-0005-0000-0000-000038000000}"/>
    <cellStyle name="Normal 3 3" xfId="57" xr:uid="{00000000-0005-0000-0000-000039000000}"/>
    <cellStyle name="Normal 3 4" xfId="64" xr:uid="{00000000-0005-0000-0000-00003A000000}"/>
    <cellStyle name="Normal 3 5" xfId="68" xr:uid="{00000000-0005-0000-0000-00003B000000}"/>
    <cellStyle name="Normal 3 6" xfId="72" xr:uid="{00000000-0005-0000-0000-00003C000000}"/>
    <cellStyle name="Normal 3 7" xfId="76" xr:uid="{00000000-0005-0000-0000-00003D000000}"/>
    <cellStyle name="Normal 3 8" xfId="81" xr:uid="{00000000-0005-0000-0000-00003E000000}"/>
    <cellStyle name="Normal 3 9" xfId="80" xr:uid="{00000000-0005-0000-0000-00003F000000}"/>
    <cellStyle name="Normal 4" xfId="42" xr:uid="{00000000-0005-0000-0000-000040000000}"/>
    <cellStyle name="Normal 5" xfId="58" xr:uid="{00000000-0005-0000-0000-000041000000}"/>
    <cellStyle name="Normal 5 2" xfId="65" xr:uid="{00000000-0005-0000-0000-000042000000}"/>
    <cellStyle name="Normal 5 3" xfId="69" xr:uid="{00000000-0005-0000-0000-000043000000}"/>
    <cellStyle name="Normal 5 4" xfId="73" xr:uid="{00000000-0005-0000-0000-000044000000}"/>
    <cellStyle name="Normal 5 5" xfId="77" xr:uid="{00000000-0005-0000-0000-000045000000}"/>
    <cellStyle name="Normal 5 6" xfId="82" xr:uid="{00000000-0005-0000-0000-000046000000}"/>
    <cellStyle name="Normal_COBERTURAS DEPARTAMENTALES y MUNICIPALES_AÑO2009" xfId="43" xr:uid="{00000000-0005-0000-0000-000047000000}"/>
    <cellStyle name="Normal_CONTROL DOSIS Y PORCENTAJES POR MES" xfId="44" xr:uid="{00000000-0005-0000-0000-000048000000}"/>
    <cellStyle name="Normal_CONTROL DOSIS Y PORCENTAJES POR MES_12 DICIEMBRE DPTAL y MCPAL2009" xfId="45" xr:uid="{00000000-0005-0000-0000-000049000000}"/>
    <cellStyle name="Normal_Poblacion Mpios 1995-2010 V2" xfId="46" xr:uid="{00000000-0005-0000-0000-00004D000000}"/>
    <cellStyle name="Note" xfId="47" builtinId="10" customBuiltin="1"/>
    <cellStyle name="Output" xfId="49" builtinId="21" customBuiltin="1"/>
    <cellStyle name="Porcentual 2" xfId="48" xr:uid="{00000000-0005-0000-0000-000050000000}"/>
    <cellStyle name="Porcentual 2 2" xfId="63" xr:uid="{00000000-0005-0000-0000-000051000000}"/>
    <cellStyle name="Title" xfId="52" builtinId="15" customBuiltin="1"/>
    <cellStyle name="Total" xfId="56" builtinId="25" customBuiltin="1"/>
    <cellStyle name="Warning Text" xfId="50" builtinId="11" customBuiltin="1"/>
  </cellStyles>
  <dxfs count="1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27"/>
  </sheetPr>
  <dimension ref="A1:R45"/>
  <sheetViews>
    <sheetView zoomScale="24" zoomScaleNormal="90" workbookViewId="0">
      <pane xSplit="2" ySplit="2" topLeftCell="C3" activePane="bottomRight" state="frozen"/>
      <selection pane="bottomRight" activeCell="P20" sqref="P20"/>
      <selection pane="bottomLeft" activeCell="A4" sqref="A4"/>
      <selection pane="topRight" activeCell="A4" sqref="A4"/>
    </sheetView>
  </sheetViews>
  <sheetFormatPr defaultColWidth="11.42578125" defaultRowHeight="12.6"/>
  <cols>
    <col min="1" max="1" width="21.85546875" style="18" customWidth="1"/>
    <col min="2" max="2" width="13.85546875" style="18" customWidth="1"/>
    <col min="3" max="3" width="9.7109375" style="18" customWidth="1"/>
    <col min="4" max="4" width="6.7109375" style="18" customWidth="1"/>
    <col min="5" max="5" width="9.140625" style="18" customWidth="1"/>
    <col min="6" max="6" width="6.7109375" style="18" customWidth="1"/>
    <col min="7" max="7" width="9.5703125" style="18" customWidth="1"/>
    <col min="8" max="8" width="6.7109375" style="18" customWidth="1"/>
    <col min="9" max="9" width="9.28515625" style="18" customWidth="1"/>
    <col min="10" max="10" width="6.7109375" style="18" customWidth="1"/>
    <col min="11" max="11" width="9.5703125" style="18" customWidth="1"/>
    <col min="12" max="12" width="6.7109375" style="18" customWidth="1"/>
    <col min="13" max="13" width="10.140625" style="18" customWidth="1"/>
    <col min="14" max="14" width="9.28515625" style="18" customWidth="1"/>
    <col min="15" max="15" width="6.7109375" style="18" bestFit="1" customWidth="1"/>
    <col min="16" max="16" width="10.28515625" style="18" customWidth="1"/>
    <col min="17" max="17" width="6.7109375" style="18" bestFit="1" customWidth="1"/>
    <col min="18" max="18" width="8" style="18" bestFit="1" customWidth="1"/>
    <col min="19" max="16384" width="11.42578125" style="18"/>
  </cols>
  <sheetData>
    <row r="1" spans="1:18" ht="27" customHeight="1" thickBot="1">
      <c r="A1" s="46" t="s">
        <v>0</v>
      </c>
      <c r="B1" s="46" t="s">
        <v>1</v>
      </c>
      <c r="C1" s="183" t="s">
        <v>2</v>
      </c>
      <c r="D1" s="184"/>
      <c r="E1" s="183" t="s">
        <v>3</v>
      </c>
      <c r="F1" s="184"/>
      <c r="G1" s="183" t="s">
        <v>4</v>
      </c>
      <c r="H1" s="185"/>
      <c r="I1" s="186" t="s">
        <v>5</v>
      </c>
      <c r="J1" s="184"/>
      <c r="K1" s="183" t="s">
        <v>6</v>
      </c>
      <c r="L1" s="184"/>
      <c r="M1" s="45" t="s">
        <v>7</v>
      </c>
      <c r="N1" s="183" t="s">
        <v>8</v>
      </c>
      <c r="O1" s="184"/>
      <c r="P1" s="187" t="s">
        <v>9</v>
      </c>
      <c r="Q1" s="188"/>
      <c r="R1" s="44" t="s">
        <v>10</v>
      </c>
    </row>
    <row r="2" spans="1:18" ht="21" customHeight="1" thickBot="1">
      <c r="A2" s="43"/>
      <c r="B2" s="39" t="s">
        <v>11</v>
      </c>
      <c r="C2" s="40" t="s">
        <v>12</v>
      </c>
      <c r="D2" s="40" t="s">
        <v>13</v>
      </c>
      <c r="E2" s="40" t="s">
        <v>12</v>
      </c>
      <c r="F2" s="40" t="s">
        <v>13</v>
      </c>
      <c r="G2" s="40" t="s">
        <v>14</v>
      </c>
      <c r="H2" s="40" t="s">
        <v>13</v>
      </c>
      <c r="I2" s="40" t="s">
        <v>12</v>
      </c>
      <c r="J2" s="40" t="s">
        <v>13</v>
      </c>
      <c r="K2" s="41" t="s">
        <v>12</v>
      </c>
      <c r="L2" s="40" t="s">
        <v>13</v>
      </c>
      <c r="M2" s="42" t="s">
        <v>15</v>
      </c>
      <c r="N2" s="41" t="s">
        <v>14</v>
      </c>
      <c r="O2" s="40" t="s">
        <v>13</v>
      </c>
      <c r="P2" s="41" t="s">
        <v>14</v>
      </c>
      <c r="Q2" s="40" t="s">
        <v>13</v>
      </c>
      <c r="R2" s="39" t="s">
        <v>16</v>
      </c>
    </row>
    <row r="3" spans="1:18" ht="15.95" customHeight="1">
      <c r="A3" s="96" t="s">
        <v>17</v>
      </c>
      <c r="B3" s="91">
        <v>2056</v>
      </c>
      <c r="C3" s="92">
        <v>1756</v>
      </c>
      <c r="D3" s="93">
        <f t="shared" ref="D3:D38" si="0">ROUND(C3/$B3*100,1)</f>
        <v>85.4</v>
      </c>
      <c r="E3" s="92">
        <v>1755</v>
      </c>
      <c r="F3" s="93">
        <f t="shared" ref="F3:F38" si="1">ROUND(E3/$B3*100,1)</f>
        <v>85.4</v>
      </c>
      <c r="G3" s="92">
        <v>1724</v>
      </c>
      <c r="H3" s="93">
        <f t="shared" ref="H3:H38" si="2">ROUND(G3/$B3*100,1)</f>
        <v>83.9</v>
      </c>
      <c r="I3" s="92">
        <v>1771</v>
      </c>
      <c r="J3" s="93">
        <f t="shared" ref="J3:J38" si="3">ROUND(I3/$B3*100,1)</f>
        <v>86.1</v>
      </c>
      <c r="K3" s="92">
        <v>1755</v>
      </c>
      <c r="L3" s="93">
        <f t="shared" ref="L3:L38" si="4">ROUND(K3/$B3*100,1)</f>
        <v>85.4</v>
      </c>
      <c r="M3" s="94">
        <v>2018</v>
      </c>
      <c r="N3" s="92">
        <v>1693</v>
      </c>
      <c r="O3" s="93">
        <f t="shared" ref="O3:O38" si="5">ROUND(N3/$M3*100,1)</f>
        <v>83.9</v>
      </c>
      <c r="P3" s="92">
        <f>1012+314+133</f>
        <v>1459</v>
      </c>
      <c r="Q3" s="93">
        <f t="shared" ref="Q3:Q38" si="6">ROUND(P3/$M3*100,1)</f>
        <v>72.3</v>
      </c>
      <c r="R3" s="28" t="s">
        <v>18</v>
      </c>
    </row>
    <row r="4" spans="1:18" ht="15.95" customHeight="1">
      <c r="A4" s="95" t="s">
        <v>19</v>
      </c>
      <c r="B4" s="87">
        <v>102541</v>
      </c>
      <c r="C4" s="88">
        <v>88862</v>
      </c>
      <c r="D4" s="89">
        <f t="shared" si="0"/>
        <v>86.7</v>
      </c>
      <c r="E4" s="88">
        <v>89593</v>
      </c>
      <c r="F4" s="89">
        <f t="shared" si="1"/>
        <v>87.4</v>
      </c>
      <c r="G4" s="88">
        <v>96624</v>
      </c>
      <c r="H4" s="89">
        <f t="shared" si="2"/>
        <v>94.2</v>
      </c>
      <c r="I4" s="88">
        <v>89395</v>
      </c>
      <c r="J4" s="89">
        <f t="shared" si="3"/>
        <v>87.2</v>
      </c>
      <c r="K4" s="88">
        <v>89593</v>
      </c>
      <c r="L4" s="89">
        <f t="shared" si="4"/>
        <v>87.4</v>
      </c>
      <c r="M4" s="38">
        <v>102800</v>
      </c>
      <c r="N4" s="90">
        <v>94854</v>
      </c>
      <c r="O4" s="89">
        <f t="shared" si="5"/>
        <v>92.3</v>
      </c>
      <c r="P4" s="90">
        <v>93715</v>
      </c>
      <c r="Q4" s="89">
        <f t="shared" si="6"/>
        <v>91.2</v>
      </c>
      <c r="R4" s="22" t="s">
        <v>18</v>
      </c>
    </row>
    <row r="5" spans="1:18" ht="15.95" customHeight="1">
      <c r="A5" s="35" t="s">
        <v>20</v>
      </c>
      <c r="B5" s="31">
        <v>6788</v>
      </c>
      <c r="C5" s="29">
        <v>5820</v>
      </c>
      <c r="D5" s="21">
        <f t="shared" si="0"/>
        <v>85.7</v>
      </c>
      <c r="E5" s="29">
        <v>5875</v>
      </c>
      <c r="F5" s="21">
        <f t="shared" si="1"/>
        <v>86.5</v>
      </c>
      <c r="G5" s="29">
        <v>5046</v>
      </c>
      <c r="H5" s="21">
        <f t="shared" si="2"/>
        <v>74.3</v>
      </c>
      <c r="I5" s="29">
        <v>5875</v>
      </c>
      <c r="J5" s="21">
        <f t="shared" si="3"/>
        <v>86.5</v>
      </c>
      <c r="K5" s="29">
        <v>5875</v>
      </c>
      <c r="L5" s="21">
        <f t="shared" si="4"/>
        <v>86.5</v>
      </c>
      <c r="M5" s="30">
        <v>6897</v>
      </c>
      <c r="N5" s="29">
        <v>5593</v>
      </c>
      <c r="O5" s="21">
        <f t="shared" si="5"/>
        <v>81.099999999999994</v>
      </c>
      <c r="P5" s="34">
        <f>364+361+610+601+533+445+534+468+499+520+437+436</f>
        <v>5808</v>
      </c>
      <c r="Q5" s="21">
        <f t="shared" si="6"/>
        <v>84.2</v>
      </c>
      <c r="R5" s="28" t="s">
        <v>18</v>
      </c>
    </row>
    <row r="6" spans="1:18" ht="15.95" customHeight="1">
      <c r="A6" s="35" t="s">
        <v>21</v>
      </c>
      <c r="B6" s="31">
        <v>21045</v>
      </c>
      <c r="C6" s="29">
        <v>18367</v>
      </c>
      <c r="D6" s="21">
        <f t="shared" si="0"/>
        <v>87.3</v>
      </c>
      <c r="E6" s="29">
        <v>18365</v>
      </c>
      <c r="F6" s="21">
        <f t="shared" si="1"/>
        <v>87.3</v>
      </c>
      <c r="G6" s="29">
        <v>15754</v>
      </c>
      <c r="H6" s="21">
        <f t="shared" si="2"/>
        <v>74.900000000000006</v>
      </c>
      <c r="I6" s="29">
        <v>18339</v>
      </c>
      <c r="J6" s="21">
        <f t="shared" si="3"/>
        <v>87.1</v>
      </c>
      <c r="K6" s="29">
        <v>18365</v>
      </c>
      <c r="L6" s="21">
        <f t="shared" si="4"/>
        <v>87.3</v>
      </c>
      <c r="M6" s="30">
        <v>21643</v>
      </c>
      <c r="N6" s="29">
        <v>18683</v>
      </c>
      <c r="O6" s="21">
        <f t="shared" si="5"/>
        <v>86.3</v>
      </c>
      <c r="P6" s="29">
        <f>1240+1134+1317+1686+1499+1339+1763+1666+1981+1736+1708+1517</f>
        <v>18586</v>
      </c>
      <c r="Q6" s="21">
        <f t="shared" si="6"/>
        <v>85.9</v>
      </c>
      <c r="R6" s="28" t="s">
        <v>18</v>
      </c>
    </row>
    <row r="7" spans="1:18" ht="15.95" customHeight="1">
      <c r="A7" s="32" t="s">
        <v>22</v>
      </c>
      <c r="B7" s="31">
        <v>22173</v>
      </c>
      <c r="C7" s="29">
        <v>26623</v>
      </c>
      <c r="D7" s="21">
        <f t="shared" si="0"/>
        <v>120.1</v>
      </c>
      <c r="E7" s="29">
        <v>26622</v>
      </c>
      <c r="F7" s="21">
        <f t="shared" si="1"/>
        <v>120.1</v>
      </c>
      <c r="G7" s="29">
        <v>31809</v>
      </c>
      <c r="H7" s="21">
        <f t="shared" si="2"/>
        <v>143.5</v>
      </c>
      <c r="I7" s="29">
        <v>26660</v>
      </c>
      <c r="J7" s="21">
        <f t="shared" si="3"/>
        <v>120.2</v>
      </c>
      <c r="K7" s="29">
        <v>26622</v>
      </c>
      <c r="L7" s="21">
        <f t="shared" si="4"/>
        <v>120.1</v>
      </c>
      <c r="M7" s="30">
        <v>22096</v>
      </c>
      <c r="N7" s="29">
        <v>25881</v>
      </c>
      <c r="O7" s="21">
        <f t="shared" si="5"/>
        <v>117.1</v>
      </c>
      <c r="P7" s="29">
        <f>24026+2331</f>
        <v>26357</v>
      </c>
      <c r="Q7" s="21">
        <f t="shared" si="6"/>
        <v>119.3</v>
      </c>
      <c r="R7" s="28" t="s">
        <v>18</v>
      </c>
    </row>
    <row r="8" spans="1:18" ht="15.95" customHeight="1">
      <c r="A8" s="35" t="s">
        <v>23</v>
      </c>
      <c r="B8" s="37">
        <v>118045</v>
      </c>
      <c r="C8" s="29">
        <v>111145</v>
      </c>
      <c r="D8" s="21">
        <f t="shared" si="0"/>
        <v>94.2</v>
      </c>
      <c r="E8" s="29">
        <v>110967</v>
      </c>
      <c r="F8" s="21">
        <f t="shared" si="1"/>
        <v>94</v>
      </c>
      <c r="G8" s="29">
        <v>122304</v>
      </c>
      <c r="H8" s="21">
        <f t="shared" si="2"/>
        <v>103.6</v>
      </c>
      <c r="I8" s="29">
        <v>111130</v>
      </c>
      <c r="J8" s="21">
        <f t="shared" si="3"/>
        <v>94.1</v>
      </c>
      <c r="K8" s="29">
        <v>111070</v>
      </c>
      <c r="L8" s="21">
        <f t="shared" si="4"/>
        <v>94.1</v>
      </c>
      <c r="M8" s="30">
        <v>117581</v>
      </c>
      <c r="N8" s="29">
        <v>110882</v>
      </c>
      <c r="O8" s="21">
        <f t="shared" si="5"/>
        <v>94.3</v>
      </c>
      <c r="P8" s="29">
        <v>108480</v>
      </c>
      <c r="Q8" s="21">
        <f t="shared" si="6"/>
        <v>92.3</v>
      </c>
      <c r="R8" s="28" t="s">
        <v>18</v>
      </c>
    </row>
    <row r="9" spans="1:18" ht="15.95" customHeight="1">
      <c r="A9" s="35" t="s">
        <v>24</v>
      </c>
      <c r="B9" s="31">
        <v>23106</v>
      </c>
      <c r="C9" s="29">
        <v>22633</v>
      </c>
      <c r="D9" s="21">
        <f t="shared" si="0"/>
        <v>98</v>
      </c>
      <c r="E9" s="29">
        <v>22646</v>
      </c>
      <c r="F9" s="21">
        <f t="shared" si="1"/>
        <v>98</v>
      </c>
      <c r="G9" s="29">
        <v>21823</v>
      </c>
      <c r="H9" s="21">
        <f t="shared" si="2"/>
        <v>94.4</v>
      </c>
      <c r="I9" s="29">
        <v>22741</v>
      </c>
      <c r="J9" s="21">
        <f t="shared" si="3"/>
        <v>98.4</v>
      </c>
      <c r="K9" s="29">
        <v>22646</v>
      </c>
      <c r="L9" s="21">
        <f t="shared" si="4"/>
        <v>98</v>
      </c>
      <c r="M9" s="30">
        <v>23175</v>
      </c>
      <c r="N9" s="29">
        <v>20318</v>
      </c>
      <c r="O9" s="21">
        <f t="shared" si="5"/>
        <v>87.7</v>
      </c>
      <c r="P9" s="34">
        <f>12546+898+1595</f>
        <v>15039</v>
      </c>
      <c r="Q9" s="21">
        <f t="shared" si="6"/>
        <v>64.900000000000006</v>
      </c>
      <c r="R9" s="28" t="s">
        <v>18</v>
      </c>
    </row>
    <row r="10" spans="1:18" ht="15.95" customHeight="1">
      <c r="A10" s="32" t="s">
        <v>25</v>
      </c>
      <c r="B10" s="31">
        <v>18603</v>
      </c>
      <c r="C10" s="29">
        <v>21772</v>
      </c>
      <c r="D10" s="21">
        <f t="shared" si="0"/>
        <v>117</v>
      </c>
      <c r="E10" s="29">
        <v>21506</v>
      </c>
      <c r="F10" s="21">
        <f t="shared" si="1"/>
        <v>115.6</v>
      </c>
      <c r="G10" s="29">
        <v>22339</v>
      </c>
      <c r="H10" s="21">
        <f t="shared" si="2"/>
        <v>120.1</v>
      </c>
      <c r="I10" s="29">
        <v>21506</v>
      </c>
      <c r="J10" s="21">
        <f t="shared" si="3"/>
        <v>115.6</v>
      </c>
      <c r="K10" s="29">
        <v>21506</v>
      </c>
      <c r="L10" s="21">
        <f t="shared" si="4"/>
        <v>115.6</v>
      </c>
      <c r="M10" s="30">
        <v>18364</v>
      </c>
      <c r="N10" s="29">
        <v>23518</v>
      </c>
      <c r="O10" s="21">
        <f t="shared" si="5"/>
        <v>128.1</v>
      </c>
      <c r="P10" s="29">
        <f>15878+1320+1763</f>
        <v>18961</v>
      </c>
      <c r="Q10" s="21">
        <f t="shared" si="6"/>
        <v>103.3</v>
      </c>
      <c r="R10" s="28" t="s">
        <v>18</v>
      </c>
    </row>
    <row r="11" spans="1:18" ht="15.95" customHeight="1">
      <c r="A11" s="32" t="s">
        <v>26</v>
      </c>
      <c r="B11" s="31">
        <v>24198</v>
      </c>
      <c r="C11" s="29">
        <v>21937</v>
      </c>
      <c r="D11" s="21">
        <f t="shared" si="0"/>
        <v>90.7</v>
      </c>
      <c r="E11" s="29">
        <v>21919</v>
      </c>
      <c r="F11" s="21">
        <f t="shared" si="1"/>
        <v>90.6</v>
      </c>
      <c r="G11" s="29">
        <v>20122</v>
      </c>
      <c r="H11" s="21">
        <f t="shared" si="2"/>
        <v>83.2</v>
      </c>
      <c r="I11" s="29">
        <v>21919</v>
      </c>
      <c r="J11" s="21">
        <f t="shared" si="3"/>
        <v>90.6</v>
      </c>
      <c r="K11" s="29">
        <v>21919</v>
      </c>
      <c r="L11" s="21">
        <f t="shared" si="4"/>
        <v>90.6</v>
      </c>
      <c r="M11" s="30">
        <v>24568</v>
      </c>
      <c r="N11" s="29">
        <v>22794</v>
      </c>
      <c r="O11" s="21">
        <f t="shared" si="5"/>
        <v>92.8</v>
      </c>
      <c r="P11" s="29">
        <f>1804+1732+2308+1376+1497+1991+1539+2557+1651+2135+1599</f>
        <v>20189</v>
      </c>
      <c r="Q11" s="21">
        <f t="shared" si="6"/>
        <v>82.2</v>
      </c>
      <c r="R11" s="28" t="s">
        <v>18</v>
      </c>
    </row>
    <row r="12" spans="1:18" ht="15.95" customHeight="1">
      <c r="A12" s="32" t="s">
        <v>27</v>
      </c>
      <c r="B12" s="31">
        <v>17014</v>
      </c>
      <c r="C12" s="29">
        <v>13389</v>
      </c>
      <c r="D12" s="21">
        <f t="shared" si="0"/>
        <v>78.7</v>
      </c>
      <c r="E12" s="29">
        <v>13389</v>
      </c>
      <c r="F12" s="21">
        <f t="shared" si="1"/>
        <v>78.7</v>
      </c>
      <c r="G12" s="29">
        <v>11501</v>
      </c>
      <c r="H12" s="21">
        <f t="shared" si="2"/>
        <v>67.599999999999994</v>
      </c>
      <c r="I12" s="29">
        <v>13389</v>
      </c>
      <c r="J12" s="21">
        <f t="shared" si="3"/>
        <v>78.7</v>
      </c>
      <c r="K12" s="29">
        <v>13389</v>
      </c>
      <c r="L12" s="21">
        <f t="shared" si="4"/>
        <v>78.7</v>
      </c>
      <c r="M12" s="30">
        <v>16990</v>
      </c>
      <c r="N12" s="29">
        <v>13673</v>
      </c>
      <c r="O12" s="21">
        <f t="shared" si="5"/>
        <v>80.5</v>
      </c>
      <c r="P12" s="29">
        <v>13663</v>
      </c>
      <c r="Q12" s="21">
        <f t="shared" si="6"/>
        <v>80.400000000000006</v>
      </c>
      <c r="R12" s="28" t="s">
        <v>18</v>
      </c>
    </row>
    <row r="13" spans="1:18" ht="15.95" customHeight="1">
      <c r="A13" s="35" t="s">
        <v>28</v>
      </c>
      <c r="B13" s="31">
        <v>10874</v>
      </c>
      <c r="C13" s="29">
        <v>10715</v>
      </c>
      <c r="D13" s="21">
        <f t="shared" si="0"/>
        <v>98.5</v>
      </c>
      <c r="E13" s="29">
        <v>10715</v>
      </c>
      <c r="F13" s="21">
        <f t="shared" si="1"/>
        <v>98.5</v>
      </c>
      <c r="G13" s="29">
        <v>11032</v>
      </c>
      <c r="H13" s="21">
        <f t="shared" si="2"/>
        <v>101.5</v>
      </c>
      <c r="I13" s="29">
        <v>11005</v>
      </c>
      <c r="J13" s="21">
        <f t="shared" si="3"/>
        <v>101.2</v>
      </c>
      <c r="K13" s="29">
        <v>10683</v>
      </c>
      <c r="L13" s="21">
        <f t="shared" si="4"/>
        <v>98.2</v>
      </c>
      <c r="M13" s="30">
        <v>10936</v>
      </c>
      <c r="N13" s="29">
        <v>9864</v>
      </c>
      <c r="O13" s="21">
        <f t="shared" si="5"/>
        <v>90.2</v>
      </c>
      <c r="P13" s="34">
        <f>6714+892+460</f>
        <v>8066</v>
      </c>
      <c r="Q13" s="21">
        <f t="shared" si="6"/>
        <v>73.8</v>
      </c>
      <c r="R13" s="28" t="s">
        <v>18</v>
      </c>
    </row>
    <row r="14" spans="1:18" ht="15.95" customHeight="1">
      <c r="A14" s="32" t="s">
        <v>29</v>
      </c>
      <c r="B14" s="31">
        <v>6982</v>
      </c>
      <c r="C14" s="29">
        <v>6889</v>
      </c>
      <c r="D14" s="21">
        <f t="shared" si="0"/>
        <v>98.7</v>
      </c>
      <c r="E14" s="29">
        <v>6889</v>
      </c>
      <c r="F14" s="21">
        <f t="shared" si="1"/>
        <v>98.7</v>
      </c>
      <c r="G14" s="29">
        <v>6715</v>
      </c>
      <c r="H14" s="21">
        <f t="shared" si="2"/>
        <v>96.2</v>
      </c>
      <c r="I14" s="29">
        <v>6894</v>
      </c>
      <c r="J14" s="21">
        <f t="shared" si="3"/>
        <v>98.7</v>
      </c>
      <c r="K14" s="29">
        <v>6889</v>
      </c>
      <c r="L14" s="21">
        <f t="shared" si="4"/>
        <v>98.7</v>
      </c>
      <c r="M14" s="30">
        <v>7015</v>
      </c>
      <c r="N14" s="29">
        <v>6635</v>
      </c>
      <c r="O14" s="21">
        <f t="shared" si="5"/>
        <v>94.6</v>
      </c>
      <c r="P14" s="29">
        <f>4461+570+486</f>
        <v>5517</v>
      </c>
      <c r="Q14" s="21">
        <f t="shared" si="6"/>
        <v>78.599999999999994</v>
      </c>
      <c r="R14" s="28" t="s">
        <v>18</v>
      </c>
    </row>
    <row r="15" spans="1:18" ht="15.95" customHeight="1">
      <c r="A15" s="35" t="s">
        <v>30</v>
      </c>
      <c r="B15" s="31">
        <v>26025</v>
      </c>
      <c r="C15" s="29">
        <v>19903</v>
      </c>
      <c r="D15" s="21">
        <f t="shared" si="0"/>
        <v>76.5</v>
      </c>
      <c r="E15" s="29">
        <v>20188</v>
      </c>
      <c r="F15" s="21">
        <f t="shared" si="1"/>
        <v>77.599999999999994</v>
      </c>
      <c r="G15" s="29">
        <v>19217</v>
      </c>
      <c r="H15" s="21">
        <f t="shared" si="2"/>
        <v>73.8</v>
      </c>
      <c r="I15" s="29">
        <v>20131</v>
      </c>
      <c r="J15" s="21">
        <f t="shared" si="3"/>
        <v>77.400000000000006</v>
      </c>
      <c r="K15" s="29">
        <v>20187</v>
      </c>
      <c r="L15" s="21">
        <f t="shared" si="4"/>
        <v>77.599999999999994</v>
      </c>
      <c r="M15" s="30">
        <v>26233</v>
      </c>
      <c r="N15" s="29">
        <v>20667</v>
      </c>
      <c r="O15" s="21">
        <f t="shared" si="5"/>
        <v>78.8</v>
      </c>
      <c r="P15" s="34">
        <v>4883</v>
      </c>
      <c r="Q15" s="21">
        <f t="shared" si="6"/>
        <v>18.600000000000001</v>
      </c>
      <c r="R15" s="28" t="s">
        <v>18</v>
      </c>
    </row>
    <row r="16" spans="1:18" ht="15.95" customHeight="1">
      <c r="A16" s="35" t="s">
        <v>31</v>
      </c>
      <c r="B16" s="31">
        <v>22366</v>
      </c>
      <c r="C16" s="29">
        <v>23972</v>
      </c>
      <c r="D16" s="21">
        <f t="shared" si="0"/>
        <v>107.2</v>
      </c>
      <c r="E16" s="29">
        <v>23972</v>
      </c>
      <c r="F16" s="21">
        <f t="shared" si="1"/>
        <v>107.2</v>
      </c>
      <c r="G16" s="29">
        <v>27257</v>
      </c>
      <c r="H16" s="21">
        <f t="shared" si="2"/>
        <v>121.9</v>
      </c>
      <c r="I16" s="29">
        <v>23972</v>
      </c>
      <c r="J16" s="21">
        <f t="shared" si="3"/>
        <v>107.2</v>
      </c>
      <c r="K16" s="29">
        <v>23969</v>
      </c>
      <c r="L16" s="21">
        <f t="shared" si="4"/>
        <v>107.2</v>
      </c>
      <c r="M16" s="30">
        <v>22410</v>
      </c>
      <c r="N16" s="29">
        <v>23779</v>
      </c>
      <c r="O16" s="21">
        <f t="shared" si="5"/>
        <v>106.1</v>
      </c>
      <c r="P16" s="34">
        <f>1933+1851+1913+2180+1947+1759+1908+2064+2404+2131+1986+1638</f>
        <v>23714</v>
      </c>
      <c r="Q16" s="21">
        <f t="shared" si="6"/>
        <v>105.8</v>
      </c>
      <c r="R16" s="28" t="s">
        <v>18</v>
      </c>
    </row>
    <row r="17" spans="1:18" ht="15.95" customHeight="1">
      <c r="A17" s="35" t="s">
        <v>32</v>
      </c>
      <c r="B17" s="31">
        <v>13637</v>
      </c>
      <c r="C17" s="29">
        <v>9345</v>
      </c>
      <c r="D17" s="21">
        <f t="shared" si="0"/>
        <v>68.5</v>
      </c>
      <c r="E17" s="29">
        <v>9319</v>
      </c>
      <c r="F17" s="21">
        <f t="shared" si="1"/>
        <v>68.3</v>
      </c>
      <c r="G17" s="29">
        <v>9951</v>
      </c>
      <c r="H17" s="21">
        <f t="shared" si="2"/>
        <v>73</v>
      </c>
      <c r="I17" s="29">
        <v>9407</v>
      </c>
      <c r="J17" s="21">
        <f t="shared" si="3"/>
        <v>69</v>
      </c>
      <c r="K17" s="29">
        <v>9312</v>
      </c>
      <c r="L17" s="21">
        <f t="shared" si="4"/>
        <v>68.3</v>
      </c>
      <c r="M17" s="30">
        <v>13477</v>
      </c>
      <c r="N17" s="29">
        <v>9713</v>
      </c>
      <c r="O17" s="21">
        <f t="shared" si="5"/>
        <v>72.099999999999994</v>
      </c>
      <c r="P17" s="29">
        <f>6441+926+669</f>
        <v>8036</v>
      </c>
      <c r="Q17" s="21">
        <f t="shared" si="6"/>
        <v>59.6</v>
      </c>
      <c r="R17" s="28" t="s">
        <v>18</v>
      </c>
    </row>
    <row r="18" spans="1:18" ht="15.95" customHeight="1">
      <c r="A18" s="35" t="s">
        <v>33</v>
      </c>
      <c r="B18" s="31">
        <v>35603</v>
      </c>
      <c r="C18" s="29">
        <v>32038</v>
      </c>
      <c r="D18" s="21">
        <f t="shared" si="0"/>
        <v>90</v>
      </c>
      <c r="E18" s="29">
        <v>31288</v>
      </c>
      <c r="F18" s="21">
        <f t="shared" si="1"/>
        <v>87.9</v>
      </c>
      <c r="G18" s="29">
        <v>32889</v>
      </c>
      <c r="H18" s="21">
        <f t="shared" si="2"/>
        <v>92.4</v>
      </c>
      <c r="I18" s="29">
        <v>31008</v>
      </c>
      <c r="J18" s="21">
        <f t="shared" si="3"/>
        <v>87.1</v>
      </c>
      <c r="K18" s="29">
        <v>31336</v>
      </c>
      <c r="L18" s="21">
        <f t="shared" si="4"/>
        <v>88</v>
      </c>
      <c r="M18" s="30">
        <v>35386</v>
      </c>
      <c r="N18" s="29">
        <v>34234</v>
      </c>
      <c r="O18" s="21">
        <f t="shared" si="5"/>
        <v>96.7</v>
      </c>
      <c r="P18" s="34">
        <v>10869</v>
      </c>
      <c r="Q18" s="21">
        <f t="shared" si="6"/>
        <v>30.7</v>
      </c>
      <c r="R18" s="28" t="s">
        <v>18</v>
      </c>
    </row>
    <row r="19" spans="1:18" ht="15.95" customHeight="1">
      <c r="A19" s="35" t="s">
        <v>34</v>
      </c>
      <c r="B19" s="31">
        <v>45443</v>
      </c>
      <c r="C19" s="29">
        <v>37287</v>
      </c>
      <c r="D19" s="21">
        <f t="shared" si="0"/>
        <v>82.1</v>
      </c>
      <c r="E19" s="29">
        <v>37285</v>
      </c>
      <c r="F19" s="21">
        <f t="shared" si="1"/>
        <v>82</v>
      </c>
      <c r="G19" s="29">
        <v>31274</v>
      </c>
      <c r="H19" s="21">
        <f t="shared" si="2"/>
        <v>68.8</v>
      </c>
      <c r="I19" s="29">
        <v>37285</v>
      </c>
      <c r="J19" s="21">
        <f t="shared" si="3"/>
        <v>82</v>
      </c>
      <c r="K19" s="29">
        <v>37285</v>
      </c>
      <c r="L19" s="21">
        <f t="shared" si="4"/>
        <v>82</v>
      </c>
      <c r="M19" s="30">
        <v>45367</v>
      </c>
      <c r="N19" s="29">
        <v>36927</v>
      </c>
      <c r="O19" s="21">
        <f t="shared" si="5"/>
        <v>81.400000000000006</v>
      </c>
      <c r="P19" s="29">
        <v>36867</v>
      </c>
      <c r="Q19" s="21">
        <f t="shared" si="6"/>
        <v>81.3</v>
      </c>
      <c r="R19" s="28" t="s">
        <v>18</v>
      </c>
    </row>
    <row r="20" spans="1:18" ht="15.95" customHeight="1">
      <c r="A20" s="35" t="s">
        <v>35</v>
      </c>
      <c r="B20" s="31">
        <v>983</v>
      </c>
      <c r="C20" s="29">
        <v>571</v>
      </c>
      <c r="D20" s="21">
        <f t="shared" si="0"/>
        <v>58.1</v>
      </c>
      <c r="E20" s="29">
        <v>571</v>
      </c>
      <c r="F20" s="21">
        <f t="shared" si="1"/>
        <v>58.1</v>
      </c>
      <c r="G20" s="29">
        <v>764</v>
      </c>
      <c r="H20" s="21">
        <f t="shared" si="2"/>
        <v>77.7</v>
      </c>
      <c r="I20" s="29">
        <v>573</v>
      </c>
      <c r="J20" s="21">
        <f t="shared" si="3"/>
        <v>58.3</v>
      </c>
      <c r="K20" s="29">
        <v>571</v>
      </c>
      <c r="L20" s="21">
        <f t="shared" si="4"/>
        <v>58.1</v>
      </c>
      <c r="M20" s="30">
        <v>976</v>
      </c>
      <c r="N20" s="29">
        <v>883</v>
      </c>
      <c r="O20" s="21">
        <f t="shared" si="5"/>
        <v>90.5</v>
      </c>
      <c r="P20" s="34">
        <f>564+83+60</f>
        <v>707</v>
      </c>
      <c r="Q20" s="21">
        <f t="shared" si="6"/>
        <v>72.400000000000006</v>
      </c>
      <c r="R20" s="28" t="s">
        <v>18</v>
      </c>
    </row>
    <row r="21" spans="1:18" ht="15.95" customHeight="1">
      <c r="A21" s="32" t="s">
        <v>36</v>
      </c>
      <c r="B21" s="31">
        <v>2780</v>
      </c>
      <c r="C21" s="29">
        <v>2371</v>
      </c>
      <c r="D21" s="21">
        <f t="shared" si="0"/>
        <v>85.3</v>
      </c>
      <c r="E21" s="29">
        <v>2371</v>
      </c>
      <c r="F21" s="21">
        <f t="shared" si="1"/>
        <v>85.3</v>
      </c>
      <c r="G21" s="29">
        <v>2217</v>
      </c>
      <c r="H21" s="21">
        <f t="shared" si="2"/>
        <v>79.7</v>
      </c>
      <c r="I21" s="29">
        <v>2371</v>
      </c>
      <c r="J21" s="21">
        <f t="shared" si="3"/>
        <v>85.3</v>
      </c>
      <c r="K21" s="29">
        <v>2371</v>
      </c>
      <c r="L21" s="21">
        <f t="shared" si="4"/>
        <v>85.3</v>
      </c>
      <c r="M21" s="30">
        <v>2774</v>
      </c>
      <c r="N21" s="29">
        <v>2220</v>
      </c>
      <c r="O21" s="21">
        <f t="shared" si="5"/>
        <v>80</v>
      </c>
      <c r="P21" s="29">
        <f>1235+176+148</f>
        <v>1559</v>
      </c>
      <c r="Q21" s="21">
        <f t="shared" si="6"/>
        <v>56.2</v>
      </c>
      <c r="R21" s="28" t="s">
        <v>18</v>
      </c>
    </row>
    <row r="22" spans="1:18" ht="15.95" customHeight="1">
      <c r="A22" s="32" t="s">
        <v>37</v>
      </c>
      <c r="B22" s="31">
        <v>22460</v>
      </c>
      <c r="C22" s="29">
        <v>21717</v>
      </c>
      <c r="D22" s="21">
        <f t="shared" si="0"/>
        <v>96.7</v>
      </c>
      <c r="E22" s="29">
        <v>21928</v>
      </c>
      <c r="F22" s="21">
        <f t="shared" si="1"/>
        <v>97.6</v>
      </c>
      <c r="G22" s="29">
        <v>21920</v>
      </c>
      <c r="H22" s="21">
        <f t="shared" si="2"/>
        <v>97.6</v>
      </c>
      <c r="I22" s="29">
        <v>21950</v>
      </c>
      <c r="J22" s="21">
        <f t="shared" si="3"/>
        <v>97.7</v>
      </c>
      <c r="K22" s="29">
        <v>21928</v>
      </c>
      <c r="L22" s="21">
        <f t="shared" si="4"/>
        <v>97.6</v>
      </c>
      <c r="M22" s="30">
        <v>22451</v>
      </c>
      <c r="N22" s="29">
        <v>22603</v>
      </c>
      <c r="O22" s="21">
        <f t="shared" si="5"/>
        <v>100.7</v>
      </c>
      <c r="P22" s="29">
        <f>14135+1787+1185</f>
        <v>17107</v>
      </c>
      <c r="Q22" s="21">
        <f t="shared" si="6"/>
        <v>76.2</v>
      </c>
      <c r="R22" s="28" t="s">
        <v>18</v>
      </c>
    </row>
    <row r="23" spans="1:18" ht="15.95" customHeight="1">
      <c r="A23" s="32" t="s">
        <v>38</v>
      </c>
      <c r="B23" s="31">
        <v>22233</v>
      </c>
      <c r="C23" s="29">
        <v>15341</v>
      </c>
      <c r="D23" s="21">
        <f t="shared" si="0"/>
        <v>69</v>
      </c>
      <c r="E23" s="29">
        <v>15152</v>
      </c>
      <c r="F23" s="21">
        <f t="shared" si="1"/>
        <v>68.2</v>
      </c>
      <c r="G23" s="29">
        <v>16101</v>
      </c>
      <c r="H23" s="21">
        <f t="shared" si="2"/>
        <v>72.400000000000006</v>
      </c>
      <c r="I23" s="29">
        <v>15332</v>
      </c>
      <c r="J23" s="21">
        <f t="shared" si="3"/>
        <v>69</v>
      </c>
      <c r="K23" s="29">
        <v>14965</v>
      </c>
      <c r="L23" s="21">
        <f t="shared" si="4"/>
        <v>67.3</v>
      </c>
      <c r="M23" s="30">
        <v>21621</v>
      </c>
      <c r="N23" s="29">
        <v>14834</v>
      </c>
      <c r="O23" s="21">
        <f t="shared" si="5"/>
        <v>68.599999999999994</v>
      </c>
      <c r="P23" s="29">
        <f>680+721+554+2112+980+869+1166+1391+1718+1231+726+1077</f>
        <v>13225</v>
      </c>
      <c r="Q23" s="21">
        <f t="shared" si="6"/>
        <v>61.2</v>
      </c>
      <c r="R23" s="28" t="s">
        <v>18</v>
      </c>
    </row>
    <row r="24" spans="1:18" ht="15.95" customHeight="1">
      <c r="A24" s="32" t="s">
        <v>39</v>
      </c>
      <c r="B24" s="33">
        <v>18724</v>
      </c>
      <c r="C24" s="29">
        <v>20873</v>
      </c>
      <c r="D24" s="21">
        <f t="shared" si="0"/>
        <v>111.5</v>
      </c>
      <c r="E24" s="29">
        <v>20873</v>
      </c>
      <c r="F24" s="21">
        <f t="shared" si="1"/>
        <v>111.5</v>
      </c>
      <c r="G24" s="29">
        <v>19968</v>
      </c>
      <c r="H24" s="21">
        <f t="shared" si="2"/>
        <v>106.6</v>
      </c>
      <c r="I24" s="29">
        <v>20873</v>
      </c>
      <c r="J24" s="21">
        <f t="shared" si="3"/>
        <v>111.5</v>
      </c>
      <c r="K24" s="29">
        <v>20873</v>
      </c>
      <c r="L24" s="21">
        <f t="shared" si="4"/>
        <v>111.5</v>
      </c>
      <c r="M24" s="30">
        <v>18715</v>
      </c>
      <c r="N24" s="29">
        <v>21096</v>
      </c>
      <c r="O24" s="21">
        <f t="shared" si="5"/>
        <v>112.7</v>
      </c>
      <c r="P24" s="29">
        <f>9984+1020+1387</f>
        <v>12391</v>
      </c>
      <c r="Q24" s="21">
        <f t="shared" si="6"/>
        <v>66.2</v>
      </c>
      <c r="R24" s="28" t="s">
        <v>18</v>
      </c>
    </row>
    <row r="25" spans="1:18" ht="15.95" customHeight="1">
      <c r="A25" s="35" t="s">
        <v>40</v>
      </c>
      <c r="B25" s="33">
        <v>9167</v>
      </c>
      <c r="C25" s="29">
        <v>8688</v>
      </c>
      <c r="D25" s="21">
        <f t="shared" si="0"/>
        <v>94.8</v>
      </c>
      <c r="E25" s="29">
        <v>8688</v>
      </c>
      <c r="F25" s="21">
        <f t="shared" si="1"/>
        <v>94.8</v>
      </c>
      <c r="G25" s="29">
        <v>9168</v>
      </c>
      <c r="H25" s="21">
        <f t="shared" si="2"/>
        <v>100</v>
      </c>
      <c r="I25" s="29">
        <v>8688</v>
      </c>
      <c r="J25" s="21">
        <f t="shared" si="3"/>
        <v>94.8</v>
      </c>
      <c r="K25" s="29">
        <v>8688</v>
      </c>
      <c r="L25" s="21">
        <f t="shared" si="4"/>
        <v>94.8</v>
      </c>
      <c r="M25" s="30">
        <v>9425</v>
      </c>
      <c r="N25" s="29">
        <v>9524</v>
      </c>
      <c r="O25" s="21">
        <f t="shared" si="5"/>
        <v>101.1</v>
      </c>
      <c r="P25" s="29">
        <f>6780+677+548</f>
        <v>8005</v>
      </c>
      <c r="Q25" s="21">
        <f t="shared" si="6"/>
        <v>84.9</v>
      </c>
      <c r="R25" s="28" t="s">
        <v>18</v>
      </c>
    </row>
    <row r="26" spans="1:18" ht="15.95" customHeight="1">
      <c r="A26" s="35" t="s">
        <v>41</v>
      </c>
      <c r="B26" s="31">
        <v>17654</v>
      </c>
      <c r="C26" s="29">
        <v>15907</v>
      </c>
      <c r="D26" s="21">
        <f t="shared" si="0"/>
        <v>90.1</v>
      </c>
      <c r="E26" s="29">
        <v>16091</v>
      </c>
      <c r="F26" s="21">
        <f t="shared" si="1"/>
        <v>91.1</v>
      </c>
      <c r="G26" s="29">
        <v>14865</v>
      </c>
      <c r="H26" s="21">
        <f t="shared" si="2"/>
        <v>84.2</v>
      </c>
      <c r="I26" s="29">
        <v>16202</v>
      </c>
      <c r="J26" s="21">
        <f t="shared" si="3"/>
        <v>91.8</v>
      </c>
      <c r="K26" s="29">
        <v>16091</v>
      </c>
      <c r="L26" s="21">
        <f t="shared" si="4"/>
        <v>91.1</v>
      </c>
      <c r="M26" s="30">
        <v>17631</v>
      </c>
      <c r="N26" s="29">
        <v>17293</v>
      </c>
      <c r="O26" s="21">
        <f t="shared" si="5"/>
        <v>98.1</v>
      </c>
      <c r="P26" s="29">
        <v>17061</v>
      </c>
      <c r="Q26" s="21">
        <f t="shared" si="6"/>
        <v>96.8</v>
      </c>
      <c r="R26" s="28" t="s">
        <v>18</v>
      </c>
    </row>
    <row r="27" spans="1:18" ht="15.95" customHeight="1">
      <c r="A27" s="32" t="s">
        <v>42</v>
      </c>
      <c r="B27" s="31">
        <v>32909</v>
      </c>
      <c r="C27" s="29">
        <v>23864</v>
      </c>
      <c r="D27" s="21">
        <f t="shared" si="0"/>
        <v>72.5</v>
      </c>
      <c r="E27" s="29">
        <v>24559</v>
      </c>
      <c r="F27" s="21">
        <f t="shared" si="1"/>
        <v>74.599999999999994</v>
      </c>
      <c r="G27" s="29">
        <v>25798</v>
      </c>
      <c r="H27" s="21">
        <f t="shared" si="2"/>
        <v>78.400000000000006</v>
      </c>
      <c r="I27" s="29">
        <v>24559</v>
      </c>
      <c r="J27" s="21">
        <f t="shared" si="3"/>
        <v>74.599999999999994</v>
      </c>
      <c r="K27" s="29">
        <v>24558</v>
      </c>
      <c r="L27" s="21">
        <f t="shared" si="4"/>
        <v>74.599999999999994</v>
      </c>
      <c r="M27" s="30">
        <v>33102</v>
      </c>
      <c r="N27" s="29">
        <v>26292</v>
      </c>
      <c r="O27" s="21">
        <f t="shared" si="5"/>
        <v>79.400000000000006</v>
      </c>
      <c r="P27" s="29">
        <f>2106+2212+2395+2161+1930+2231+2279+2085+2291+2145+2451+1638</f>
        <v>25924</v>
      </c>
      <c r="Q27" s="21">
        <f t="shared" si="6"/>
        <v>78.3</v>
      </c>
      <c r="R27" s="28" t="s">
        <v>18</v>
      </c>
    </row>
    <row r="28" spans="1:18" ht="15.95" customHeight="1">
      <c r="A28" s="32" t="s">
        <v>43</v>
      </c>
      <c r="B28" s="31">
        <v>25534</v>
      </c>
      <c r="C28" s="29">
        <v>27913</v>
      </c>
      <c r="D28" s="21">
        <f t="shared" si="0"/>
        <v>109.3</v>
      </c>
      <c r="E28" s="29">
        <v>27913</v>
      </c>
      <c r="F28" s="21">
        <f t="shared" si="1"/>
        <v>109.3</v>
      </c>
      <c r="G28" s="29">
        <v>22793</v>
      </c>
      <c r="H28" s="21">
        <f t="shared" si="2"/>
        <v>89.3</v>
      </c>
      <c r="I28" s="29">
        <v>27913</v>
      </c>
      <c r="J28" s="21">
        <f t="shared" si="3"/>
        <v>109.3</v>
      </c>
      <c r="K28" s="29">
        <v>27918</v>
      </c>
      <c r="L28" s="21">
        <f t="shared" si="4"/>
        <v>109.3</v>
      </c>
      <c r="M28" s="30">
        <v>25507</v>
      </c>
      <c r="N28" s="29">
        <v>26853</v>
      </c>
      <c r="O28" s="21">
        <f t="shared" si="5"/>
        <v>105.3</v>
      </c>
      <c r="P28" s="29">
        <v>26334</v>
      </c>
      <c r="Q28" s="21">
        <f t="shared" si="6"/>
        <v>103.2</v>
      </c>
      <c r="R28" s="28" t="s">
        <v>18</v>
      </c>
    </row>
    <row r="29" spans="1:18" ht="15.95" customHeight="1">
      <c r="A29" s="32" t="s">
        <v>44</v>
      </c>
      <c r="B29" s="31">
        <v>8074</v>
      </c>
      <c r="C29" s="29">
        <v>8860</v>
      </c>
      <c r="D29" s="21">
        <f t="shared" si="0"/>
        <v>109.7</v>
      </c>
      <c r="E29" s="29">
        <v>8860</v>
      </c>
      <c r="F29" s="21">
        <f t="shared" si="1"/>
        <v>109.7</v>
      </c>
      <c r="G29" s="29">
        <v>6966</v>
      </c>
      <c r="H29" s="21">
        <f t="shared" si="2"/>
        <v>86.3</v>
      </c>
      <c r="I29" s="29">
        <v>8860</v>
      </c>
      <c r="J29" s="21">
        <f t="shared" si="3"/>
        <v>109.7</v>
      </c>
      <c r="K29" s="29">
        <v>8860</v>
      </c>
      <c r="L29" s="21">
        <f t="shared" si="4"/>
        <v>109.7</v>
      </c>
      <c r="M29" s="30">
        <v>8059</v>
      </c>
      <c r="N29" s="29">
        <v>8855</v>
      </c>
      <c r="O29" s="21">
        <f t="shared" si="5"/>
        <v>109.9</v>
      </c>
      <c r="P29" s="29">
        <f>635+656+641+835+857+822+828+749+825+744+737+528</f>
        <v>8857</v>
      </c>
      <c r="Q29" s="21">
        <f t="shared" si="6"/>
        <v>109.9</v>
      </c>
      <c r="R29" s="28" t="s">
        <v>18</v>
      </c>
    </row>
    <row r="30" spans="1:18" ht="15.95" customHeight="1">
      <c r="A30" s="35" t="s">
        <v>45</v>
      </c>
      <c r="B30" s="33">
        <v>9286</v>
      </c>
      <c r="C30" s="29">
        <v>8026</v>
      </c>
      <c r="D30" s="21">
        <f t="shared" si="0"/>
        <v>86.4</v>
      </c>
      <c r="E30" s="29">
        <v>8026</v>
      </c>
      <c r="F30" s="21">
        <f t="shared" si="1"/>
        <v>86.4</v>
      </c>
      <c r="G30" s="29">
        <v>6978</v>
      </c>
      <c r="H30" s="21">
        <f t="shared" si="2"/>
        <v>75.099999999999994</v>
      </c>
      <c r="I30" s="29">
        <v>8026</v>
      </c>
      <c r="J30" s="21">
        <f t="shared" si="3"/>
        <v>86.4</v>
      </c>
      <c r="K30" s="29">
        <v>8026</v>
      </c>
      <c r="L30" s="21">
        <f t="shared" si="4"/>
        <v>86.4</v>
      </c>
      <c r="M30" s="36">
        <v>9278</v>
      </c>
      <c r="N30" s="29">
        <v>8330</v>
      </c>
      <c r="O30" s="21">
        <f t="shared" si="5"/>
        <v>89.8</v>
      </c>
      <c r="P30" s="29">
        <f>678+698+862+686+584+565+702+804+709+631+847+527</f>
        <v>8293</v>
      </c>
      <c r="Q30" s="21">
        <f t="shared" si="6"/>
        <v>89.4</v>
      </c>
      <c r="R30" s="28" t="s">
        <v>18</v>
      </c>
    </row>
    <row r="31" spans="1:18" ht="15.95" customHeight="1">
      <c r="A31" s="32" t="s">
        <v>46</v>
      </c>
      <c r="B31" s="31">
        <v>15490</v>
      </c>
      <c r="C31" s="29">
        <v>12102</v>
      </c>
      <c r="D31" s="21">
        <f t="shared" si="0"/>
        <v>78.099999999999994</v>
      </c>
      <c r="E31" s="29">
        <v>12160</v>
      </c>
      <c r="F31" s="21">
        <f t="shared" si="1"/>
        <v>78.5</v>
      </c>
      <c r="G31" s="29">
        <v>13916</v>
      </c>
      <c r="H31" s="21">
        <f t="shared" si="2"/>
        <v>89.8</v>
      </c>
      <c r="I31" s="29">
        <v>12161</v>
      </c>
      <c r="J31" s="21">
        <f t="shared" si="3"/>
        <v>78.5</v>
      </c>
      <c r="K31" s="29">
        <v>12160</v>
      </c>
      <c r="L31" s="21">
        <f t="shared" si="4"/>
        <v>78.5</v>
      </c>
      <c r="M31" s="30">
        <v>15449</v>
      </c>
      <c r="N31" s="29">
        <v>13281</v>
      </c>
      <c r="O31" s="21">
        <f t="shared" si="5"/>
        <v>86</v>
      </c>
      <c r="P31" s="29">
        <v>13314</v>
      </c>
      <c r="Q31" s="21">
        <f t="shared" si="6"/>
        <v>86.2</v>
      </c>
      <c r="R31" s="28" t="s">
        <v>18</v>
      </c>
    </row>
    <row r="32" spans="1:18" ht="15.95" customHeight="1">
      <c r="A32" s="35" t="s">
        <v>47</v>
      </c>
      <c r="B32" s="31">
        <v>1278</v>
      </c>
      <c r="C32" s="29">
        <v>824</v>
      </c>
      <c r="D32" s="21">
        <f t="shared" si="0"/>
        <v>64.5</v>
      </c>
      <c r="E32" s="29">
        <v>842</v>
      </c>
      <c r="F32" s="21">
        <f t="shared" si="1"/>
        <v>65.900000000000006</v>
      </c>
      <c r="G32" s="29">
        <v>819</v>
      </c>
      <c r="H32" s="21">
        <f t="shared" si="2"/>
        <v>64.099999999999994</v>
      </c>
      <c r="I32" s="29">
        <v>842</v>
      </c>
      <c r="J32" s="21">
        <f t="shared" si="3"/>
        <v>65.900000000000006</v>
      </c>
      <c r="K32" s="29">
        <v>842</v>
      </c>
      <c r="L32" s="21">
        <f t="shared" si="4"/>
        <v>65.900000000000006</v>
      </c>
      <c r="M32" s="30">
        <v>1285</v>
      </c>
      <c r="N32" s="29">
        <v>884</v>
      </c>
      <c r="O32" s="21">
        <f t="shared" si="5"/>
        <v>68.8</v>
      </c>
      <c r="P32" s="29">
        <f>563+89+73</f>
        <v>725</v>
      </c>
      <c r="Q32" s="21">
        <f t="shared" si="6"/>
        <v>56.4</v>
      </c>
      <c r="R32" s="28" t="s">
        <v>18</v>
      </c>
    </row>
    <row r="33" spans="1:18" ht="15.95" customHeight="1">
      <c r="A33" s="35" t="s">
        <v>48</v>
      </c>
      <c r="B33" s="31">
        <v>34456</v>
      </c>
      <c r="C33" s="29">
        <v>34709</v>
      </c>
      <c r="D33" s="21">
        <f t="shared" si="0"/>
        <v>100.7</v>
      </c>
      <c r="E33" s="29">
        <v>34738</v>
      </c>
      <c r="F33" s="21">
        <f t="shared" si="1"/>
        <v>100.8</v>
      </c>
      <c r="G33" s="29">
        <v>31440</v>
      </c>
      <c r="H33" s="21">
        <f t="shared" si="2"/>
        <v>91.2</v>
      </c>
      <c r="I33" s="29">
        <v>34741</v>
      </c>
      <c r="J33" s="21">
        <f t="shared" si="3"/>
        <v>100.8</v>
      </c>
      <c r="K33" s="29">
        <v>34741</v>
      </c>
      <c r="L33" s="21">
        <f t="shared" si="4"/>
        <v>100.8</v>
      </c>
      <c r="M33" s="30">
        <v>34346</v>
      </c>
      <c r="N33" s="29">
        <v>34464</v>
      </c>
      <c r="O33" s="21">
        <f t="shared" si="5"/>
        <v>100.3</v>
      </c>
      <c r="P33" s="34">
        <f>1537+1763+2315+749+1501+2888+3618+2850+2958+2634+2760+2425</f>
        <v>27998</v>
      </c>
      <c r="Q33" s="21">
        <f t="shared" si="6"/>
        <v>81.5</v>
      </c>
      <c r="R33" s="28" t="s">
        <v>18</v>
      </c>
    </row>
    <row r="34" spans="1:18" ht="15.95" customHeight="1">
      <c r="A34" s="35" t="s">
        <v>49</v>
      </c>
      <c r="B34" s="31">
        <v>16922</v>
      </c>
      <c r="C34" s="29">
        <v>17380</v>
      </c>
      <c r="D34" s="21">
        <f t="shared" si="0"/>
        <v>102.7</v>
      </c>
      <c r="E34" s="29">
        <v>17380</v>
      </c>
      <c r="F34" s="21">
        <f t="shared" si="1"/>
        <v>102.7</v>
      </c>
      <c r="G34" s="29">
        <v>18681</v>
      </c>
      <c r="H34" s="21">
        <f t="shared" si="2"/>
        <v>110.4</v>
      </c>
      <c r="I34" s="29">
        <v>17380</v>
      </c>
      <c r="J34" s="21">
        <f t="shared" si="3"/>
        <v>102.7</v>
      </c>
      <c r="K34" s="29">
        <v>17380</v>
      </c>
      <c r="L34" s="21">
        <f t="shared" si="4"/>
        <v>102.7</v>
      </c>
      <c r="M34" s="30">
        <v>16893</v>
      </c>
      <c r="N34" s="29">
        <v>18179</v>
      </c>
      <c r="O34" s="21">
        <f t="shared" si="5"/>
        <v>107.6</v>
      </c>
      <c r="P34" s="29">
        <v>17709</v>
      </c>
      <c r="Q34" s="21">
        <f t="shared" si="6"/>
        <v>104.8</v>
      </c>
      <c r="R34" s="28" t="s">
        <v>18</v>
      </c>
    </row>
    <row r="35" spans="1:18" ht="15.95" customHeight="1">
      <c r="A35" s="35" t="s">
        <v>50</v>
      </c>
      <c r="B35" s="31">
        <v>26426</v>
      </c>
      <c r="C35" s="29">
        <v>23758</v>
      </c>
      <c r="D35" s="21">
        <f t="shared" si="0"/>
        <v>89.9</v>
      </c>
      <c r="E35" s="29">
        <v>23563</v>
      </c>
      <c r="F35" s="21">
        <f t="shared" si="1"/>
        <v>89.2</v>
      </c>
      <c r="G35" s="29">
        <v>27618</v>
      </c>
      <c r="H35" s="21">
        <f t="shared" si="2"/>
        <v>104.5</v>
      </c>
      <c r="I35" s="29">
        <v>23579</v>
      </c>
      <c r="J35" s="21">
        <f t="shared" si="3"/>
        <v>89.2</v>
      </c>
      <c r="K35" s="29">
        <v>23573</v>
      </c>
      <c r="L35" s="21">
        <f t="shared" si="4"/>
        <v>89.2</v>
      </c>
      <c r="M35" s="30">
        <v>26744</v>
      </c>
      <c r="N35" s="29">
        <v>23334</v>
      </c>
      <c r="O35" s="21">
        <f t="shared" si="5"/>
        <v>87.2</v>
      </c>
      <c r="P35" s="34">
        <f>1767+2147+1951+2152+1577+1905+2084+1863+2669+1948+1792+1312</f>
        <v>23167</v>
      </c>
      <c r="Q35" s="21">
        <f t="shared" si="6"/>
        <v>86.6</v>
      </c>
      <c r="R35" s="28" t="s">
        <v>18</v>
      </c>
    </row>
    <row r="36" spans="1:18" ht="15.95" customHeight="1">
      <c r="A36" s="32" t="s">
        <v>51</v>
      </c>
      <c r="B36" s="33">
        <v>72498</v>
      </c>
      <c r="C36" s="29">
        <v>77835</v>
      </c>
      <c r="D36" s="21">
        <f t="shared" si="0"/>
        <v>107.4</v>
      </c>
      <c r="E36" s="29">
        <v>77499</v>
      </c>
      <c r="F36" s="21">
        <f t="shared" si="1"/>
        <v>106.9</v>
      </c>
      <c r="G36" s="29">
        <v>69680</v>
      </c>
      <c r="H36" s="21">
        <f t="shared" si="2"/>
        <v>96.1</v>
      </c>
      <c r="I36" s="29">
        <v>78693</v>
      </c>
      <c r="J36" s="21">
        <f t="shared" si="3"/>
        <v>108.5</v>
      </c>
      <c r="K36" s="29">
        <v>77499</v>
      </c>
      <c r="L36" s="21">
        <f t="shared" si="4"/>
        <v>106.9</v>
      </c>
      <c r="M36" s="30">
        <v>71983</v>
      </c>
      <c r="N36" s="29">
        <v>79358</v>
      </c>
      <c r="O36" s="21">
        <f t="shared" si="5"/>
        <v>110.2</v>
      </c>
      <c r="P36" s="29">
        <v>73227</v>
      </c>
      <c r="Q36" s="21">
        <f t="shared" si="6"/>
        <v>101.7</v>
      </c>
      <c r="R36" s="28" t="s">
        <v>18</v>
      </c>
    </row>
    <row r="37" spans="1:18" ht="15.95" customHeight="1">
      <c r="A37" s="32" t="s">
        <v>52</v>
      </c>
      <c r="B37" s="31">
        <v>1234</v>
      </c>
      <c r="C37" s="29">
        <v>795</v>
      </c>
      <c r="D37" s="21">
        <f t="shared" si="0"/>
        <v>64.400000000000006</v>
      </c>
      <c r="E37" s="29">
        <v>818</v>
      </c>
      <c r="F37" s="21">
        <f t="shared" si="1"/>
        <v>66.3</v>
      </c>
      <c r="G37" s="29">
        <v>907</v>
      </c>
      <c r="H37" s="21">
        <f t="shared" si="2"/>
        <v>73.5</v>
      </c>
      <c r="I37" s="29">
        <v>818</v>
      </c>
      <c r="J37" s="21">
        <f t="shared" si="3"/>
        <v>66.3</v>
      </c>
      <c r="K37" s="29">
        <v>818</v>
      </c>
      <c r="L37" s="21">
        <f t="shared" si="4"/>
        <v>66.3</v>
      </c>
      <c r="M37" s="30">
        <v>1208</v>
      </c>
      <c r="N37" s="29">
        <v>883</v>
      </c>
      <c r="O37" s="21">
        <f t="shared" si="5"/>
        <v>73.099999999999994</v>
      </c>
      <c r="P37" s="29">
        <f>522+178+56</f>
        <v>756</v>
      </c>
      <c r="Q37" s="21">
        <f t="shared" si="6"/>
        <v>62.6</v>
      </c>
      <c r="R37" s="28" t="s">
        <v>18</v>
      </c>
    </row>
    <row r="38" spans="1:18" ht="15.95" customHeight="1" thickBot="1">
      <c r="A38" s="27" t="s">
        <v>53</v>
      </c>
      <c r="B38" s="26">
        <v>1827</v>
      </c>
      <c r="C38" s="24">
        <v>991</v>
      </c>
      <c r="D38" s="21">
        <f t="shared" si="0"/>
        <v>54.2</v>
      </c>
      <c r="E38" s="24">
        <v>992</v>
      </c>
      <c r="F38" s="21">
        <f t="shared" si="1"/>
        <v>54.3</v>
      </c>
      <c r="G38" s="24">
        <v>943</v>
      </c>
      <c r="H38" s="21">
        <f t="shared" si="2"/>
        <v>51.6</v>
      </c>
      <c r="I38" s="24">
        <v>991</v>
      </c>
      <c r="J38" s="21">
        <f t="shared" si="3"/>
        <v>54.2</v>
      </c>
      <c r="K38" s="24">
        <v>991</v>
      </c>
      <c r="L38" s="21">
        <f t="shared" si="4"/>
        <v>54.2</v>
      </c>
      <c r="M38" s="25">
        <v>1782</v>
      </c>
      <c r="N38" s="24">
        <v>1089</v>
      </c>
      <c r="O38" s="21">
        <f t="shared" si="5"/>
        <v>61.1</v>
      </c>
      <c r="P38" s="23">
        <f>657+66+124+174</f>
        <v>1021</v>
      </c>
      <c r="Q38" s="21">
        <f t="shared" si="6"/>
        <v>57.3</v>
      </c>
      <c r="R38" s="22" t="s">
        <v>18</v>
      </c>
    </row>
    <row r="41" spans="1:18">
      <c r="E41" s="19"/>
      <c r="F41" s="19"/>
      <c r="G41" s="19"/>
    </row>
    <row r="42" spans="1:18">
      <c r="E42" s="19"/>
      <c r="G42" s="19"/>
    </row>
    <row r="43" spans="1:18">
      <c r="G43" s="19"/>
      <c r="H43" s="19"/>
    </row>
    <row r="45" spans="1:18">
      <c r="J45" s="19"/>
    </row>
  </sheetData>
  <mergeCells count="7">
    <mergeCell ref="N1:O1"/>
    <mergeCell ref="P1:Q1"/>
    <mergeCell ref="C1:D1"/>
    <mergeCell ref="E1:F1"/>
    <mergeCell ref="G1:H1"/>
    <mergeCell ref="I1:J1"/>
    <mergeCell ref="K1:L1"/>
  </mergeCells>
  <conditionalFormatting sqref="D3:D38 F3:F38 H3:H38 J3:J38 L3:L38 O3:O38 Q3:Q38">
    <cfRule type="cellIs" dxfId="15" priority="61" stopIfTrue="1" operator="between">
      <formula>0.01</formula>
      <formula>49.9</formula>
    </cfRule>
    <cfRule type="cellIs" dxfId="14" priority="62" stopIfTrue="1" operator="between">
      <formula>50</formula>
      <formula>79.9</formula>
    </cfRule>
    <cfRule type="cellIs" dxfId="13" priority="63" stopIfTrue="1" operator="between">
      <formula>80</formula>
      <formula>94.9</formula>
    </cfRule>
    <cfRule type="cellIs" dxfId="12" priority="64" stopIfTrue="1" operator="greaterThanOrEqual">
      <formula>95</formula>
    </cfRule>
  </conditionalFormatting>
  <printOptions horizontalCentered="1"/>
  <pageMargins left="0.19685039370078741" right="0.19685039370078741" top="0.9055118110236221" bottom="0.27559055118110237" header="0" footer="0"/>
  <pageSetup scale="80" orientation="landscape" r:id="rId1"/>
  <headerFooter alignWithMargins="0">
    <oddHeader>&amp;L       &amp;G&amp;C&amp;"Arial,Negrita"Ministerio de la Protección Social
República de Colombia
Dirección General de Salud Pública
Programa Ampliado de Inmunizaciones - PAI&amp;R&amp;G           .</oddHeader>
    <oddFooter>&amp;L     Página &amp;P&amp;C&amp;F&amp;R&amp;D           .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CC"/>
  </sheetPr>
  <dimension ref="A1:R44"/>
  <sheetViews>
    <sheetView zoomScale="30" zoomScaleNormal="90" workbookViewId="0">
      <pane xSplit="2" ySplit="2" topLeftCell="C3" activePane="bottomRight" state="frozen"/>
      <selection pane="bottomRight" activeCell="M9" sqref="M9"/>
      <selection pane="bottomLeft" activeCell="A4" sqref="A4"/>
      <selection pane="topRight" activeCell="A4" sqref="A4"/>
    </sheetView>
  </sheetViews>
  <sheetFormatPr defaultColWidth="11.42578125" defaultRowHeight="12.6"/>
  <cols>
    <col min="1" max="1" width="4.5703125" style="18" customWidth="1"/>
    <col min="2" max="2" width="27" style="18" bestFit="1" customWidth="1"/>
    <col min="3" max="3" width="12.28515625" style="18" customWidth="1"/>
    <col min="4" max="6" width="9.5703125" style="18" customWidth="1"/>
    <col min="7" max="7" width="6.7109375" style="18" customWidth="1"/>
    <col min="8" max="8" width="9.140625" style="18" customWidth="1"/>
    <col min="9" max="9" width="6.7109375" style="18" customWidth="1"/>
    <col min="10" max="10" width="9.140625" style="18" customWidth="1"/>
    <col min="11" max="11" width="6.7109375" style="18" customWidth="1"/>
    <col min="12" max="12" width="9.140625" style="18" customWidth="1"/>
    <col min="13" max="13" width="6.7109375" style="18" customWidth="1"/>
    <col min="14" max="14" width="10.7109375" style="18" bestFit="1" customWidth="1"/>
    <col min="15" max="15" width="9.28515625" style="18" customWidth="1"/>
    <col min="16" max="16" width="6.7109375" style="18" bestFit="1" customWidth="1"/>
    <col min="17" max="17" width="10.7109375" style="18" customWidth="1"/>
    <col min="18" max="18" width="6.7109375" style="18" bestFit="1" customWidth="1"/>
    <col min="19" max="16384" width="11.42578125" style="18"/>
  </cols>
  <sheetData>
    <row r="1" spans="1:18" ht="29.25" customHeight="1" thickBot="1">
      <c r="B1" s="86"/>
      <c r="C1" s="85" t="s">
        <v>1</v>
      </c>
      <c r="D1" s="189" t="s">
        <v>2</v>
      </c>
      <c r="E1" s="190"/>
      <c r="F1" s="189" t="s">
        <v>3</v>
      </c>
      <c r="G1" s="190"/>
      <c r="H1" s="189" t="s">
        <v>4</v>
      </c>
      <c r="I1" s="191"/>
      <c r="J1" s="192" t="s">
        <v>5</v>
      </c>
      <c r="K1" s="190"/>
      <c r="L1" s="189" t="s">
        <v>6</v>
      </c>
      <c r="M1" s="190"/>
      <c r="N1" s="84" t="s">
        <v>7</v>
      </c>
      <c r="O1" s="189" t="s">
        <v>8</v>
      </c>
      <c r="P1" s="190"/>
      <c r="Q1" s="193" t="s">
        <v>9</v>
      </c>
      <c r="R1" s="194"/>
    </row>
    <row r="2" spans="1:18" ht="18.75" customHeight="1" thickBot="1">
      <c r="A2" s="20" t="s">
        <v>54</v>
      </c>
      <c r="B2" s="83" t="s">
        <v>55</v>
      </c>
      <c r="C2" s="82" t="s">
        <v>11</v>
      </c>
      <c r="D2" s="79" t="s">
        <v>12</v>
      </c>
      <c r="E2" s="79" t="s">
        <v>13</v>
      </c>
      <c r="F2" s="79" t="s">
        <v>12</v>
      </c>
      <c r="G2" s="79" t="s">
        <v>13</v>
      </c>
      <c r="H2" s="79" t="s">
        <v>14</v>
      </c>
      <c r="I2" s="79" t="s">
        <v>13</v>
      </c>
      <c r="J2" s="79" t="s">
        <v>12</v>
      </c>
      <c r="K2" s="79" t="s">
        <v>13</v>
      </c>
      <c r="L2" s="80" t="s">
        <v>12</v>
      </c>
      <c r="M2" s="79" t="s">
        <v>13</v>
      </c>
      <c r="N2" s="81" t="s">
        <v>15</v>
      </c>
      <c r="O2" s="80" t="s">
        <v>14</v>
      </c>
      <c r="P2" s="79" t="s">
        <v>13</v>
      </c>
      <c r="Q2" s="80" t="s">
        <v>14</v>
      </c>
      <c r="R2" s="79" t="s">
        <v>13</v>
      </c>
    </row>
    <row r="3" spans="1:18" ht="18.95" customHeight="1" thickBot="1">
      <c r="A3" s="62">
        <v>91</v>
      </c>
      <c r="B3" s="77" t="s">
        <v>17</v>
      </c>
      <c r="C3" s="74">
        <v>2140</v>
      </c>
      <c r="D3" s="73">
        <v>1657</v>
      </c>
      <c r="E3" s="103">
        <f t="shared" ref="E3:E38" si="0">ROUND(D3/$C3*100,1)</f>
        <v>77.400000000000006</v>
      </c>
      <c r="F3" s="76">
        <v>1657</v>
      </c>
      <c r="G3" s="103">
        <f t="shared" ref="G3:G38" si="1">ROUND(F3/$C3*100,1)</f>
        <v>77.400000000000006</v>
      </c>
      <c r="H3" s="76">
        <v>1761</v>
      </c>
      <c r="I3" s="103">
        <f t="shared" ref="I3:I38" si="2">ROUND(H3/$C3*100,1)</f>
        <v>82.3</v>
      </c>
      <c r="J3" s="76">
        <v>1657</v>
      </c>
      <c r="K3" s="103">
        <f t="shared" ref="K3:K38" si="3">ROUND(J3/$C3*100,1)</f>
        <v>77.400000000000006</v>
      </c>
      <c r="L3" s="75">
        <v>1657</v>
      </c>
      <c r="M3" s="103">
        <f t="shared" ref="M3:M38" si="4">ROUND(L3/$C3*100,1)</f>
        <v>77.400000000000006</v>
      </c>
      <c r="N3" s="74">
        <v>2105</v>
      </c>
      <c r="O3" s="73">
        <v>1613</v>
      </c>
      <c r="P3" s="103">
        <f t="shared" ref="P3:P38" si="5">ROUND(O3/$N3*100,1)</f>
        <v>76.599999999999994</v>
      </c>
      <c r="Q3" s="72">
        <v>1607</v>
      </c>
      <c r="R3" s="103">
        <f t="shared" ref="R3:R38" si="6">ROUND(Q3/$N3*100,1)</f>
        <v>76.3</v>
      </c>
    </row>
    <row r="4" spans="1:18" ht="18.95" customHeight="1">
      <c r="A4" s="78" t="s">
        <v>56</v>
      </c>
      <c r="B4" s="97" t="s">
        <v>19</v>
      </c>
      <c r="C4" s="98">
        <v>102748</v>
      </c>
      <c r="D4" s="99">
        <v>85158</v>
      </c>
      <c r="E4" s="89">
        <f t="shared" si="0"/>
        <v>82.9</v>
      </c>
      <c r="F4" s="100">
        <v>85375</v>
      </c>
      <c r="G4" s="89">
        <f t="shared" si="1"/>
        <v>83.1</v>
      </c>
      <c r="H4" s="100">
        <v>93578</v>
      </c>
      <c r="I4" s="89">
        <f t="shared" si="2"/>
        <v>91.1</v>
      </c>
      <c r="J4" s="100">
        <v>85182</v>
      </c>
      <c r="K4" s="89">
        <f t="shared" si="3"/>
        <v>82.9</v>
      </c>
      <c r="L4" s="101">
        <v>85465</v>
      </c>
      <c r="M4" s="89">
        <f t="shared" si="4"/>
        <v>83.2</v>
      </c>
      <c r="N4" s="98">
        <v>102781</v>
      </c>
      <c r="O4" s="99">
        <v>91483</v>
      </c>
      <c r="P4" s="89">
        <f t="shared" si="5"/>
        <v>89</v>
      </c>
      <c r="Q4" s="102">
        <v>85841</v>
      </c>
      <c r="R4" s="89">
        <f t="shared" si="6"/>
        <v>83.5</v>
      </c>
    </row>
    <row r="5" spans="1:18" ht="18.95" customHeight="1">
      <c r="A5" s="62">
        <v>81</v>
      </c>
      <c r="B5" s="66" t="s">
        <v>20</v>
      </c>
      <c r="C5" s="58">
        <v>6686</v>
      </c>
      <c r="D5" s="57">
        <v>5150</v>
      </c>
      <c r="E5" s="21">
        <f t="shared" si="0"/>
        <v>77</v>
      </c>
      <c r="F5" s="60">
        <v>5153</v>
      </c>
      <c r="G5" s="21">
        <f t="shared" si="1"/>
        <v>77.099999999999994</v>
      </c>
      <c r="H5" s="60">
        <v>4705</v>
      </c>
      <c r="I5" s="21">
        <f t="shared" si="2"/>
        <v>70.400000000000006</v>
      </c>
      <c r="J5" s="60">
        <v>5266</v>
      </c>
      <c r="K5" s="21">
        <f t="shared" si="3"/>
        <v>78.8</v>
      </c>
      <c r="L5" s="59">
        <v>5153</v>
      </c>
      <c r="M5" s="21">
        <f t="shared" si="4"/>
        <v>77.099999999999994</v>
      </c>
      <c r="N5" s="58">
        <v>6777</v>
      </c>
      <c r="O5" s="57">
        <v>5311</v>
      </c>
      <c r="P5" s="21">
        <f t="shared" si="5"/>
        <v>78.400000000000006</v>
      </c>
      <c r="Q5" s="56">
        <v>5311</v>
      </c>
      <c r="R5" s="21">
        <f t="shared" si="6"/>
        <v>78.400000000000006</v>
      </c>
    </row>
    <row r="6" spans="1:18" ht="18.95" customHeight="1">
      <c r="A6" s="62" t="s">
        <v>57</v>
      </c>
      <c r="B6" s="66" t="s">
        <v>21</v>
      </c>
      <c r="C6" s="58">
        <v>22234</v>
      </c>
      <c r="D6" s="57">
        <v>20430</v>
      </c>
      <c r="E6" s="21">
        <f t="shared" si="0"/>
        <v>91.9</v>
      </c>
      <c r="F6" s="60">
        <v>20431</v>
      </c>
      <c r="G6" s="21">
        <f t="shared" si="1"/>
        <v>91.9</v>
      </c>
      <c r="H6" s="60">
        <v>20168</v>
      </c>
      <c r="I6" s="21">
        <f t="shared" si="2"/>
        <v>90.7</v>
      </c>
      <c r="J6" s="60">
        <v>20431</v>
      </c>
      <c r="K6" s="21">
        <f t="shared" si="3"/>
        <v>91.9</v>
      </c>
      <c r="L6" s="59">
        <v>20431</v>
      </c>
      <c r="M6" s="21">
        <f t="shared" si="4"/>
        <v>91.9</v>
      </c>
      <c r="N6" s="58">
        <v>22399</v>
      </c>
      <c r="O6" s="57">
        <v>20017</v>
      </c>
      <c r="P6" s="21">
        <f t="shared" si="5"/>
        <v>89.4</v>
      </c>
      <c r="Q6" s="56">
        <f>(14033+3351)+2069</f>
        <v>19453</v>
      </c>
      <c r="R6" s="21">
        <f t="shared" si="6"/>
        <v>86.8</v>
      </c>
    </row>
    <row r="7" spans="1:18" ht="18.95" customHeight="1">
      <c r="A7" s="62" t="s">
        <v>58</v>
      </c>
      <c r="B7" s="32" t="s">
        <v>22</v>
      </c>
      <c r="C7" s="58">
        <v>20639</v>
      </c>
      <c r="D7" s="57">
        <v>22000</v>
      </c>
      <c r="E7" s="21">
        <f t="shared" si="0"/>
        <v>106.6</v>
      </c>
      <c r="F7" s="60">
        <v>22044</v>
      </c>
      <c r="G7" s="21">
        <f t="shared" si="1"/>
        <v>106.8</v>
      </c>
      <c r="H7" s="60">
        <v>27747</v>
      </c>
      <c r="I7" s="21">
        <f t="shared" si="2"/>
        <v>134.4</v>
      </c>
      <c r="J7" s="60">
        <v>22060</v>
      </c>
      <c r="K7" s="21">
        <f t="shared" si="3"/>
        <v>106.9</v>
      </c>
      <c r="L7" s="59">
        <v>22044</v>
      </c>
      <c r="M7" s="21">
        <f t="shared" si="4"/>
        <v>106.8</v>
      </c>
      <c r="N7" s="58">
        <v>20932</v>
      </c>
      <c r="O7" s="57">
        <v>21557</v>
      </c>
      <c r="P7" s="21">
        <f t="shared" si="5"/>
        <v>103</v>
      </c>
      <c r="Q7" s="56">
        <v>21025</v>
      </c>
      <c r="R7" s="21">
        <f t="shared" si="6"/>
        <v>100.4</v>
      </c>
    </row>
    <row r="8" spans="1:18" ht="18.95" customHeight="1">
      <c r="A8" s="62">
        <v>11</v>
      </c>
      <c r="B8" s="66" t="s">
        <v>23</v>
      </c>
      <c r="C8" s="71">
        <v>118677</v>
      </c>
      <c r="D8" s="57">
        <v>114688</v>
      </c>
      <c r="E8" s="21">
        <f t="shared" si="0"/>
        <v>96.6</v>
      </c>
      <c r="F8" s="60">
        <v>114632</v>
      </c>
      <c r="G8" s="21">
        <f t="shared" si="1"/>
        <v>96.6</v>
      </c>
      <c r="H8" s="60">
        <v>116371</v>
      </c>
      <c r="I8" s="21">
        <f t="shared" si="2"/>
        <v>98.1</v>
      </c>
      <c r="J8" s="60">
        <v>114566</v>
      </c>
      <c r="K8" s="21">
        <f t="shared" si="3"/>
        <v>96.5</v>
      </c>
      <c r="L8" s="59">
        <v>114632</v>
      </c>
      <c r="M8" s="21">
        <f t="shared" si="4"/>
        <v>96.6</v>
      </c>
      <c r="N8" s="71">
        <v>118141</v>
      </c>
      <c r="O8" s="57">
        <v>115129</v>
      </c>
      <c r="P8" s="21">
        <f t="shared" si="5"/>
        <v>97.5</v>
      </c>
      <c r="Q8" s="56">
        <v>87437</v>
      </c>
      <c r="R8" s="21">
        <f t="shared" si="6"/>
        <v>74</v>
      </c>
    </row>
    <row r="9" spans="1:18" ht="18.95" customHeight="1">
      <c r="A9" s="62">
        <v>13</v>
      </c>
      <c r="B9" s="66" t="s">
        <v>24</v>
      </c>
      <c r="C9" s="58">
        <v>24404</v>
      </c>
      <c r="D9" s="65">
        <v>19966</v>
      </c>
      <c r="E9" s="21">
        <f t="shared" si="0"/>
        <v>81.8</v>
      </c>
      <c r="F9" s="60">
        <v>20038</v>
      </c>
      <c r="G9" s="21">
        <f t="shared" si="1"/>
        <v>82.1</v>
      </c>
      <c r="H9" s="60">
        <v>18564</v>
      </c>
      <c r="I9" s="21">
        <f t="shared" si="2"/>
        <v>76.099999999999994</v>
      </c>
      <c r="J9" s="60">
        <v>20106</v>
      </c>
      <c r="K9" s="21">
        <f t="shared" si="3"/>
        <v>82.4</v>
      </c>
      <c r="L9" s="59">
        <v>20038</v>
      </c>
      <c r="M9" s="21">
        <f t="shared" si="4"/>
        <v>82.1</v>
      </c>
      <c r="N9" s="58">
        <v>24110</v>
      </c>
      <c r="O9" s="57">
        <v>19103</v>
      </c>
      <c r="P9" s="21">
        <f t="shared" si="5"/>
        <v>79.2</v>
      </c>
      <c r="Q9" s="56">
        <f>11637+1978</f>
        <v>13615</v>
      </c>
      <c r="R9" s="21">
        <f t="shared" si="6"/>
        <v>56.5</v>
      </c>
    </row>
    <row r="10" spans="1:18" ht="18.95" customHeight="1">
      <c r="A10" s="62">
        <v>14</v>
      </c>
      <c r="B10" s="66" t="s">
        <v>25</v>
      </c>
      <c r="C10" s="58">
        <v>17315</v>
      </c>
      <c r="D10" s="65">
        <v>22344</v>
      </c>
      <c r="E10" s="21">
        <f t="shared" si="0"/>
        <v>129</v>
      </c>
      <c r="F10" s="60">
        <v>21711</v>
      </c>
      <c r="G10" s="21">
        <f t="shared" si="1"/>
        <v>125.4</v>
      </c>
      <c r="H10" s="60">
        <v>23543</v>
      </c>
      <c r="I10" s="21">
        <f t="shared" si="2"/>
        <v>136</v>
      </c>
      <c r="J10" s="60">
        <v>21720</v>
      </c>
      <c r="K10" s="21">
        <f t="shared" si="3"/>
        <v>125.4</v>
      </c>
      <c r="L10" s="59">
        <v>21711</v>
      </c>
      <c r="M10" s="21">
        <f t="shared" si="4"/>
        <v>125.4</v>
      </c>
      <c r="N10" s="58">
        <v>17425</v>
      </c>
      <c r="O10" s="57">
        <v>22885</v>
      </c>
      <c r="P10" s="21">
        <f t="shared" si="5"/>
        <v>131.30000000000001</v>
      </c>
      <c r="Q10" s="56">
        <f>14037+3668</f>
        <v>17705</v>
      </c>
      <c r="R10" s="21">
        <f t="shared" si="6"/>
        <v>101.6</v>
      </c>
    </row>
    <row r="11" spans="1:18" ht="18.95" customHeight="1">
      <c r="A11" s="62">
        <v>15</v>
      </c>
      <c r="B11" s="61" t="s">
        <v>26</v>
      </c>
      <c r="C11" s="58">
        <v>23736</v>
      </c>
      <c r="D11" s="57">
        <v>21299</v>
      </c>
      <c r="E11" s="21">
        <f t="shared" si="0"/>
        <v>89.7</v>
      </c>
      <c r="F11" s="60">
        <v>21302</v>
      </c>
      <c r="G11" s="21">
        <f t="shared" si="1"/>
        <v>89.7</v>
      </c>
      <c r="H11" s="60">
        <v>19963</v>
      </c>
      <c r="I11" s="21">
        <f t="shared" si="2"/>
        <v>84.1</v>
      </c>
      <c r="J11" s="60">
        <v>21302</v>
      </c>
      <c r="K11" s="21">
        <f t="shared" si="3"/>
        <v>89.7</v>
      </c>
      <c r="L11" s="59">
        <v>21302</v>
      </c>
      <c r="M11" s="21">
        <f t="shared" si="4"/>
        <v>89.7</v>
      </c>
      <c r="N11" s="58">
        <v>24110</v>
      </c>
      <c r="O11" s="57">
        <v>21017</v>
      </c>
      <c r="P11" s="21">
        <f t="shared" si="5"/>
        <v>87.2</v>
      </c>
      <c r="Q11" s="56">
        <f>17103+2936</f>
        <v>20039</v>
      </c>
      <c r="R11" s="21">
        <f t="shared" si="6"/>
        <v>83.1</v>
      </c>
    </row>
    <row r="12" spans="1:18" ht="18.95" customHeight="1">
      <c r="A12" s="62">
        <v>17</v>
      </c>
      <c r="B12" s="61" t="s">
        <v>27</v>
      </c>
      <c r="C12" s="58">
        <v>16867</v>
      </c>
      <c r="D12" s="57">
        <v>13467</v>
      </c>
      <c r="E12" s="21">
        <f t="shared" si="0"/>
        <v>79.8</v>
      </c>
      <c r="F12" s="60">
        <v>13617</v>
      </c>
      <c r="G12" s="21">
        <f t="shared" si="1"/>
        <v>80.7</v>
      </c>
      <c r="H12" s="60">
        <v>11328</v>
      </c>
      <c r="I12" s="21">
        <f t="shared" si="2"/>
        <v>67.2</v>
      </c>
      <c r="J12" s="60">
        <v>13631</v>
      </c>
      <c r="K12" s="21">
        <f t="shared" si="3"/>
        <v>80.8</v>
      </c>
      <c r="L12" s="59">
        <v>13393</v>
      </c>
      <c r="M12" s="21">
        <f t="shared" si="4"/>
        <v>79.400000000000006</v>
      </c>
      <c r="N12" s="58">
        <v>16850</v>
      </c>
      <c r="O12" s="57">
        <v>13994</v>
      </c>
      <c r="P12" s="21">
        <f t="shared" si="5"/>
        <v>83.1</v>
      </c>
      <c r="Q12" s="56">
        <f>8875+2345</f>
        <v>11220</v>
      </c>
      <c r="R12" s="21">
        <f t="shared" si="6"/>
        <v>66.599999999999994</v>
      </c>
    </row>
    <row r="13" spans="1:18" ht="18.95" customHeight="1">
      <c r="A13" s="62">
        <v>18</v>
      </c>
      <c r="B13" s="66" t="s">
        <v>28</v>
      </c>
      <c r="C13" s="58">
        <v>10797</v>
      </c>
      <c r="D13" s="65">
        <v>9373</v>
      </c>
      <c r="E13" s="21">
        <f t="shared" si="0"/>
        <v>86.8</v>
      </c>
      <c r="F13" s="60">
        <v>9383</v>
      </c>
      <c r="G13" s="21">
        <f t="shared" si="1"/>
        <v>86.9</v>
      </c>
      <c r="H13" s="60">
        <v>10576</v>
      </c>
      <c r="I13" s="21">
        <f t="shared" si="2"/>
        <v>98</v>
      </c>
      <c r="J13" s="60">
        <v>9380</v>
      </c>
      <c r="K13" s="21">
        <f t="shared" si="3"/>
        <v>86.9</v>
      </c>
      <c r="L13" s="59">
        <v>9373</v>
      </c>
      <c r="M13" s="21">
        <f t="shared" si="4"/>
        <v>86.8</v>
      </c>
      <c r="N13" s="58">
        <v>10837</v>
      </c>
      <c r="O13" s="57">
        <v>9274</v>
      </c>
      <c r="P13" s="21">
        <f t="shared" si="5"/>
        <v>85.6</v>
      </c>
      <c r="Q13" s="56">
        <f>7874+1148</f>
        <v>9022</v>
      </c>
      <c r="R13" s="21">
        <f t="shared" si="6"/>
        <v>83.3</v>
      </c>
    </row>
    <row r="14" spans="1:18" ht="18.95" customHeight="1">
      <c r="A14" s="62">
        <v>85</v>
      </c>
      <c r="B14" s="61" t="s">
        <v>29</v>
      </c>
      <c r="C14" s="58">
        <v>6996</v>
      </c>
      <c r="D14" s="65">
        <v>6798</v>
      </c>
      <c r="E14" s="21">
        <f t="shared" si="0"/>
        <v>97.2</v>
      </c>
      <c r="F14" s="60">
        <v>6798</v>
      </c>
      <c r="G14" s="21">
        <f t="shared" si="1"/>
        <v>97.2</v>
      </c>
      <c r="H14" s="60">
        <v>6353</v>
      </c>
      <c r="I14" s="21">
        <f t="shared" si="2"/>
        <v>90.8</v>
      </c>
      <c r="J14" s="60">
        <v>6803</v>
      </c>
      <c r="K14" s="21">
        <f t="shared" si="3"/>
        <v>97.2</v>
      </c>
      <c r="L14" s="59">
        <v>6798</v>
      </c>
      <c r="M14" s="21">
        <f t="shared" si="4"/>
        <v>97.2</v>
      </c>
      <c r="N14" s="58">
        <v>7008</v>
      </c>
      <c r="O14" s="57">
        <v>6774</v>
      </c>
      <c r="P14" s="21">
        <f t="shared" si="5"/>
        <v>96.7</v>
      </c>
      <c r="Q14" s="56">
        <v>6718</v>
      </c>
      <c r="R14" s="21">
        <f t="shared" si="6"/>
        <v>95.9</v>
      </c>
    </row>
    <row r="15" spans="1:18" ht="18.95" customHeight="1">
      <c r="A15" s="62">
        <v>19</v>
      </c>
      <c r="B15" s="66" t="s">
        <v>30</v>
      </c>
      <c r="C15" s="58">
        <v>25956</v>
      </c>
      <c r="D15" s="65">
        <v>22372</v>
      </c>
      <c r="E15" s="21">
        <f t="shared" si="0"/>
        <v>86.2</v>
      </c>
      <c r="F15" s="60">
        <v>22326</v>
      </c>
      <c r="G15" s="21">
        <f t="shared" si="1"/>
        <v>86</v>
      </c>
      <c r="H15" s="60">
        <v>21877</v>
      </c>
      <c r="I15" s="21">
        <f t="shared" si="2"/>
        <v>84.3</v>
      </c>
      <c r="J15" s="60">
        <v>22324</v>
      </c>
      <c r="K15" s="21">
        <f t="shared" si="3"/>
        <v>86</v>
      </c>
      <c r="L15" s="59">
        <v>22320</v>
      </c>
      <c r="M15" s="21">
        <f t="shared" si="4"/>
        <v>86</v>
      </c>
      <c r="N15" s="58">
        <v>26060</v>
      </c>
      <c r="O15" s="57">
        <v>23844</v>
      </c>
      <c r="P15" s="21">
        <f t="shared" si="5"/>
        <v>91.5</v>
      </c>
      <c r="Q15" s="56">
        <f>11283+5887</f>
        <v>17170</v>
      </c>
      <c r="R15" s="21">
        <f t="shared" si="6"/>
        <v>65.900000000000006</v>
      </c>
    </row>
    <row r="16" spans="1:18" ht="18.95" customHeight="1">
      <c r="A16" s="62">
        <v>20</v>
      </c>
      <c r="B16" s="66" t="s">
        <v>31</v>
      </c>
      <c r="C16" s="58">
        <v>22278</v>
      </c>
      <c r="D16" s="65">
        <v>23276</v>
      </c>
      <c r="E16" s="21">
        <f t="shared" si="0"/>
        <v>104.5</v>
      </c>
      <c r="F16" s="60">
        <v>23276</v>
      </c>
      <c r="G16" s="21">
        <f t="shared" si="1"/>
        <v>104.5</v>
      </c>
      <c r="H16" s="60">
        <v>25677</v>
      </c>
      <c r="I16" s="21">
        <f t="shared" si="2"/>
        <v>115.3</v>
      </c>
      <c r="J16" s="60">
        <v>23199</v>
      </c>
      <c r="K16" s="21">
        <f t="shared" si="3"/>
        <v>104.1</v>
      </c>
      <c r="L16" s="59">
        <v>23276</v>
      </c>
      <c r="M16" s="21">
        <f t="shared" si="4"/>
        <v>104.5</v>
      </c>
      <c r="N16" s="58">
        <v>22306</v>
      </c>
      <c r="O16" s="57">
        <v>23258</v>
      </c>
      <c r="P16" s="21">
        <f t="shared" si="5"/>
        <v>104.3</v>
      </c>
      <c r="Q16" s="56">
        <f>13647+3437</f>
        <v>17084</v>
      </c>
      <c r="R16" s="21">
        <f t="shared" si="6"/>
        <v>76.599999999999994</v>
      </c>
    </row>
    <row r="17" spans="1:18" ht="18.95" customHeight="1">
      <c r="A17" s="62">
        <v>27</v>
      </c>
      <c r="B17" s="66" t="s">
        <v>32</v>
      </c>
      <c r="C17" s="58">
        <v>13617</v>
      </c>
      <c r="D17" s="57">
        <v>10690</v>
      </c>
      <c r="E17" s="21">
        <f t="shared" si="0"/>
        <v>78.5</v>
      </c>
      <c r="F17" s="60">
        <v>10688</v>
      </c>
      <c r="G17" s="21">
        <f t="shared" si="1"/>
        <v>78.5</v>
      </c>
      <c r="H17" s="60">
        <v>11709</v>
      </c>
      <c r="I17" s="21">
        <f t="shared" si="2"/>
        <v>86</v>
      </c>
      <c r="J17" s="60">
        <v>10688</v>
      </c>
      <c r="K17" s="21">
        <f t="shared" si="3"/>
        <v>78.5</v>
      </c>
      <c r="L17" s="59">
        <v>10688</v>
      </c>
      <c r="M17" s="21">
        <f t="shared" si="4"/>
        <v>78.5</v>
      </c>
      <c r="N17" s="58">
        <v>13465</v>
      </c>
      <c r="O17" s="57">
        <v>11459</v>
      </c>
      <c r="P17" s="21">
        <f t="shared" si="5"/>
        <v>85.1</v>
      </c>
      <c r="Q17" s="56">
        <v>10410</v>
      </c>
      <c r="R17" s="21">
        <f t="shared" si="6"/>
        <v>77.3</v>
      </c>
    </row>
    <row r="18" spans="1:18" ht="18.95" customHeight="1">
      <c r="A18" s="62">
        <v>23</v>
      </c>
      <c r="B18" s="66" t="s">
        <v>33</v>
      </c>
      <c r="C18" s="58">
        <v>35688</v>
      </c>
      <c r="D18" s="65">
        <v>36384</v>
      </c>
      <c r="E18" s="21">
        <f t="shared" si="0"/>
        <v>102</v>
      </c>
      <c r="F18" s="60">
        <v>36969</v>
      </c>
      <c r="G18" s="21">
        <f t="shared" si="1"/>
        <v>103.6</v>
      </c>
      <c r="H18" s="60">
        <v>36033</v>
      </c>
      <c r="I18" s="21">
        <f t="shared" si="2"/>
        <v>101</v>
      </c>
      <c r="J18" s="60">
        <v>36604</v>
      </c>
      <c r="K18" s="21">
        <f t="shared" si="3"/>
        <v>102.6</v>
      </c>
      <c r="L18" s="59">
        <v>36109</v>
      </c>
      <c r="M18" s="21">
        <f t="shared" si="4"/>
        <v>101.2</v>
      </c>
      <c r="N18" s="58">
        <v>35437</v>
      </c>
      <c r="O18" s="57">
        <v>34638</v>
      </c>
      <c r="P18" s="21">
        <f t="shared" si="5"/>
        <v>97.7</v>
      </c>
      <c r="Q18" s="56">
        <f>22463+104</f>
        <v>22567</v>
      </c>
      <c r="R18" s="21">
        <f t="shared" si="6"/>
        <v>63.7</v>
      </c>
    </row>
    <row r="19" spans="1:18" ht="18.95" customHeight="1">
      <c r="A19" s="62">
        <v>25</v>
      </c>
      <c r="B19" s="66" t="s">
        <v>34</v>
      </c>
      <c r="C19" s="58">
        <v>45836</v>
      </c>
      <c r="D19" s="65">
        <v>36176</v>
      </c>
      <c r="E19" s="21">
        <f t="shared" si="0"/>
        <v>78.900000000000006</v>
      </c>
      <c r="F19" s="60">
        <v>36156</v>
      </c>
      <c r="G19" s="21">
        <f t="shared" si="1"/>
        <v>78.900000000000006</v>
      </c>
      <c r="H19" s="60">
        <v>28960</v>
      </c>
      <c r="I19" s="21">
        <f t="shared" si="2"/>
        <v>63.2</v>
      </c>
      <c r="J19" s="60">
        <v>36164</v>
      </c>
      <c r="K19" s="21">
        <f t="shared" si="3"/>
        <v>78.900000000000006</v>
      </c>
      <c r="L19" s="60">
        <v>36156</v>
      </c>
      <c r="M19" s="21">
        <f t="shared" si="4"/>
        <v>78.900000000000006</v>
      </c>
      <c r="N19" s="58">
        <v>45728</v>
      </c>
      <c r="O19" s="57">
        <v>37733</v>
      </c>
      <c r="P19" s="21">
        <f t="shared" si="5"/>
        <v>82.5</v>
      </c>
      <c r="Q19" s="56">
        <v>33157</v>
      </c>
      <c r="R19" s="21">
        <f t="shared" si="6"/>
        <v>72.5</v>
      </c>
    </row>
    <row r="20" spans="1:18" ht="18.95" customHeight="1">
      <c r="A20" s="62">
        <v>94</v>
      </c>
      <c r="B20" s="66" t="s">
        <v>35</v>
      </c>
      <c r="C20" s="58">
        <v>1037</v>
      </c>
      <c r="D20" s="65">
        <v>402</v>
      </c>
      <c r="E20" s="21">
        <f t="shared" si="0"/>
        <v>38.799999999999997</v>
      </c>
      <c r="F20" s="60">
        <v>411</v>
      </c>
      <c r="G20" s="21">
        <f t="shared" si="1"/>
        <v>39.6</v>
      </c>
      <c r="H20" s="60">
        <v>672</v>
      </c>
      <c r="I20" s="21">
        <f t="shared" si="2"/>
        <v>64.8</v>
      </c>
      <c r="J20" s="60">
        <v>416</v>
      </c>
      <c r="K20" s="21">
        <f t="shared" si="3"/>
        <v>40.1</v>
      </c>
      <c r="L20" s="59">
        <v>411</v>
      </c>
      <c r="M20" s="21">
        <f t="shared" si="4"/>
        <v>39.6</v>
      </c>
      <c r="N20" s="58">
        <v>1028</v>
      </c>
      <c r="O20" s="57">
        <v>589</v>
      </c>
      <c r="P20" s="21">
        <f t="shared" si="5"/>
        <v>57.3</v>
      </c>
      <c r="Q20" s="56">
        <f>385+87</f>
        <v>472</v>
      </c>
      <c r="R20" s="21">
        <f t="shared" si="6"/>
        <v>45.9</v>
      </c>
    </row>
    <row r="21" spans="1:18" ht="18.95" customHeight="1">
      <c r="A21" s="62">
        <v>95</v>
      </c>
      <c r="B21" s="61" t="s">
        <v>36</v>
      </c>
      <c r="C21" s="58">
        <v>2699</v>
      </c>
      <c r="D21" s="65">
        <v>2164</v>
      </c>
      <c r="E21" s="21">
        <f t="shared" si="0"/>
        <v>80.2</v>
      </c>
      <c r="F21" s="60">
        <v>2164</v>
      </c>
      <c r="G21" s="21">
        <f t="shared" si="1"/>
        <v>80.2</v>
      </c>
      <c r="H21" s="60">
        <v>1939</v>
      </c>
      <c r="I21" s="21">
        <f t="shared" si="2"/>
        <v>71.8</v>
      </c>
      <c r="J21" s="60">
        <v>2164</v>
      </c>
      <c r="K21" s="21">
        <f t="shared" si="3"/>
        <v>80.2</v>
      </c>
      <c r="L21" s="59">
        <v>2164</v>
      </c>
      <c r="M21" s="21">
        <f t="shared" si="4"/>
        <v>80.2</v>
      </c>
      <c r="N21" s="58">
        <v>2676</v>
      </c>
      <c r="O21" s="57">
        <v>2105</v>
      </c>
      <c r="P21" s="21">
        <f t="shared" si="5"/>
        <v>78.7</v>
      </c>
      <c r="Q21" s="56">
        <f>1582+520</f>
        <v>2102</v>
      </c>
      <c r="R21" s="21">
        <f t="shared" si="6"/>
        <v>78.599999999999994</v>
      </c>
    </row>
    <row r="22" spans="1:18" ht="18.95" customHeight="1">
      <c r="A22" s="62">
        <v>41</v>
      </c>
      <c r="B22" s="61" t="s">
        <v>37</v>
      </c>
      <c r="C22" s="58">
        <v>22511</v>
      </c>
      <c r="D22" s="65">
        <v>22297</v>
      </c>
      <c r="E22" s="21">
        <f t="shared" si="0"/>
        <v>99</v>
      </c>
      <c r="F22" s="60">
        <v>22365</v>
      </c>
      <c r="G22" s="21">
        <f t="shared" si="1"/>
        <v>99.4</v>
      </c>
      <c r="H22" s="60">
        <v>21163</v>
      </c>
      <c r="I22" s="21">
        <f t="shared" si="2"/>
        <v>94</v>
      </c>
      <c r="J22" s="60">
        <v>22369</v>
      </c>
      <c r="K22" s="21">
        <f t="shared" si="3"/>
        <v>99.4</v>
      </c>
      <c r="L22" s="59">
        <v>22365</v>
      </c>
      <c r="M22" s="21">
        <f t="shared" si="4"/>
        <v>99.4</v>
      </c>
      <c r="N22" s="58">
        <v>22475</v>
      </c>
      <c r="O22" s="57">
        <v>22480</v>
      </c>
      <c r="P22" s="21">
        <f t="shared" si="5"/>
        <v>100</v>
      </c>
      <c r="Q22" s="56">
        <v>22224</v>
      </c>
      <c r="R22" s="21">
        <f t="shared" si="6"/>
        <v>98.9</v>
      </c>
    </row>
    <row r="23" spans="1:18" ht="18.95" customHeight="1">
      <c r="A23" s="62">
        <v>44</v>
      </c>
      <c r="B23" s="61" t="s">
        <v>38</v>
      </c>
      <c r="C23" s="58">
        <v>22869</v>
      </c>
      <c r="D23" s="57">
        <v>20978</v>
      </c>
      <c r="E23" s="21">
        <f t="shared" si="0"/>
        <v>91.7</v>
      </c>
      <c r="F23" s="60">
        <v>22471</v>
      </c>
      <c r="G23" s="21">
        <f t="shared" si="1"/>
        <v>98.3</v>
      </c>
      <c r="H23" s="60">
        <v>16821</v>
      </c>
      <c r="I23" s="21">
        <f t="shared" si="2"/>
        <v>73.599999999999994</v>
      </c>
      <c r="J23" s="60">
        <v>22287</v>
      </c>
      <c r="K23" s="21">
        <f t="shared" si="3"/>
        <v>97.5</v>
      </c>
      <c r="L23" s="59">
        <v>22471</v>
      </c>
      <c r="M23" s="21">
        <f t="shared" si="4"/>
        <v>98.3</v>
      </c>
      <c r="N23" s="58">
        <v>22257</v>
      </c>
      <c r="O23" s="57">
        <v>19109</v>
      </c>
      <c r="P23" s="21">
        <f t="shared" si="5"/>
        <v>85.9</v>
      </c>
      <c r="Q23" s="56">
        <f>14581+4455</f>
        <v>19036</v>
      </c>
      <c r="R23" s="21">
        <f t="shared" si="6"/>
        <v>85.5</v>
      </c>
    </row>
    <row r="24" spans="1:18" ht="18.95" customHeight="1">
      <c r="A24" s="62">
        <v>47</v>
      </c>
      <c r="B24" s="61" t="s">
        <v>39</v>
      </c>
      <c r="C24" s="58">
        <v>18573</v>
      </c>
      <c r="D24" s="57">
        <v>18078</v>
      </c>
      <c r="E24" s="21">
        <f t="shared" si="0"/>
        <v>97.3</v>
      </c>
      <c r="F24" s="60">
        <v>18026</v>
      </c>
      <c r="G24" s="21">
        <f t="shared" si="1"/>
        <v>97.1</v>
      </c>
      <c r="H24" s="60">
        <v>18289</v>
      </c>
      <c r="I24" s="21">
        <f t="shared" si="2"/>
        <v>98.5</v>
      </c>
      <c r="J24" s="60">
        <v>18058</v>
      </c>
      <c r="K24" s="21">
        <f t="shared" si="3"/>
        <v>97.2</v>
      </c>
      <c r="L24" s="59">
        <v>18026</v>
      </c>
      <c r="M24" s="21">
        <f t="shared" si="4"/>
        <v>97.1</v>
      </c>
      <c r="N24" s="58">
        <v>18644</v>
      </c>
      <c r="O24" s="57">
        <v>18465</v>
      </c>
      <c r="P24" s="21">
        <f t="shared" si="5"/>
        <v>99</v>
      </c>
      <c r="Q24" s="56">
        <f>10972+2911</f>
        <v>13883</v>
      </c>
      <c r="R24" s="21">
        <f t="shared" si="6"/>
        <v>74.5</v>
      </c>
    </row>
    <row r="25" spans="1:18" ht="18.95" customHeight="1">
      <c r="A25" s="62">
        <v>48</v>
      </c>
      <c r="B25" s="35" t="s">
        <v>40</v>
      </c>
      <c r="C25" s="58">
        <v>9220</v>
      </c>
      <c r="D25" s="65">
        <v>8950</v>
      </c>
      <c r="E25" s="21">
        <f t="shared" si="0"/>
        <v>97.1</v>
      </c>
      <c r="F25" s="60">
        <v>8955</v>
      </c>
      <c r="G25" s="21">
        <f t="shared" si="1"/>
        <v>97.1</v>
      </c>
      <c r="H25" s="60">
        <v>9893</v>
      </c>
      <c r="I25" s="21">
        <f t="shared" si="2"/>
        <v>107.3</v>
      </c>
      <c r="J25" s="60">
        <v>8955</v>
      </c>
      <c r="K25" s="21">
        <f t="shared" si="3"/>
        <v>97.1</v>
      </c>
      <c r="L25" s="59">
        <v>8955</v>
      </c>
      <c r="M25" s="21">
        <f t="shared" si="4"/>
        <v>97.1</v>
      </c>
      <c r="N25" s="58">
        <v>9396</v>
      </c>
      <c r="O25" s="57">
        <v>9342</v>
      </c>
      <c r="P25" s="21">
        <f t="shared" si="5"/>
        <v>99.4</v>
      </c>
      <c r="Q25" s="56">
        <f>5872+1272</f>
        <v>7144</v>
      </c>
      <c r="R25" s="21">
        <f t="shared" si="6"/>
        <v>76</v>
      </c>
    </row>
    <row r="26" spans="1:18" ht="18.95" customHeight="1">
      <c r="A26" s="62">
        <v>50</v>
      </c>
      <c r="B26" s="66" t="s">
        <v>41</v>
      </c>
      <c r="C26" s="58">
        <v>17779</v>
      </c>
      <c r="D26" s="57">
        <f>16984+14</f>
        <v>16998</v>
      </c>
      <c r="E26" s="21">
        <f t="shared" si="0"/>
        <v>95.6</v>
      </c>
      <c r="F26" s="60">
        <v>16986</v>
      </c>
      <c r="G26" s="21">
        <f t="shared" si="1"/>
        <v>95.5</v>
      </c>
      <c r="H26" s="60">
        <v>17091</v>
      </c>
      <c r="I26" s="21">
        <f t="shared" si="2"/>
        <v>96.1</v>
      </c>
      <c r="J26" s="60">
        <v>17012</v>
      </c>
      <c r="K26" s="21">
        <f t="shared" si="3"/>
        <v>95.7</v>
      </c>
      <c r="L26" s="59">
        <v>16986</v>
      </c>
      <c r="M26" s="21">
        <f t="shared" si="4"/>
        <v>95.5</v>
      </c>
      <c r="N26" s="58">
        <v>17732</v>
      </c>
      <c r="O26" s="57">
        <v>16912</v>
      </c>
      <c r="P26" s="21">
        <f t="shared" si="5"/>
        <v>95.4</v>
      </c>
      <c r="Q26" s="56">
        <v>16889</v>
      </c>
      <c r="R26" s="21">
        <f t="shared" si="6"/>
        <v>95.2</v>
      </c>
    </row>
    <row r="27" spans="1:18" ht="18.95" customHeight="1">
      <c r="A27" s="62">
        <v>52</v>
      </c>
      <c r="B27" s="61" t="s">
        <v>42</v>
      </c>
      <c r="C27" s="58">
        <v>32794</v>
      </c>
      <c r="D27" s="57">
        <v>23669</v>
      </c>
      <c r="E27" s="21">
        <f t="shared" si="0"/>
        <v>72.2</v>
      </c>
      <c r="F27" s="60">
        <v>23680</v>
      </c>
      <c r="G27" s="21">
        <f t="shared" si="1"/>
        <v>72.2</v>
      </c>
      <c r="H27" s="60">
        <v>24390</v>
      </c>
      <c r="I27" s="21">
        <f t="shared" si="2"/>
        <v>74.400000000000006</v>
      </c>
      <c r="J27" s="60">
        <v>23703</v>
      </c>
      <c r="K27" s="21">
        <f t="shared" si="3"/>
        <v>72.3</v>
      </c>
      <c r="L27" s="59">
        <v>23714</v>
      </c>
      <c r="M27" s="21">
        <f t="shared" si="4"/>
        <v>72.3</v>
      </c>
      <c r="N27" s="58">
        <v>32935</v>
      </c>
      <c r="O27" s="57">
        <v>25094</v>
      </c>
      <c r="P27" s="21">
        <f t="shared" si="5"/>
        <v>76.2</v>
      </c>
      <c r="Q27" s="56">
        <v>23703</v>
      </c>
      <c r="R27" s="21">
        <f t="shared" si="6"/>
        <v>72</v>
      </c>
    </row>
    <row r="28" spans="1:18" ht="18.95" customHeight="1">
      <c r="A28" s="62">
        <v>54</v>
      </c>
      <c r="B28" s="32" t="s">
        <v>43</v>
      </c>
      <c r="C28" s="58">
        <v>25601</v>
      </c>
      <c r="D28" s="57">
        <v>25384</v>
      </c>
      <c r="E28" s="21">
        <f t="shared" si="0"/>
        <v>99.2</v>
      </c>
      <c r="F28" s="60">
        <v>25390</v>
      </c>
      <c r="G28" s="21">
        <f t="shared" si="1"/>
        <v>99.2</v>
      </c>
      <c r="H28" s="60">
        <f>3008+22916</f>
        <v>25924</v>
      </c>
      <c r="I28" s="21">
        <f t="shared" si="2"/>
        <v>101.3</v>
      </c>
      <c r="J28" s="60">
        <v>25390</v>
      </c>
      <c r="K28" s="21">
        <f t="shared" si="3"/>
        <v>99.2</v>
      </c>
      <c r="L28" s="59">
        <v>25389</v>
      </c>
      <c r="M28" s="21">
        <f t="shared" si="4"/>
        <v>99.2</v>
      </c>
      <c r="N28" s="58">
        <v>25553</v>
      </c>
      <c r="O28" s="57">
        <v>24434</v>
      </c>
      <c r="P28" s="21">
        <f t="shared" si="5"/>
        <v>95.6</v>
      </c>
      <c r="Q28" s="56">
        <f>19282+4970</f>
        <v>24252</v>
      </c>
      <c r="R28" s="21">
        <f t="shared" si="6"/>
        <v>94.9</v>
      </c>
    </row>
    <row r="29" spans="1:18" ht="18.95" customHeight="1">
      <c r="A29" s="62">
        <v>85</v>
      </c>
      <c r="B29" s="61" t="s">
        <v>44</v>
      </c>
      <c r="C29" s="58">
        <v>8042</v>
      </c>
      <c r="D29" s="65">
        <v>7379</v>
      </c>
      <c r="E29" s="21">
        <f t="shared" si="0"/>
        <v>91.8</v>
      </c>
      <c r="F29" s="60">
        <v>7379</v>
      </c>
      <c r="G29" s="21">
        <f t="shared" si="1"/>
        <v>91.8</v>
      </c>
      <c r="H29" s="60">
        <v>6171</v>
      </c>
      <c r="I29" s="21">
        <f t="shared" si="2"/>
        <v>76.7</v>
      </c>
      <c r="J29" s="60">
        <v>7379</v>
      </c>
      <c r="K29" s="21">
        <f t="shared" si="3"/>
        <v>91.8</v>
      </c>
      <c r="L29" s="59">
        <v>7379</v>
      </c>
      <c r="M29" s="21">
        <f t="shared" si="4"/>
        <v>91.8</v>
      </c>
      <c r="N29" s="58">
        <v>8004</v>
      </c>
      <c r="O29" s="57">
        <v>7366</v>
      </c>
      <c r="P29" s="21">
        <f t="shared" si="5"/>
        <v>92</v>
      </c>
      <c r="Q29" s="56">
        <v>7388</v>
      </c>
      <c r="R29" s="21">
        <f t="shared" si="6"/>
        <v>92.3</v>
      </c>
    </row>
    <row r="30" spans="1:18" ht="18.95" customHeight="1">
      <c r="A30" s="62">
        <v>63</v>
      </c>
      <c r="B30" s="66" t="s">
        <v>45</v>
      </c>
      <c r="C30" s="58">
        <v>9274</v>
      </c>
      <c r="D30" s="57">
        <v>8021</v>
      </c>
      <c r="E30" s="21">
        <f t="shared" si="0"/>
        <v>86.5</v>
      </c>
      <c r="F30" s="60">
        <v>8021</v>
      </c>
      <c r="G30" s="21">
        <f t="shared" si="1"/>
        <v>86.5</v>
      </c>
      <c r="H30" s="60">
        <v>6733</v>
      </c>
      <c r="I30" s="21">
        <f t="shared" si="2"/>
        <v>72.599999999999994</v>
      </c>
      <c r="J30" s="60">
        <v>8021</v>
      </c>
      <c r="K30" s="21">
        <f t="shared" si="3"/>
        <v>86.5</v>
      </c>
      <c r="L30" s="59">
        <v>8021</v>
      </c>
      <c r="M30" s="21">
        <f t="shared" si="4"/>
        <v>86.5</v>
      </c>
      <c r="N30" s="58">
        <v>9247</v>
      </c>
      <c r="O30" s="57">
        <v>8381</v>
      </c>
      <c r="P30" s="21">
        <f t="shared" si="5"/>
        <v>90.6</v>
      </c>
      <c r="Q30" s="56">
        <f>4872+1974</f>
        <v>6846</v>
      </c>
      <c r="R30" s="21">
        <f t="shared" si="6"/>
        <v>74</v>
      </c>
    </row>
    <row r="31" spans="1:18" ht="18.95" customHeight="1">
      <c r="A31" s="62">
        <v>66</v>
      </c>
      <c r="B31" s="66" t="s">
        <v>46</v>
      </c>
      <c r="C31" s="58">
        <v>15478</v>
      </c>
      <c r="D31" s="57">
        <v>13485</v>
      </c>
      <c r="E31" s="21">
        <f t="shared" si="0"/>
        <v>87.1</v>
      </c>
      <c r="F31" s="60">
        <v>13394</v>
      </c>
      <c r="G31" s="21">
        <f t="shared" si="1"/>
        <v>86.5</v>
      </c>
      <c r="H31" s="60">
        <v>13895</v>
      </c>
      <c r="I31" s="21">
        <f t="shared" si="2"/>
        <v>89.8</v>
      </c>
      <c r="J31" s="60">
        <v>13413</v>
      </c>
      <c r="K31" s="21">
        <f t="shared" si="3"/>
        <v>86.7</v>
      </c>
      <c r="L31" s="59">
        <v>13394</v>
      </c>
      <c r="M31" s="21">
        <f t="shared" si="4"/>
        <v>86.5</v>
      </c>
      <c r="N31" s="58">
        <v>15423</v>
      </c>
      <c r="O31" s="57">
        <v>13346</v>
      </c>
      <c r="P31" s="21">
        <f t="shared" si="5"/>
        <v>86.5</v>
      </c>
      <c r="Q31" s="56">
        <v>13112</v>
      </c>
      <c r="R31" s="21">
        <f t="shared" si="6"/>
        <v>85</v>
      </c>
    </row>
    <row r="32" spans="1:18" ht="18.95" customHeight="1">
      <c r="A32" s="62">
        <v>88</v>
      </c>
      <c r="B32" s="66" t="s">
        <v>47</v>
      </c>
      <c r="C32" s="58">
        <v>1275</v>
      </c>
      <c r="D32" s="65">
        <v>846</v>
      </c>
      <c r="E32" s="21">
        <f t="shared" si="0"/>
        <v>66.400000000000006</v>
      </c>
      <c r="F32" s="60">
        <v>842</v>
      </c>
      <c r="G32" s="21">
        <f t="shared" si="1"/>
        <v>66</v>
      </c>
      <c r="H32" s="60">
        <v>829</v>
      </c>
      <c r="I32" s="21">
        <f t="shared" si="2"/>
        <v>65</v>
      </c>
      <c r="J32" s="60">
        <v>846</v>
      </c>
      <c r="K32" s="21">
        <f t="shared" si="3"/>
        <v>66.400000000000006</v>
      </c>
      <c r="L32" s="59">
        <v>842</v>
      </c>
      <c r="M32" s="21">
        <f t="shared" si="4"/>
        <v>66</v>
      </c>
      <c r="N32" s="58">
        <v>1280</v>
      </c>
      <c r="O32" s="57">
        <f>850+62</f>
        <v>912</v>
      </c>
      <c r="P32" s="21">
        <f t="shared" si="5"/>
        <v>71.3</v>
      </c>
      <c r="Q32" s="56">
        <f>668+104</f>
        <v>772</v>
      </c>
      <c r="R32" s="21">
        <f t="shared" si="6"/>
        <v>60.3</v>
      </c>
    </row>
    <row r="33" spans="1:18" ht="18.95" customHeight="1" thickBot="1">
      <c r="A33" s="62">
        <v>68</v>
      </c>
      <c r="B33" s="66" t="s">
        <v>48</v>
      </c>
      <c r="C33" s="58">
        <v>34396</v>
      </c>
      <c r="D33" s="57">
        <v>33594</v>
      </c>
      <c r="E33" s="21">
        <f t="shared" si="0"/>
        <v>97.7</v>
      </c>
      <c r="F33" s="60">
        <v>33589</v>
      </c>
      <c r="G33" s="21">
        <f t="shared" si="1"/>
        <v>97.7</v>
      </c>
      <c r="H33" s="60">
        <v>30409</v>
      </c>
      <c r="I33" s="21">
        <f t="shared" si="2"/>
        <v>88.4</v>
      </c>
      <c r="J33" s="60">
        <v>33601</v>
      </c>
      <c r="K33" s="21">
        <f t="shared" si="3"/>
        <v>97.7</v>
      </c>
      <c r="L33" s="59">
        <v>33589</v>
      </c>
      <c r="M33" s="21">
        <f t="shared" si="4"/>
        <v>97.7</v>
      </c>
      <c r="N33" s="58">
        <v>34258</v>
      </c>
      <c r="O33" s="57">
        <v>32164</v>
      </c>
      <c r="P33" s="21">
        <f t="shared" si="5"/>
        <v>93.9</v>
      </c>
      <c r="Q33" s="56">
        <v>31065</v>
      </c>
      <c r="R33" s="21">
        <f t="shared" si="6"/>
        <v>90.7</v>
      </c>
    </row>
    <row r="34" spans="1:18" ht="18.95" customHeight="1">
      <c r="A34" s="62">
        <v>70</v>
      </c>
      <c r="B34" s="66" t="s">
        <v>49</v>
      </c>
      <c r="C34" s="58">
        <v>16920</v>
      </c>
      <c r="D34" s="70">
        <v>17394</v>
      </c>
      <c r="E34" s="21">
        <f t="shared" si="0"/>
        <v>102.8</v>
      </c>
      <c r="F34" s="69">
        <v>17394</v>
      </c>
      <c r="G34" s="21">
        <f t="shared" si="1"/>
        <v>102.8</v>
      </c>
      <c r="H34" s="68">
        <v>19607</v>
      </c>
      <c r="I34" s="21">
        <f t="shared" si="2"/>
        <v>115.9</v>
      </c>
      <c r="J34" s="52">
        <v>17394</v>
      </c>
      <c r="K34" s="21">
        <f t="shared" si="3"/>
        <v>102.8</v>
      </c>
      <c r="L34" s="52">
        <v>17394</v>
      </c>
      <c r="M34" s="21">
        <f t="shared" si="4"/>
        <v>102.8</v>
      </c>
      <c r="N34" s="58">
        <v>16872</v>
      </c>
      <c r="O34" s="67">
        <v>17515</v>
      </c>
      <c r="P34" s="21">
        <f t="shared" si="5"/>
        <v>103.8</v>
      </c>
      <c r="Q34" s="56">
        <f>12107+1822</f>
        <v>13929</v>
      </c>
      <c r="R34" s="21">
        <f t="shared" si="6"/>
        <v>82.6</v>
      </c>
    </row>
    <row r="35" spans="1:18" ht="18.95" customHeight="1">
      <c r="A35" s="62">
        <v>73</v>
      </c>
      <c r="B35" s="66" t="s">
        <v>50</v>
      </c>
      <c r="C35" s="58">
        <v>26143</v>
      </c>
      <c r="D35" s="65">
        <v>24416</v>
      </c>
      <c r="E35" s="21">
        <f t="shared" si="0"/>
        <v>93.4</v>
      </c>
      <c r="F35" s="60">
        <v>24387</v>
      </c>
      <c r="G35" s="21">
        <f t="shared" si="1"/>
        <v>93.3</v>
      </c>
      <c r="H35" s="60">
        <v>26989</v>
      </c>
      <c r="I35" s="21">
        <f t="shared" si="2"/>
        <v>103.2</v>
      </c>
      <c r="J35" s="64">
        <v>24387</v>
      </c>
      <c r="K35" s="21">
        <f t="shared" si="3"/>
        <v>93.3</v>
      </c>
      <c r="L35" s="63">
        <v>24387</v>
      </c>
      <c r="M35" s="21">
        <f t="shared" si="4"/>
        <v>93.3</v>
      </c>
      <c r="N35" s="58">
        <v>26413</v>
      </c>
      <c r="O35" s="57">
        <v>24752</v>
      </c>
      <c r="P35" s="21">
        <f t="shared" si="5"/>
        <v>93.7</v>
      </c>
      <c r="Q35" s="56">
        <v>24435</v>
      </c>
      <c r="R35" s="21">
        <f t="shared" si="6"/>
        <v>92.5</v>
      </c>
    </row>
    <row r="36" spans="1:18" ht="18.95" customHeight="1">
      <c r="A36" s="62">
        <v>76</v>
      </c>
      <c r="B36" s="61" t="s">
        <v>51</v>
      </c>
      <c r="C36" s="58">
        <v>72782</v>
      </c>
      <c r="D36" s="57">
        <v>72000</v>
      </c>
      <c r="E36" s="21">
        <f t="shared" si="0"/>
        <v>98.9</v>
      </c>
      <c r="F36" s="60">
        <v>71725</v>
      </c>
      <c r="G36" s="21">
        <f t="shared" si="1"/>
        <v>98.5</v>
      </c>
      <c r="H36" s="60">
        <v>71805</v>
      </c>
      <c r="I36" s="21">
        <f t="shared" si="2"/>
        <v>98.7</v>
      </c>
      <c r="J36" s="60">
        <v>72245</v>
      </c>
      <c r="K36" s="21">
        <f t="shared" si="3"/>
        <v>99.3</v>
      </c>
      <c r="L36" s="59">
        <v>71725</v>
      </c>
      <c r="M36" s="21">
        <f t="shared" si="4"/>
        <v>98.5</v>
      </c>
      <c r="N36" s="58">
        <v>72199</v>
      </c>
      <c r="O36" s="57">
        <v>66461</v>
      </c>
      <c r="P36" s="21">
        <f t="shared" si="5"/>
        <v>92.1</v>
      </c>
      <c r="Q36" s="56">
        <v>65931</v>
      </c>
      <c r="R36" s="21">
        <f t="shared" si="6"/>
        <v>91.3</v>
      </c>
    </row>
    <row r="37" spans="1:18" ht="18.95" customHeight="1" thickBot="1">
      <c r="A37" s="62">
        <v>97</v>
      </c>
      <c r="B37" s="61" t="s">
        <v>52</v>
      </c>
      <c r="C37" s="58">
        <v>1380</v>
      </c>
      <c r="D37" s="57">
        <v>786</v>
      </c>
      <c r="E37" s="21">
        <f t="shared" si="0"/>
        <v>57</v>
      </c>
      <c r="F37" s="60">
        <v>656</v>
      </c>
      <c r="G37" s="21">
        <f t="shared" si="1"/>
        <v>47.5</v>
      </c>
      <c r="H37" s="60">
        <v>1161</v>
      </c>
      <c r="I37" s="21">
        <f t="shared" si="2"/>
        <v>84.1</v>
      </c>
      <c r="J37" s="60">
        <v>749</v>
      </c>
      <c r="K37" s="21">
        <f t="shared" si="3"/>
        <v>54.3</v>
      </c>
      <c r="L37" s="59">
        <v>656</v>
      </c>
      <c r="M37" s="21">
        <f t="shared" si="4"/>
        <v>47.5</v>
      </c>
      <c r="N37" s="58">
        <v>1348</v>
      </c>
      <c r="O37" s="57">
        <v>805</v>
      </c>
      <c r="P37" s="21">
        <f t="shared" si="5"/>
        <v>59.7</v>
      </c>
      <c r="Q37" s="56">
        <f>417+313</f>
        <v>730</v>
      </c>
      <c r="R37" s="21">
        <f t="shared" si="6"/>
        <v>54.2</v>
      </c>
    </row>
    <row r="38" spans="1:18" ht="18.95" customHeight="1" thickBot="1">
      <c r="A38" s="55">
        <v>99</v>
      </c>
      <c r="B38" s="54" t="s">
        <v>53</v>
      </c>
      <c r="C38" s="50">
        <v>1712</v>
      </c>
      <c r="D38" s="49">
        <v>847</v>
      </c>
      <c r="E38" s="21">
        <f t="shared" si="0"/>
        <v>49.5</v>
      </c>
      <c r="F38" s="53">
        <v>849</v>
      </c>
      <c r="G38" s="21">
        <f t="shared" si="1"/>
        <v>49.6</v>
      </c>
      <c r="H38" s="53">
        <f>1012+153+132+48</f>
        <v>1345</v>
      </c>
      <c r="I38" s="21">
        <f t="shared" si="2"/>
        <v>78.599999999999994</v>
      </c>
      <c r="J38" s="52">
        <v>846</v>
      </c>
      <c r="K38" s="21">
        <f t="shared" si="3"/>
        <v>49.4</v>
      </c>
      <c r="L38" s="51">
        <v>839</v>
      </c>
      <c r="M38" s="21">
        <f t="shared" si="4"/>
        <v>49</v>
      </c>
      <c r="N38" s="50">
        <v>1680</v>
      </c>
      <c r="O38" s="49">
        <v>1186</v>
      </c>
      <c r="P38" s="21">
        <f t="shared" si="5"/>
        <v>70.599999999999994</v>
      </c>
      <c r="Q38" s="48">
        <f>559+107+146+56</f>
        <v>868</v>
      </c>
      <c r="R38" s="21">
        <f t="shared" si="6"/>
        <v>51.7</v>
      </c>
    </row>
    <row r="40" spans="1:18">
      <c r="E40" s="19"/>
      <c r="H40" s="19"/>
      <c r="O40" s="47"/>
    </row>
    <row r="41" spans="1:18">
      <c r="F41" s="19"/>
      <c r="H41" s="19"/>
      <c r="N41" s="19"/>
      <c r="P41" s="19"/>
    </row>
    <row r="42" spans="1:18">
      <c r="H42" s="19"/>
      <c r="I42" s="19"/>
    </row>
    <row r="44" spans="1:18">
      <c r="K44" s="19"/>
    </row>
  </sheetData>
  <mergeCells count="7">
    <mergeCell ref="O1:P1"/>
    <mergeCell ref="Q1:R1"/>
    <mergeCell ref="D1:E1"/>
    <mergeCell ref="F1:G1"/>
    <mergeCell ref="H1:I1"/>
    <mergeCell ref="J1:K1"/>
    <mergeCell ref="L1:M1"/>
  </mergeCells>
  <conditionalFormatting sqref="E3:E38 G3:G38 I3:I38 K3:K38 M3:M38 P3:P38 R3:R38">
    <cfRule type="cellIs" dxfId="11" priority="53" stopIfTrue="1" operator="between">
      <formula>0.01</formula>
      <formula>49.9</formula>
    </cfRule>
    <cfRule type="cellIs" dxfId="10" priority="54" stopIfTrue="1" operator="between">
      <formula>50</formula>
      <formula>79.9</formula>
    </cfRule>
    <cfRule type="cellIs" dxfId="9" priority="55" stopIfTrue="1" operator="between">
      <formula>80</formula>
      <formula>94.9</formula>
    </cfRule>
    <cfRule type="cellIs" dxfId="8" priority="56" stopIfTrue="1" operator="greaterThanOrEqual">
      <formula>95</formula>
    </cfRule>
  </conditionalFormatting>
  <printOptions horizontalCentered="1"/>
  <pageMargins left="0.19685039370078741" right="0.19685039370078741" top="0.82677165354330717" bottom="0.23622047244094491" header="0" footer="0"/>
  <pageSetup scale="68" orientation="landscape" r:id="rId1"/>
  <headerFooter alignWithMargins="0">
    <oddHeader>&amp;L      &amp;G&amp;C&amp;"Arial,Negrita"Ministerio de la Portección Social
República de Colombia
Dirección General de Salud Pública
Programa Ampliado de Inmunizaciones - PAI&amp;R&amp;G       .</oddHeader>
    <oddFooter>&amp;L           Fecha: &amp;D&amp;C&amp;F&amp;R&amp;P        .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CFFFF"/>
  </sheetPr>
  <dimension ref="A1:AD40"/>
  <sheetViews>
    <sheetView zoomScale="66" zoomScaleNormal="90" workbookViewId="0">
      <pane xSplit="2" ySplit="1" topLeftCell="C2" activePane="bottomRight" state="frozen"/>
      <selection pane="bottomRight" activeCell="A12" sqref="A12"/>
      <selection pane="bottomLeft" activeCell="A4" sqref="A4"/>
      <selection pane="topRight" activeCell="A4" sqref="A4"/>
    </sheetView>
  </sheetViews>
  <sheetFormatPr defaultColWidth="11" defaultRowHeight="11.45"/>
  <cols>
    <col min="1" max="1" width="7.42578125" style="159" bestFit="1" customWidth="1"/>
    <col min="2" max="2" width="22.28515625" style="159" customWidth="1"/>
    <col min="3" max="3" width="12.28515625" style="159" customWidth="1"/>
    <col min="4" max="4" width="10" style="159" customWidth="1"/>
    <col min="5" max="5" width="6.7109375" style="159" customWidth="1"/>
    <col min="6" max="6" width="8.7109375" style="159" customWidth="1"/>
    <col min="7" max="7" width="6.7109375" style="159" customWidth="1"/>
    <col min="8" max="8" width="8.7109375" style="159" customWidth="1"/>
    <col min="9" max="9" width="6.7109375" style="159" customWidth="1"/>
    <col min="10" max="10" width="8.7109375" style="159" customWidth="1"/>
    <col min="11" max="11" width="6.7109375" style="159" customWidth="1"/>
    <col min="12" max="12" width="8.7109375" style="159" customWidth="1"/>
    <col min="13" max="13" width="6.7109375" style="159" customWidth="1"/>
    <col min="14" max="14" width="10.7109375" style="159" bestFit="1" customWidth="1"/>
    <col min="15" max="15" width="8.7109375" style="159" bestFit="1" customWidth="1"/>
    <col min="16" max="16" width="6.7109375" style="159" bestFit="1" customWidth="1"/>
    <col min="17" max="17" width="8.7109375" style="159" bestFit="1" customWidth="1"/>
    <col min="18" max="18" width="6.7109375" style="159" bestFit="1" customWidth="1"/>
    <col min="19" max="19" width="9.5703125" style="159" bestFit="1" customWidth="1"/>
    <col min="20" max="20" width="6.7109375" style="159" bestFit="1" customWidth="1"/>
    <col min="21" max="21" width="9.140625" style="159" bestFit="1" customWidth="1"/>
    <col min="22" max="22" width="5.7109375" style="159" bestFit="1" customWidth="1"/>
    <col min="23" max="23" width="9.5703125" style="159" bestFit="1" customWidth="1"/>
    <col min="24" max="24" width="10" style="159" customWidth="1"/>
    <col min="25" max="25" width="11.42578125" style="159" bestFit="1" customWidth="1"/>
    <col min="26" max="26" width="10.140625" style="159" customWidth="1"/>
    <col min="27" max="27" width="12.5703125" style="159" bestFit="1" customWidth="1"/>
    <col min="28" max="28" width="7" style="159" bestFit="1" customWidth="1"/>
    <col min="29" max="16384" width="11" style="159"/>
  </cols>
  <sheetData>
    <row r="1" spans="1:30" s="179" customFormat="1" ht="48.75" customHeight="1" thickBot="1">
      <c r="A1" s="176" t="s">
        <v>54</v>
      </c>
      <c r="B1" s="176" t="s">
        <v>55</v>
      </c>
      <c r="C1" s="177" t="s">
        <v>59</v>
      </c>
      <c r="D1" s="110" t="s">
        <v>60</v>
      </c>
      <c r="E1" s="111" t="s">
        <v>61</v>
      </c>
      <c r="F1" s="112" t="s">
        <v>62</v>
      </c>
      <c r="G1" s="113" t="s">
        <v>63</v>
      </c>
      <c r="H1" s="114" t="s">
        <v>64</v>
      </c>
      <c r="I1" s="115" t="s">
        <v>65</v>
      </c>
      <c r="J1" s="112" t="s">
        <v>66</v>
      </c>
      <c r="K1" s="113" t="s">
        <v>67</v>
      </c>
      <c r="L1" s="112" t="s">
        <v>68</v>
      </c>
      <c r="M1" s="113" t="s">
        <v>69</v>
      </c>
      <c r="N1" s="178" t="s">
        <v>70</v>
      </c>
      <c r="O1" s="118" t="s">
        <v>71</v>
      </c>
      <c r="P1" s="119" t="s">
        <v>72</v>
      </c>
      <c r="Q1" s="120" t="s">
        <v>73</v>
      </c>
      <c r="R1" s="121" t="s">
        <v>74</v>
      </c>
      <c r="S1" s="116" t="s">
        <v>75</v>
      </c>
      <c r="T1" s="117" t="s">
        <v>76</v>
      </c>
      <c r="U1" s="122" t="s">
        <v>77</v>
      </c>
      <c r="V1" s="126" t="s">
        <v>78</v>
      </c>
      <c r="W1" s="126" t="s">
        <v>79</v>
      </c>
      <c r="X1" s="126" t="s">
        <v>80</v>
      </c>
      <c r="Y1" s="123" t="s">
        <v>81</v>
      </c>
      <c r="Z1" s="123" t="s">
        <v>82</v>
      </c>
    </row>
    <row r="2" spans="1:30" ht="14.1" customHeight="1">
      <c r="A2" s="146">
        <v>91</v>
      </c>
      <c r="B2" s="134" t="s">
        <v>17</v>
      </c>
      <c r="C2" s="160">
        <v>2107</v>
      </c>
      <c r="D2" s="161">
        <v>1559</v>
      </c>
      <c r="E2" s="153">
        <f t="shared" ref="E2:E37" si="0">ROUND(D2/$C2*100,1)</f>
        <v>74</v>
      </c>
      <c r="F2" s="161">
        <v>1564</v>
      </c>
      <c r="G2" s="153">
        <f t="shared" ref="G2:G37" si="1">ROUND(F2/$C2*100,1)</f>
        <v>74.2</v>
      </c>
      <c r="H2" s="161">
        <v>1681</v>
      </c>
      <c r="I2" s="153">
        <f t="shared" ref="I2:I37" si="2">ROUND(H2/$C2*100,1)</f>
        <v>79.8</v>
      </c>
      <c r="J2" s="161">
        <v>1565</v>
      </c>
      <c r="K2" s="153">
        <f t="shared" ref="K2:K37" si="3">ROUND(J2/$C2*100,1)</f>
        <v>74.3</v>
      </c>
      <c r="L2" s="161">
        <v>1564</v>
      </c>
      <c r="M2" s="153">
        <f t="shared" ref="M2:M37" si="4">ROUND(L2/$C2*100,1)</f>
        <v>74.2</v>
      </c>
      <c r="N2" s="162">
        <v>2066</v>
      </c>
      <c r="O2" s="161">
        <v>1809</v>
      </c>
      <c r="P2" s="153">
        <f t="shared" ref="P2:P37" si="5">ROUND(O2/$N2*100,1)</f>
        <v>87.6</v>
      </c>
      <c r="Q2" s="161">
        <v>1808</v>
      </c>
      <c r="R2" s="153">
        <f t="shared" ref="R2:R37" si="6">ROUND(Q2/$N2*100,1)</f>
        <v>87.5</v>
      </c>
      <c r="S2" s="161">
        <v>987</v>
      </c>
      <c r="T2" s="153">
        <f t="shared" ref="T2:T37" si="7">ROUND(S2/$AB2*100,1)</f>
        <v>70.3</v>
      </c>
      <c r="U2" s="161">
        <v>70</v>
      </c>
      <c r="V2" s="163">
        <f t="shared" ref="V2:V37" si="8">U2/C2*100</f>
        <v>3.322259136212625</v>
      </c>
      <c r="W2" s="161">
        <v>2</v>
      </c>
      <c r="X2" s="164">
        <f t="shared" ref="X2:X37" si="9">W2/N2*100</f>
        <v>9.6805421103581799E-2</v>
      </c>
      <c r="Y2" s="161">
        <v>0</v>
      </c>
      <c r="Z2" s="164">
        <f t="shared" ref="Z2:Z37" si="10">Y2/N2*100</f>
        <v>0</v>
      </c>
      <c r="AA2" s="165">
        <f t="shared" ref="AA2:AA37" si="11">+D2+F2+H2+J2+L2+O2+Q2+S2+U2+W2+Y2</f>
        <v>12609</v>
      </c>
      <c r="AB2" s="166">
        <f t="shared" ref="AB2:AB37" si="12">(C2/12)*8</f>
        <v>1404.6666666666667</v>
      </c>
      <c r="AC2" s="167"/>
      <c r="AD2" s="167"/>
    </row>
    <row r="3" spans="1:30" ht="14.1" customHeight="1">
      <c r="A3" s="146" t="s">
        <v>56</v>
      </c>
      <c r="B3" s="136" t="s">
        <v>19</v>
      </c>
      <c r="C3" s="160">
        <v>103161</v>
      </c>
      <c r="D3" s="161">
        <v>85444</v>
      </c>
      <c r="E3" s="135">
        <f t="shared" si="0"/>
        <v>82.8</v>
      </c>
      <c r="F3" s="161">
        <v>85729</v>
      </c>
      <c r="G3" s="135">
        <f t="shared" si="1"/>
        <v>83.1</v>
      </c>
      <c r="H3" s="161">
        <v>87735</v>
      </c>
      <c r="I3" s="135">
        <f t="shared" si="2"/>
        <v>85</v>
      </c>
      <c r="J3" s="161">
        <v>85312</v>
      </c>
      <c r="K3" s="135">
        <f t="shared" si="3"/>
        <v>82.7</v>
      </c>
      <c r="L3" s="161">
        <v>85780</v>
      </c>
      <c r="M3" s="135">
        <f t="shared" si="4"/>
        <v>83.2</v>
      </c>
      <c r="N3" s="168">
        <v>103000</v>
      </c>
      <c r="O3" s="161">
        <v>95219</v>
      </c>
      <c r="P3" s="135">
        <f t="shared" si="5"/>
        <v>92.4</v>
      </c>
      <c r="Q3" s="161">
        <v>96465</v>
      </c>
      <c r="R3" s="135">
        <f t="shared" si="6"/>
        <v>93.7</v>
      </c>
      <c r="S3" s="161">
        <v>59758</v>
      </c>
      <c r="T3" s="135">
        <f t="shared" si="7"/>
        <v>86.9</v>
      </c>
      <c r="U3" s="161">
        <v>7374</v>
      </c>
      <c r="V3" s="163">
        <f t="shared" si="8"/>
        <v>7.148050135225521</v>
      </c>
      <c r="W3" s="161">
        <v>3538</v>
      </c>
      <c r="X3" s="164">
        <f t="shared" si="9"/>
        <v>3.4349514563106793</v>
      </c>
      <c r="Y3" s="161">
        <v>2451</v>
      </c>
      <c r="Z3" s="164">
        <f t="shared" si="10"/>
        <v>2.3796116504854368</v>
      </c>
      <c r="AA3" s="165">
        <f t="shared" si="11"/>
        <v>694805</v>
      </c>
      <c r="AB3" s="166">
        <f t="shared" si="12"/>
        <v>68774</v>
      </c>
      <c r="AC3" s="167"/>
    </row>
    <row r="4" spans="1:30" ht="14.1" customHeight="1">
      <c r="A4" s="148" t="s">
        <v>83</v>
      </c>
      <c r="B4" s="137" t="s">
        <v>20</v>
      </c>
      <c r="C4" s="160">
        <v>6627</v>
      </c>
      <c r="D4" s="161">
        <v>4906</v>
      </c>
      <c r="E4" s="135">
        <f t="shared" si="0"/>
        <v>74</v>
      </c>
      <c r="F4" s="161">
        <v>4903</v>
      </c>
      <c r="G4" s="135">
        <f t="shared" si="1"/>
        <v>74</v>
      </c>
      <c r="H4" s="161">
        <v>4706</v>
      </c>
      <c r="I4" s="135">
        <f t="shared" si="2"/>
        <v>71</v>
      </c>
      <c r="J4" s="161">
        <v>4927</v>
      </c>
      <c r="K4" s="135">
        <f t="shared" si="3"/>
        <v>74.3</v>
      </c>
      <c r="L4" s="161">
        <v>4883</v>
      </c>
      <c r="M4" s="135">
        <f t="shared" si="4"/>
        <v>73.7</v>
      </c>
      <c r="N4" s="169">
        <v>6708</v>
      </c>
      <c r="O4" s="161">
        <v>5188</v>
      </c>
      <c r="P4" s="135">
        <f t="shared" si="5"/>
        <v>77.3</v>
      </c>
      <c r="Q4" s="161">
        <v>5181</v>
      </c>
      <c r="R4" s="135">
        <f t="shared" si="6"/>
        <v>77.2</v>
      </c>
      <c r="S4" s="161">
        <v>3114</v>
      </c>
      <c r="T4" s="135">
        <f t="shared" si="7"/>
        <v>70.5</v>
      </c>
      <c r="U4" s="161">
        <v>62</v>
      </c>
      <c r="V4" s="163">
        <f t="shared" si="8"/>
        <v>0.93556662139731395</v>
      </c>
      <c r="W4" s="161">
        <v>436</v>
      </c>
      <c r="X4" s="164">
        <f t="shared" si="9"/>
        <v>6.4997018485390576</v>
      </c>
      <c r="Y4" s="161">
        <v>471</v>
      </c>
      <c r="Z4" s="164">
        <f t="shared" si="10"/>
        <v>7.021466905187836</v>
      </c>
      <c r="AA4" s="165">
        <f t="shared" si="11"/>
        <v>38777</v>
      </c>
      <c r="AB4" s="166">
        <f t="shared" si="12"/>
        <v>4418</v>
      </c>
      <c r="AC4" s="167"/>
    </row>
    <row r="5" spans="1:30" ht="14.1" customHeight="1">
      <c r="A5" s="148" t="s">
        <v>57</v>
      </c>
      <c r="B5" s="137" t="s">
        <v>21</v>
      </c>
      <c r="C5" s="160">
        <v>22323</v>
      </c>
      <c r="D5" s="161">
        <v>22235</v>
      </c>
      <c r="E5" s="135">
        <f t="shared" si="0"/>
        <v>99.6</v>
      </c>
      <c r="F5" s="161">
        <v>22234</v>
      </c>
      <c r="G5" s="135">
        <f t="shared" si="1"/>
        <v>99.6</v>
      </c>
      <c r="H5" s="161">
        <v>21564</v>
      </c>
      <c r="I5" s="135">
        <f t="shared" si="2"/>
        <v>96.6</v>
      </c>
      <c r="J5" s="161">
        <v>22234</v>
      </c>
      <c r="K5" s="135">
        <f t="shared" si="3"/>
        <v>99.6</v>
      </c>
      <c r="L5" s="161">
        <v>22234</v>
      </c>
      <c r="M5" s="135">
        <f t="shared" si="4"/>
        <v>99.6</v>
      </c>
      <c r="N5" s="169">
        <v>22450</v>
      </c>
      <c r="O5" s="161">
        <v>22407</v>
      </c>
      <c r="P5" s="135">
        <f t="shared" si="5"/>
        <v>99.8</v>
      </c>
      <c r="Q5" s="161">
        <v>22342</v>
      </c>
      <c r="R5" s="135">
        <f t="shared" si="6"/>
        <v>99.5</v>
      </c>
      <c r="S5" s="161">
        <v>8883</v>
      </c>
      <c r="T5" s="135">
        <f t="shared" si="7"/>
        <v>59.7</v>
      </c>
      <c r="U5" s="161">
        <v>440</v>
      </c>
      <c r="V5" s="163">
        <f t="shared" si="8"/>
        <v>1.9710612372888947</v>
      </c>
      <c r="W5" s="161">
        <v>86</v>
      </c>
      <c r="X5" s="164">
        <f t="shared" si="9"/>
        <v>0.38307349665924278</v>
      </c>
      <c r="Y5" s="161">
        <v>41</v>
      </c>
      <c r="Z5" s="164">
        <f t="shared" si="10"/>
        <v>0.18262806236080179</v>
      </c>
      <c r="AA5" s="165">
        <f t="shared" si="11"/>
        <v>164700</v>
      </c>
      <c r="AB5" s="166">
        <f t="shared" si="12"/>
        <v>14882</v>
      </c>
    </row>
    <row r="6" spans="1:30" ht="14.1" customHeight="1">
      <c r="A6" s="149" t="s">
        <v>84</v>
      </c>
      <c r="B6" s="138" t="s">
        <v>22</v>
      </c>
      <c r="C6" s="160">
        <v>20345</v>
      </c>
      <c r="D6" s="161">
        <v>22737</v>
      </c>
      <c r="E6" s="135">
        <f t="shared" si="0"/>
        <v>111.8</v>
      </c>
      <c r="F6" s="161">
        <v>23004</v>
      </c>
      <c r="G6" s="135">
        <f t="shared" si="1"/>
        <v>113.1</v>
      </c>
      <c r="H6" s="161">
        <v>27280</v>
      </c>
      <c r="I6" s="135">
        <f t="shared" si="2"/>
        <v>134.1</v>
      </c>
      <c r="J6" s="161">
        <v>23004</v>
      </c>
      <c r="K6" s="135">
        <f t="shared" si="3"/>
        <v>113.1</v>
      </c>
      <c r="L6" s="161">
        <v>23004</v>
      </c>
      <c r="M6" s="135">
        <f t="shared" si="4"/>
        <v>113.1</v>
      </c>
      <c r="N6" s="169">
        <v>20619</v>
      </c>
      <c r="O6" s="161">
        <v>23368</v>
      </c>
      <c r="P6" s="135">
        <f t="shared" si="5"/>
        <v>113.3</v>
      </c>
      <c r="Q6" s="161">
        <v>21758</v>
      </c>
      <c r="R6" s="135">
        <f t="shared" si="6"/>
        <v>105.5</v>
      </c>
      <c r="S6" s="161">
        <v>12911</v>
      </c>
      <c r="T6" s="135">
        <f t="shared" si="7"/>
        <v>95.2</v>
      </c>
      <c r="U6" s="161">
        <v>676</v>
      </c>
      <c r="V6" s="163">
        <f t="shared" si="8"/>
        <v>3.3226837060702876</v>
      </c>
      <c r="W6" s="161">
        <v>164</v>
      </c>
      <c r="X6" s="164">
        <f t="shared" si="9"/>
        <v>0.7953828992676657</v>
      </c>
      <c r="Y6" s="161">
        <v>168</v>
      </c>
      <c r="Z6" s="164">
        <f t="shared" si="10"/>
        <v>0.81478248217663318</v>
      </c>
      <c r="AA6" s="165">
        <f t="shared" si="11"/>
        <v>178074</v>
      </c>
      <c r="AB6" s="166">
        <f t="shared" si="12"/>
        <v>13563.333333333334</v>
      </c>
    </row>
    <row r="7" spans="1:30" ht="14.1" customHeight="1">
      <c r="A7" s="148" t="s">
        <v>85</v>
      </c>
      <c r="B7" s="137" t="s">
        <v>86</v>
      </c>
      <c r="C7" s="170">
        <v>119208</v>
      </c>
      <c r="D7" s="161">
        <v>115265</v>
      </c>
      <c r="E7" s="135">
        <f t="shared" si="0"/>
        <v>96.7</v>
      </c>
      <c r="F7" s="161">
        <v>115176</v>
      </c>
      <c r="G7" s="135">
        <f t="shared" si="1"/>
        <v>96.6</v>
      </c>
      <c r="H7" s="161">
        <v>122374</v>
      </c>
      <c r="I7" s="135">
        <f t="shared" si="2"/>
        <v>102.7</v>
      </c>
      <c r="J7" s="161">
        <v>115185</v>
      </c>
      <c r="K7" s="135">
        <f t="shared" si="3"/>
        <v>96.6</v>
      </c>
      <c r="L7" s="161">
        <v>115176</v>
      </c>
      <c r="M7" s="135">
        <f t="shared" si="4"/>
        <v>96.6</v>
      </c>
      <c r="N7" s="171">
        <v>118604</v>
      </c>
      <c r="O7" s="161">
        <v>117039</v>
      </c>
      <c r="P7" s="135">
        <f t="shared" si="5"/>
        <v>98.7</v>
      </c>
      <c r="Q7" s="161">
        <v>124011</v>
      </c>
      <c r="R7" s="135">
        <f t="shared" si="6"/>
        <v>104.6</v>
      </c>
      <c r="S7" s="161">
        <v>109459</v>
      </c>
      <c r="T7" s="135">
        <f t="shared" si="7"/>
        <v>137.69999999999999</v>
      </c>
      <c r="U7" s="161">
        <v>100504</v>
      </c>
      <c r="V7" s="163">
        <f t="shared" si="8"/>
        <v>84.309777867257225</v>
      </c>
      <c r="W7" s="161">
        <v>564</v>
      </c>
      <c r="X7" s="164">
        <f t="shared" si="9"/>
        <v>0.47553202252875115</v>
      </c>
      <c r="Y7" s="161">
        <v>771</v>
      </c>
      <c r="Z7" s="164">
        <f t="shared" si="10"/>
        <v>0.65006239249940978</v>
      </c>
      <c r="AA7" s="165">
        <f t="shared" si="11"/>
        <v>1035524</v>
      </c>
      <c r="AB7" s="166">
        <f t="shared" si="12"/>
        <v>79472</v>
      </c>
    </row>
    <row r="8" spans="1:30" ht="14.1" customHeight="1">
      <c r="A8" s="148" t="s">
        <v>87</v>
      </c>
      <c r="B8" s="137" t="s">
        <v>88</v>
      </c>
      <c r="C8" s="160">
        <v>24551</v>
      </c>
      <c r="D8" s="161">
        <v>23224</v>
      </c>
      <c r="E8" s="135">
        <f t="shared" si="0"/>
        <v>94.6</v>
      </c>
      <c r="F8" s="161">
        <v>23526</v>
      </c>
      <c r="G8" s="135">
        <f t="shared" si="1"/>
        <v>95.8</v>
      </c>
      <c r="H8" s="161">
        <v>21180</v>
      </c>
      <c r="I8" s="135">
        <f t="shared" si="2"/>
        <v>86.3</v>
      </c>
      <c r="J8" s="161">
        <v>23526</v>
      </c>
      <c r="K8" s="135">
        <f t="shared" si="3"/>
        <v>95.8</v>
      </c>
      <c r="L8" s="161">
        <v>23526</v>
      </c>
      <c r="M8" s="135">
        <f t="shared" si="4"/>
        <v>95.8</v>
      </c>
      <c r="N8" s="169">
        <v>24233</v>
      </c>
      <c r="O8" s="161">
        <v>22626</v>
      </c>
      <c r="P8" s="135">
        <f t="shared" si="5"/>
        <v>93.4</v>
      </c>
      <c r="Q8" s="161">
        <v>22748</v>
      </c>
      <c r="R8" s="135">
        <f t="shared" si="6"/>
        <v>93.9</v>
      </c>
      <c r="S8" s="161">
        <v>10512</v>
      </c>
      <c r="T8" s="135">
        <f t="shared" si="7"/>
        <v>64.2</v>
      </c>
      <c r="U8" s="161">
        <v>205</v>
      </c>
      <c r="V8" s="163">
        <f t="shared" si="8"/>
        <v>0.83499653781923344</v>
      </c>
      <c r="W8" s="161">
        <v>308</v>
      </c>
      <c r="X8" s="164">
        <f t="shared" si="9"/>
        <v>1.2709940989559692</v>
      </c>
      <c r="Y8" s="161">
        <v>158</v>
      </c>
      <c r="Z8" s="164">
        <f t="shared" si="10"/>
        <v>0.65200346634754258</v>
      </c>
      <c r="AA8" s="165">
        <f t="shared" si="11"/>
        <v>171539</v>
      </c>
      <c r="AB8" s="166">
        <f t="shared" si="12"/>
        <v>16367.333333333334</v>
      </c>
    </row>
    <row r="9" spans="1:30" ht="14.1" customHeight="1">
      <c r="A9" s="149" t="s">
        <v>89</v>
      </c>
      <c r="B9" s="138" t="s">
        <v>25</v>
      </c>
      <c r="C9" s="160">
        <v>17143</v>
      </c>
      <c r="D9" s="161">
        <v>20346</v>
      </c>
      <c r="E9" s="135">
        <f t="shared" si="0"/>
        <v>118.7</v>
      </c>
      <c r="F9" s="161">
        <v>20590</v>
      </c>
      <c r="G9" s="135">
        <f t="shared" si="1"/>
        <v>120.1</v>
      </c>
      <c r="H9" s="161">
        <v>23514</v>
      </c>
      <c r="I9" s="135">
        <f t="shared" si="2"/>
        <v>137.19999999999999</v>
      </c>
      <c r="J9" s="161">
        <v>20590</v>
      </c>
      <c r="K9" s="135">
        <f t="shared" si="3"/>
        <v>120.1</v>
      </c>
      <c r="L9" s="161">
        <v>20590</v>
      </c>
      <c r="M9" s="135">
        <f t="shared" si="4"/>
        <v>120.1</v>
      </c>
      <c r="N9" s="169">
        <v>17254</v>
      </c>
      <c r="O9" s="161">
        <v>20457</v>
      </c>
      <c r="P9" s="135">
        <f t="shared" si="5"/>
        <v>118.6</v>
      </c>
      <c r="Q9" s="161">
        <v>19635</v>
      </c>
      <c r="R9" s="135">
        <f t="shared" si="6"/>
        <v>113.8</v>
      </c>
      <c r="S9" s="161">
        <v>9404</v>
      </c>
      <c r="T9" s="135">
        <f t="shared" si="7"/>
        <v>82.3</v>
      </c>
      <c r="U9" s="161">
        <v>1477</v>
      </c>
      <c r="V9" s="163">
        <f t="shared" si="8"/>
        <v>8.615761535320539</v>
      </c>
      <c r="W9" s="161">
        <v>1751</v>
      </c>
      <c r="X9" s="164">
        <f>W9/N9*100</f>
        <v>10.148371392140952</v>
      </c>
      <c r="Y9" s="161">
        <v>175</v>
      </c>
      <c r="Z9" s="164">
        <f t="shared" si="10"/>
        <v>1.0142575634635447</v>
      </c>
      <c r="AA9" s="165">
        <f t="shared" si="11"/>
        <v>158529</v>
      </c>
      <c r="AB9" s="166">
        <f t="shared" si="12"/>
        <v>11428.666666666666</v>
      </c>
    </row>
    <row r="10" spans="1:30" ht="14.1" customHeight="1">
      <c r="A10" s="150" t="s">
        <v>90</v>
      </c>
      <c r="B10" s="139" t="s">
        <v>91</v>
      </c>
      <c r="C10" s="160">
        <v>23293</v>
      </c>
      <c r="D10" s="161">
        <v>21432</v>
      </c>
      <c r="E10" s="135">
        <f t="shared" si="0"/>
        <v>92</v>
      </c>
      <c r="F10" s="161">
        <v>21395</v>
      </c>
      <c r="G10" s="135">
        <f t="shared" si="1"/>
        <v>91.9</v>
      </c>
      <c r="H10" s="161">
        <v>19117</v>
      </c>
      <c r="I10" s="135">
        <f t="shared" si="2"/>
        <v>82.1</v>
      </c>
      <c r="J10" s="161">
        <v>21395</v>
      </c>
      <c r="K10" s="135">
        <f t="shared" si="3"/>
        <v>91.9</v>
      </c>
      <c r="L10" s="161">
        <v>21395</v>
      </c>
      <c r="M10" s="135">
        <f t="shared" si="4"/>
        <v>91.9</v>
      </c>
      <c r="N10" s="169">
        <v>23658</v>
      </c>
      <c r="O10" s="161">
        <v>21517</v>
      </c>
      <c r="P10" s="135">
        <f t="shared" si="5"/>
        <v>91</v>
      </c>
      <c r="Q10" s="161">
        <v>21523</v>
      </c>
      <c r="R10" s="135">
        <f t="shared" si="6"/>
        <v>91</v>
      </c>
      <c r="S10" s="161">
        <v>14023</v>
      </c>
      <c r="T10" s="135">
        <f t="shared" si="7"/>
        <v>90.3</v>
      </c>
      <c r="U10" s="161">
        <v>578</v>
      </c>
      <c r="V10" s="163">
        <f t="shared" si="8"/>
        <v>2.4814321899283049</v>
      </c>
      <c r="W10" s="161">
        <v>805</v>
      </c>
      <c r="X10" s="164">
        <f t="shared" si="9"/>
        <v>3.4026544931946909</v>
      </c>
      <c r="Y10" s="161">
        <v>332</v>
      </c>
      <c r="Z10" s="164">
        <f t="shared" si="10"/>
        <v>1.4033307971933384</v>
      </c>
      <c r="AA10" s="165">
        <f t="shared" si="11"/>
        <v>163512</v>
      </c>
      <c r="AB10" s="166">
        <f t="shared" si="12"/>
        <v>15528.666666666666</v>
      </c>
    </row>
    <row r="11" spans="1:30" ht="14.1" customHeight="1">
      <c r="A11" s="150" t="s">
        <v>92</v>
      </c>
      <c r="B11" s="139" t="s">
        <v>27</v>
      </c>
      <c r="C11" s="160">
        <v>16709</v>
      </c>
      <c r="D11" s="161">
        <v>12889</v>
      </c>
      <c r="E11" s="135">
        <f t="shared" si="0"/>
        <v>77.099999999999994</v>
      </c>
      <c r="F11" s="161">
        <v>12871</v>
      </c>
      <c r="G11" s="135">
        <f t="shared" si="1"/>
        <v>77</v>
      </c>
      <c r="H11" s="161">
        <v>10493</v>
      </c>
      <c r="I11" s="135">
        <f t="shared" si="2"/>
        <v>62.8</v>
      </c>
      <c r="J11" s="161">
        <v>12653</v>
      </c>
      <c r="K11" s="135">
        <f t="shared" si="3"/>
        <v>75.7</v>
      </c>
      <c r="L11" s="161">
        <v>12623</v>
      </c>
      <c r="M11" s="135">
        <f t="shared" si="4"/>
        <v>75.5</v>
      </c>
      <c r="N11" s="169">
        <v>16697</v>
      </c>
      <c r="O11" s="161">
        <v>13169</v>
      </c>
      <c r="P11" s="135">
        <f t="shared" si="5"/>
        <v>78.900000000000006</v>
      </c>
      <c r="Q11" s="161">
        <v>13278</v>
      </c>
      <c r="R11" s="135">
        <f t="shared" si="6"/>
        <v>79.5</v>
      </c>
      <c r="S11" s="161">
        <v>6055</v>
      </c>
      <c r="T11" s="135">
        <f t="shared" si="7"/>
        <v>54.4</v>
      </c>
      <c r="U11" s="161">
        <v>252</v>
      </c>
      <c r="V11" s="163">
        <f t="shared" si="8"/>
        <v>1.5081692501047339</v>
      </c>
      <c r="W11" s="161">
        <v>154</v>
      </c>
      <c r="X11" s="164">
        <f t="shared" si="9"/>
        <v>0.92232137509732293</v>
      </c>
      <c r="Y11" s="161">
        <v>44</v>
      </c>
      <c r="Z11" s="164">
        <f t="shared" si="10"/>
        <v>0.26352039288494938</v>
      </c>
      <c r="AA11" s="165">
        <f t="shared" si="11"/>
        <v>94481</v>
      </c>
      <c r="AB11" s="166">
        <f t="shared" si="12"/>
        <v>11139.333333333334</v>
      </c>
    </row>
    <row r="12" spans="1:30" ht="14.1" customHeight="1">
      <c r="A12" s="148" t="s">
        <v>93</v>
      </c>
      <c r="B12" s="137" t="s">
        <v>94</v>
      </c>
      <c r="C12" s="160">
        <v>10775</v>
      </c>
      <c r="D12" s="161">
        <v>9345</v>
      </c>
      <c r="E12" s="135">
        <f t="shared" si="0"/>
        <v>86.7</v>
      </c>
      <c r="F12" s="161">
        <v>9336</v>
      </c>
      <c r="G12" s="135">
        <f t="shared" si="1"/>
        <v>86.6</v>
      </c>
      <c r="H12" s="161">
        <v>9765</v>
      </c>
      <c r="I12" s="135">
        <f t="shared" si="2"/>
        <v>90.6</v>
      </c>
      <c r="J12" s="161">
        <v>9340</v>
      </c>
      <c r="K12" s="135">
        <f t="shared" si="3"/>
        <v>86.7</v>
      </c>
      <c r="L12" s="161">
        <v>9337</v>
      </c>
      <c r="M12" s="135">
        <f t="shared" si="4"/>
        <v>86.7</v>
      </c>
      <c r="N12" s="169">
        <v>10783</v>
      </c>
      <c r="O12" s="161">
        <v>9448</v>
      </c>
      <c r="P12" s="135">
        <f t="shared" si="5"/>
        <v>87.6</v>
      </c>
      <c r="Q12" s="161">
        <v>9786</v>
      </c>
      <c r="R12" s="135">
        <f t="shared" si="6"/>
        <v>90.8</v>
      </c>
      <c r="S12" s="161">
        <v>3382</v>
      </c>
      <c r="T12" s="135">
        <f t="shared" si="7"/>
        <v>47.1</v>
      </c>
      <c r="U12" s="161">
        <v>64</v>
      </c>
      <c r="V12" s="163">
        <f t="shared" si="8"/>
        <v>0.5939675174013922</v>
      </c>
      <c r="W12" s="161">
        <v>124</v>
      </c>
      <c r="X12" s="164">
        <f t="shared" si="9"/>
        <v>1.1499582676435129</v>
      </c>
      <c r="Y12" s="161">
        <v>31</v>
      </c>
      <c r="Z12" s="164">
        <f t="shared" si="10"/>
        <v>0.28748956691087824</v>
      </c>
      <c r="AA12" s="165">
        <f t="shared" si="11"/>
        <v>69958</v>
      </c>
      <c r="AB12" s="166">
        <f t="shared" si="12"/>
        <v>7183.333333333333</v>
      </c>
    </row>
    <row r="13" spans="1:30" ht="14.1" customHeight="1">
      <c r="A13" s="150" t="s">
        <v>95</v>
      </c>
      <c r="B13" s="139" t="s">
        <v>29</v>
      </c>
      <c r="C13" s="160">
        <v>6989</v>
      </c>
      <c r="D13" s="161">
        <v>6653</v>
      </c>
      <c r="E13" s="135">
        <f t="shared" si="0"/>
        <v>95.2</v>
      </c>
      <c r="F13" s="161">
        <v>6653</v>
      </c>
      <c r="G13" s="135">
        <f t="shared" si="1"/>
        <v>95.2</v>
      </c>
      <c r="H13" s="161">
        <v>6390</v>
      </c>
      <c r="I13" s="135">
        <f t="shared" si="2"/>
        <v>91.4</v>
      </c>
      <c r="J13" s="161">
        <v>6657</v>
      </c>
      <c r="K13" s="135">
        <f t="shared" si="3"/>
        <v>95.2</v>
      </c>
      <c r="L13" s="161">
        <v>6653</v>
      </c>
      <c r="M13" s="135">
        <f t="shared" si="4"/>
        <v>95.2</v>
      </c>
      <c r="N13" s="169">
        <v>7018</v>
      </c>
      <c r="O13" s="161">
        <v>7083</v>
      </c>
      <c r="P13" s="135">
        <f t="shared" si="5"/>
        <v>100.9</v>
      </c>
      <c r="Q13" s="161">
        <v>7020</v>
      </c>
      <c r="R13" s="135">
        <f t="shared" si="6"/>
        <v>100</v>
      </c>
      <c r="S13" s="161">
        <v>5128</v>
      </c>
      <c r="T13" s="135">
        <f t="shared" si="7"/>
        <v>110.1</v>
      </c>
      <c r="U13" s="161">
        <v>1595</v>
      </c>
      <c r="V13" s="163">
        <f t="shared" si="8"/>
        <v>22.821576763485478</v>
      </c>
      <c r="W13" s="161">
        <v>545</v>
      </c>
      <c r="X13" s="164">
        <f t="shared" si="9"/>
        <v>7.7657452265602736</v>
      </c>
      <c r="Y13" s="161">
        <v>4</v>
      </c>
      <c r="Z13" s="164">
        <f t="shared" si="10"/>
        <v>5.6996295240809347E-2</v>
      </c>
      <c r="AA13" s="165">
        <f t="shared" si="11"/>
        <v>54381</v>
      </c>
      <c r="AB13" s="166">
        <f t="shared" si="12"/>
        <v>4659.333333333333</v>
      </c>
    </row>
    <row r="14" spans="1:30" ht="14.1" customHeight="1">
      <c r="A14" s="148" t="s">
        <v>96</v>
      </c>
      <c r="B14" s="137" t="s">
        <v>30</v>
      </c>
      <c r="C14" s="160">
        <v>25992</v>
      </c>
      <c r="D14" s="161">
        <v>24247</v>
      </c>
      <c r="E14" s="135">
        <f t="shared" si="0"/>
        <v>93.3</v>
      </c>
      <c r="F14" s="161">
        <v>24247</v>
      </c>
      <c r="G14" s="135">
        <f t="shared" si="1"/>
        <v>93.3</v>
      </c>
      <c r="H14" s="161">
        <v>19774</v>
      </c>
      <c r="I14" s="135">
        <f t="shared" si="2"/>
        <v>76.099999999999994</v>
      </c>
      <c r="J14" s="161">
        <v>24247</v>
      </c>
      <c r="K14" s="135">
        <f t="shared" si="3"/>
        <v>93.3</v>
      </c>
      <c r="L14" s="161">
        <v>24247</v>
      </c>
      <c r="M14" s="135">
        <f t="shared" si="4"/>
        <v>93.3</v>
      </c>
      <c r="N14" s="169">
        <v>26006</v>
      </c>
      <c r="O14" s="161">
        <v>24513</v>
      </c>
      <c r="P14" s="135">
        <f t="shared" si="5"/>
        <v>94.3</v>
      </c>
      <c r="Q14" s="161">
        <v>24409</v>
      </c>
      <c r="R14" s="135">
        <f t="shared" si="6"/>
        <v>93.9</v>
      </c>
      <c r="S14" s="161">
        <v>10129</v>
      </c>
      <c r="T14" s="135">
        <f t="shared" si="7"/>
        <v>58.5</v>
      </c>
      <c r="U14" s="161">
        <v>12522</v>
      </c>
      <c r="V14" s="163">
        <f t="shared" si="8"/>
        <v>48.176361957525394</v>
      </c>
      <c r="W14" s="161">
        <v>0</v>
      </c>
      <c r="X14" s="164">
        <f t="shared" si="9"/>
        <v>0</v>
      </c>
      <c r="Y14" s="161">
        <v>0</v>
      </c>
      <c r="Z14" s="164">
        <f t="shared" si="10"/>
        <v>0</v>
      </c>
      <c r="AA14" s="165">
        <f t="shared" si="11"/>
        <v>188335</v>
      </c>
      <c r="AB14" s="166">
        <f t="shared" si="12"/>
        <v>17328</v>
      </c>
    </row>
    <row r="15" spans="1:30" ht="14.1" customHeight="1">
      <c r="A15" s="148" t="s">
        <v>97</v>
      </c>
      <c r="B15" s="137" t="s">
        <v>31</v>
      </c>
      <c r="C15" s="160">
        <v>22229</v>
      </c>
      <c r="D15" s="161">
        <v>24028</v>
      </c>
      <c r="E15" s="135">
        <f t="shared" si="0"/>
        <v>108.1</v>
      </c>
      <c r="F15" s="161">
        <v>24027</v>
      </c>
      <c r="G15" s="135">
        <f t="shared" si="1"/>
        <v>108.1</v>
      </c>
      <c r="H15" s="161">
        <v>24891</v>
      </c>
      <c r="I15" s="135">
        <f t="shared" si="2"/>
        <v>112</v>
      </c>
      <c r="J15" s="161">
        <v>24027</v>
      </c>
      <c r="K15" s="135">
        <f t="shared" si="3"/>
        <v>108.1</v>
      </c>
      <c r="L15" s="161">
        <v>24024</v>
      </c>
      <c r="M15" s="135">
        <f t="shared" si="4"/>
        <v>108.1</v>
      </c>
      <c r="N15" s="169">
        <v>22230</v>
      </c>
      <c r="O15" s="161">
        <v>24509</v>
      </c>
      <c r="P15" s="135">
        <f t="shared" si="5"/>
        <v>110.3</v>
      </c>
      <c r="Q15" s="161">
        <v>24740</v>
      </c>
      <c r="R15" s="135">
        <f t="shared" si="6"/>
        <v>111.3</v>
      </c>
      <c r="S15" s="161">
        <v>14596</v>
      </c>
      <c r="T15" s="135">
        <f t="shared" si="7"/>
        <v>98.5</v>
      </c>
      <c r="U15" s="161">
        <v>1490</v>
      </c>
      <c r="V15" s="163">
        <f t="shared" si="8"/>
        <v>6.7029555985424443</v>
      </c>
      <c r="W15" s="161">
        <v>1887</v>
      </c>
      <c r="X15" s="164">
        <f t="shared" si="9"/>
        <v>8.4885290148448043</v>
      </c>
      <c r="Y15" s="161">
        <v>1370</v>
      </c>
      <c r="Z15" s="164">
        <f t="shared" si="10"/>
        <v>6.1628430049482681</v>
      </c>
      <c r="AA15" s="165">
        <f t="shared" si="11"/>
        <v>189589</v>
      </c>
      <c r="AB15" s="166">
        <f t="shared" si="12"/>
        <v>14819.333333333334</v>
      </c>
    </row>
    <row r="16" spans="1:30" ht="14.1" customHeight="1">
      <c r="A16" s="148" t="s">
        <v>98</v>
      </c>
      <c r="B16" s="137" t="s">
        <v>99</v>
      </c>
      <c r="C16" s="160">
        <v>13576</v>
      </c>
      <c r="D16" s="161">
        <v>10236</v>
      </c>
      <c r="E16" s="135">
        <f t="shared" si="0"/>
        <v>75.400000000000006</v>
      </c>
      <c r="F16" s="161">
        <v>10237</v>
      </c>
      <c r="G16" s="135">
        <f t="shared" si="1"/>
        <v>75.400000000000006</v>
      </c>
      <c r="H16" s="161">
        <v>10768</v>
      </c>
      <c r="I16" s="135">
        <f t="shared" si="2"/>
        <v>79.3</v>
      </c>
      <c r="J16" s="161">
        <v>10256</v>
      </c>
      <c r="K16" s="135">
        <f t="shared" si="3"/>
        <v>75.5</v>
      </c>
      <c r="L16" s="161">
        <v>10237</v>
      </c>
      <c r="M16" s="135">
        <f t="shared" si="4"/>
        <v>75.400000000000006</v>
      </c>
      <c r="N16" s="169">
        <v>13434</v>
      </c>
      <c r="O16" s="161">
        <v>11484</v>
      </c>
      <c r="P16" s="135">
        <f t="shared" si="5"/>
        <v>85.5</v>
      </c>
      <c r="Q16" s="161">
        <v>11697</v>
      </c>
      <c r="R16" s="135">
        <f t="shared" si="6"/>
        <v>87.1</v>
      </c>
      <c r="S16" s="161">
        <v>3448</v>
      </c>
      <c r="T16" s="135">
        <f t="shared" si="7"/>
        <v>38.1</v>
      </c>
      <c r="U16" s="161">
        <v>55</v>
      </c>
      <c r="V16" s="163">
        <f t="shared" si="8"/>
        <v>0.40512669416617558</v>
      </c>
      <c r="W16" s="161">
        <v>140</v>
      </c>
      <c r="X16" s="164">
        <f t="shared" si="9"/>
        <v>1.0421319041238648</v>
      </c>
      <c r="Y16" s="161">
        <v>13</v>
      </c>
      <c r="Z16" s="164">
        <f t="shared" si="10"/>
        <v>9.6769391097216023E-2</v>
      </c>
      <c r="AA16" s="165">
        <f t="shared" si="11"/>
        <v>78571</v>
      </c>
      <c r="AB16" s="166">
        <f t="shared" si="12"/>
        <v>9050.6666666666661</v>
      </c>
    </row>
    <row r="17" spans="1:28" ht="14.1" customHeight="1">
      <c r="A17" s="148" t="s">
        <v>100</v>
      </c>
      <c r="B17" s="137" t="s">
        <v>101</v>
      </c>
      <c r="C17" s="160">
        <v>35799</v>
      </c>
      <c r="D17" s="161">
        <v>35705</v>
      </c>
      <c r="E17" s="135">
        <f t="shared" si="0"/>
        <v>99.7</v>
      </c>
      <c r="F17" s="161">
        <v>35707</v>
      </c>
      <c r="G17" s="135">
        <f t="shared" si="1"/>
        <v>99.7</v>
      </c>
      <c r="H17" s="161">
        <v>34156</v>
      </c>
      <c r="I17" s="135">
        <f t="shared" si="2"/>
        <v>95.4</v>
      </c>
      <c r="J17" s="161">
        <v>35724</v>
      </c>
      <c r="K17" s="135">
        <f t="shared" si="3"/>
        <v>99.8</v>
      </c>
      <c r="L17" s="161">
        <v>35706</v>
      </c>
      <c r="M17" s="135">
        <f t="shared" si="4"/>
        <v>99.7</v>
      </c>
      <c r="N17" s="169">
        <v>35525</v>
      </c>
      <c r="O17" s="161">
        <v>36636</v>
      </c>
      <c r="P17" s="135">
        <f t="shared" si="5"/>
        <v>103.1</v>
      </c>
      <c r="Q17" s="161">
        <v>35665</v>
      </c>
      <c r="R17" s="135">
        <f t="shared" si="6"/>
        <v>100.4</v>
      </c>
      <c r="S17" s="161">
        <v>9361</v>
      </c>
      <c r="T17" s="135">
        <f t="shared" si="7"/>
        <v>39.200000000000003</v>
      </c>
      <c r="U17" s="161">
        <v>14</v>
      </c>
      <c r="V17" s="163">
        <f t="shared" si="8"/>
        <v>3.9107237632336096E-2</v>
      </c>
      <c r="W17" s="161">
        <v>30</v>
      </c>
      <c r="X17" s="164">
        <f t="shared" si="9"/>
        <v>8.4447572132301196E-2</v>
      </c>
      <c r="Y17" s="161">
        <v>68</v>
      </c>
      <c r="Z17" s="164">
        <f t="shared" si="10"/>
        <v>0.19141449683321604</v>
      </c>
      <c r="AA17" s="165">
        <f t="shared" si="11"/>
        <v>258772</v>
      </c>
      <c r="AB17" s="166">
        <f t="shared" si="12"/>
        <v>23866</v>
      </c>
    </row>
    <row r="18" spans="1:28" ht="14.1" customHeight="1">
      <c r="A18" s="150" t="s">
        <v>100</v>
      </c>
      <c r="B18" s="139" t="s">
        <v>34</v>
      </c>
      <c r="C18" s="160">
        <v>46254</v>
      </c>
      <c r="D18" s="161">
        <v>35139</v>
      </c>
      <c r="E18" s="135">
        <f t="shared" si="0"/>
        <v>76</v>
      </c>
      <c r="F18" s="161">
        <v>35139</v>
      </c>
      <c r="G18" s="135">
        <f t="shared" si="1"/>
        <v>76</v>
      </c>
      <c r="H18" s="161">
        <v>32300</v>
      </c>
      <c r="I18" s="135">
        <f t="shared" si="2"/>
        <v>69.8</v>
      </c>
      <c r="J18" s="161">
        <v>35142</v>
      </c>
      <c r="K18" s="135">
        <f t="shared" si="3"/>
        <v>76</v>
      </c>
      <c r="L18" s="161">
        <v>35139</v>
      </c>
      <c r="M18" s="135">
        <f t="shared" si="4"/>
        <v>76</v>
      </c>
      <c r="N18" s="169">
        <v>46100</v>
      </c>
      <c r="O18" s="161">
        <v>36291</v>
      </c>
      <c r="P18" s="135">
        <f t="shared" si="5"/>
        <v>78.7</v>
      </c>
      <c r="Q18" s="161">
        <v>32611</v>
      </c>
      <c r="R18" s="135">
        <f t="shared" si="6"/>
        <v>70.7</v>
      </c>
      <c r="S18" s="161">
        <v>17054</v>
      </c>
      <c r="T18" s="135">
        <f t="shared" si="7"/>
        <v>55.3</v>
      </c>
      <c r="U18" s="161">
        <v>641</v>
      </c>
      <c r="V18" s="163">
        <f t="shared" si="8"/>
        <v>1.3858260907164786</v>
      </c>
      <c r="W18" s="161">
        <v>656</v>
      </c>
      <c r="X18" s="164">
        <f t="shared" si="9"/>
        <v>1.4229934924078091</v>
      </c>
      <c r="Y18" s="161">
        <v>242</v>
      </c>
      <c r="Z18" s="164">
        <f t="shared" si="10"/>
        <v>0.52494577006507592</v>
      </c>
      <c r="AA18" s="165">
        <f t="shared" si="11"/>
        <v>260354</v>
      </c>
      <c r="AB18" s="166">
        <f t="shared" si="12"/>
        <v>30836</v>
      </c>
    </row>
    <row r="19" spans="1:28" ht="14.1" customHeight="1">
      <c r="A19" s="148" t="s">
        <v>102</v>
      </c>
      <c r="B19" s="137" t="s">
        <v>103</v>
      </c>
      <c r="C19" s="160">
        <v>1003</v>
      </c>
      <c r="D19" s="161">
        <v>769</v>
      </c>
      <c r="E19" s="135">
        <f t="shared" si="0"/>
        <v>76.7</v>
      </c>
      <c r="F19" s="161">
        <v>753</v>
      </c>
      <c r="G19" s="135">
        <f t="shared" si="1"/>
        <v>75.099999999999994</v>
      </c>
      <c r="H19" s="161">
        <v>779</v>
      </c>
      <c r="I19" s="135">
        <f t="shared" si="2"/>
        <v>77.7</v>
      </c>
      <c r="J19" s="161">
        <v>741</v>
      </c>
      <c r="K19" s="135">
        <f t="shared" si="3"/>
        <v>73.900000000000006</v>
      </c>
      <c r="L19" s="161">
        <v>731</v>
      </c>
      <c r="M19" s="135">
        <f t="shared" si="4"/>
        <v>72.900000000000006</v>
      </c>
      <c r="N19" s="169">
        <v>994</v>
      </c>
      <c r="O19" s="161">
        <v>728</v>
      </c>
      <c r="P19" s="135">
        <f t="shared" si="5"/>
        <v>73.2</v>
      </c>
      <c r="Q19" s="161">
        <v>713</v>
      </c>
      <c r="R19" s="135">
        <f t="shared" si="6"/>
        <v>71.7</v>
      </c>
      <c r="S19" s="161">
        <v>368</v>
      </c>
      <c r="T19" s="135">
        <f t="shared" si="7"/>
        <v>55</v>
      </c>
      <c r="U19" s="161">
        <v>148</v>
      </c>
      <c r="V19" s="163">
        <f t="shared" si="8"/>
        <v>14.755732801595215</v>
      </c>
      <c r="W19" s="161">
        <v>23</v>
      </c>
      <c r="X19" s="164">
        <f t="shared" si="9"/>
        <v>2.3138832997987926</v>
      </c>
      <c r="Y19" s="161">
        <v>8</v>
      </c>
      <c r="Z19" s="164">
        <f t="shared" si="10"/>
        <v>0.8048289738430584</v>
      </c>
      <c r="AA19" s="165">
        <f t="shared" si="11"/>
        <v>5761</v>
      </c>
      <c r="AB19" s="166">
        <f t="shared" si="12"/>
        <v>668.66666666666663</v>
      </c>
    </row>
    <row r="20" spans="1:28" ht="14.1" customHeight="1">
      <c r="A20" s="150" t="s">
        <v>104</v>
      </c>
      <c r="B20" s="139" t="s">
        <v>36</v>
      </c>
      <c r="C20" s="160">
        <v>2798</v>
      </c>
      <c r="D20" s="161">
        <v>2182</v>
      </c>
      <c r="E20" s="135">
        <f t="shared" si="0"/>
        <v>78</v>
      </c>
      <c r="F20" s="161">
        <v>2182</v>
      </c>
      <c r="G20" s="135">
        <f t="shared" si="1"/>
        <v>78</v>
      </c>
      <c r="H20" s="161">
        <v>1950</v>
      </c>
      <c r="I20" s="135">
        <f t="shared" si="2"/>
        <v>69.7</v>
      </c>
      <c r="J20" s="161">
        <v>2182</v>
      </c>
      <c r="K20" s="135">
        <f t="shared" si="3"/>
        <v>78</v>
      </c>
      <c r="L20" s="161">
        <v>2182</v>
      </c>
      <c r="M20" s="135">
        <f t="shared" si="4"/>
        <v>78</v>
      </c>
      <c r="N20" s="169">
        <v>2772</v>
      </c>
      <c r="O20" s="161">
        <v>2134</v>
      </c>
      <c r="P20" s="135">
        <f t="shared" si="5"/>
        <v>77</v>
      </c>
      <c r="Q20" s="161">
        <v>2134</v>
      </c>
      <c r="R20" s="135">
        <f t="shared" si="6"/>
        <v>77</v>
      </c>
      <c r="S20" s="161">
        <v>1008</v>
      </c>
      <c r="T20" s="135">
        <f t="shared" si="7"/>
        <v>54</v>
      </c>
      <c r="U20" s="161">
        <v>27</v>
      </c>
      <c r="V20" s="163">
        <f t="shared" si="8"/>
        <v>0.96497498213009292</v>
      </c>
      <c r="W20" s="161">
        <v>85</v>
      </c>
      <c r="X20" s="164">
        <f t="shared" si="9"/>
        <v>3.0663780663780664</v>
      </c>
      <c r="Y20" s="161">
        <v>52</v>
      </c>
      <c r="Z20" s="164">
        <f t="shared" si="10"/>
        <v>1.875901875901876</v>
      </c>
      <c r="AA20" s="165">
        <f t="shared" si="11"/>
        <v>16118</v>
      </c>
      <c r="AB20" s="166">
        <f t="shared" si="12"/>
        <v>1865.3333333333333</v>
      </c>
    </row>
    <row r="21" spans="1:28" ht="14.1" customHeight="1">
      <c r="A21" s="150" t="s">
        <v>105</v>
      </c>
      <c r="B21" s="139" t="s">
        <v>37</v>
      </c>
      <c r="C21" s="160">
        <v>22569</v>
      </c>
      <c r="D21" s="161">
        <v>21479</v>
      </c>
      <c r="E21" s="135">
        <f t="shared" si="0"/>
        <v>95.2</v>
      </c>
      <c r="F21" s="161">
        <v>21495</v>
      </c>
      <c r="G21" s="135">
        <f t="shared" si="1"/>
        <v>95.2</v>
      </c>
      <c r="H21" s="161">
        <v>19460</v>
      </c>
      <c r="I21" s="135">
        <f t="shared" si="2"/>
        <v>86.2</v>
      </c>
      <c r="J21" s="161">
        <v>21495</v>
      </c>
      <c r="K21" s="135">
        <f t="shared" si="3"/>
        <v>95.2</v>
      </c>
      <c r="L21" s="161">
        <v>21495</v>
      </c>
      <c r="M21" s="135">
        <f t="shared" si="4"/>
        <v>95.2</v>
      </c>
      <c r="N21" s="169">
        <v>22505</v>
      </c>
      <c r="O21" s="161">
        <v>22403</v>
      </c>
      <c r="P21" s="135">
        <f t="shared" si="5"/>
        <v>99.5</v>
      </c>
      <c r="Q21" s="161">
        <v>22350</v>
      </c>
      <c r="R21" s="135">
        <f t="shared" si="6"/>
        <v>99.3</v>
      </c>
      <c r="S21" s="161">
        <v>13660</v>
      </c>
      <c r="T21" s="135">
        <f t="shared" si="7"/>
        <v>90.8</v>
      </c>
      <c r="U21" s="161">
        <v>174</v>
      </c>
      <c r="V21" s="163">
        <f t="shared" si="8"/>
        <v>0.77096902831317293</v>
      </c>
      <c r="W21" s="161">
        <v>1141</v>
      </c>
      <c r="X21" s="164">
        <f t="shared" si="9"/>
        <v>5.0699844479004668</v>
      </c>
      <c r="Y21" s="161">
        <v>25</v>
      </c>
      <c r="Z21" s="164">
        <f t="shared" si="10"/>
        <v>0.1110864252388358</v>
      </c>
      <c r="AA21" s="165">
        <f t="shared" si="11"/>
        <v>165177</v>
      </c>
      <c r="AB21" s="166">
        <f t="shared" si="12"/>
        <v>15046</v>
      </c>
    </row>
    <row r="22" spans="1:28" ht="14.1" customHeight="1">
      <c r="A22" s="150" t="s">
        <v>106</v>
      </c>
      <c r="B22" s="139" t="s">
        <v>38</v>
      </c>
      <c r="C22" s="160">
        <v>23492</v>
      </c>
      <c r="D22" s="161">
        <v>22271</v>
      </c>
      <c r="E22" s="135">
        <f t="shared" si="0"/>
        <v>94.8</v>
      </c>
      <c r="F22" s="161">
        <v>22251</v>
      </c>
      <c r="G22" s="135">
        <f t="shared" si="1"/>
        <v>94.7</v>
      </c>
      <c r="H22" s="161">
        <v>16801</v>
      </c>
      <c r="I22" s="135">
        <f t="shared" si="2"/>
        <v>71.5</v>
      </c>
      <c r="J22" s="161">
        <v>22247</v>
      </c>
      <c r="K22" s="135">
        <f t="shared" si="3"/>
        <v>94.7</v>
      </c>
      <c r="L22" s="161">
        <v>22246</v>
      </c>
      <c r="M22" s="135">
        <f t="shared" si="4"/>
        <v>94.7</v>
      </c>
      <c r="N22" s="169">
        <v>22873</v>
      </c>
      <c r="O22" s="161">
        <v>21208</v>
      </c>
      <c r="P22" s="135">
        <f t="shared" si="5"/>
        <v>92.7</v>
      </c>
      <c r="Q22" s="161">
        <v>21261</v>
      </c>
      <c r="R22" s="135">
        <f t="shared" si="6"/>
        <v>93</v>
      </c>
      <c r="S22" s="161">
        <v>7459</v>
      </c>
      <c r="T22" s="135">
        <f t="shared" si="7"/>
        <v>47.6</v>
      </c>
      <c r="U22" s="161">
        <v>305</v>
      </c>
      <c r="V22" s="163">
        <f t="shared" si="8"/>
        <v>1.2983143197684317</v>
      </c>
      <c r="W22" s="161">
        <v>321</v>
      </c>
      <c r="X22" s="164">
        <f t="shared" si="9"/>
        <v>1.4034013902854894</v>
      </c>
      <c r="Y22" s="161">
        <v>160</v>
      </c>
      <c r="Z22" s="164">
        <f t="shared" si="10"/>
        <v>0.69951471166877977</v>
      </c>
      <c r="AA22" s="165">
        <f t="shared" si="11"/>
        <v>156530</v>
      </c>
      <c r="AB22" s="166">
        <f t="shared" si="12"/>
        <v>15661.333333333334</v>
      </c>
    </row>
    <row r="23" spans="1:28" ht="14.1" customHeight="1">
      <c r="A23" s="150" t="s">
        <v>107</v>
      </c>
      <c r="B23" s="139" t="s">
        <v>39</v>
      </c>
      <c r="C23" s="160">
        <v>18510</v>
      </c>
      <c r="D23" s="161">
        <v>18150</v>
      </c>
      <c r="E23" s="135">
        <f t="shared" si="0"/>
        <v>98.1</v>
      </c>
      <c r="F23" s="161">
        <v>18223</v>
      </c>
      <c r="G23" s="135">
        <f t="shared" si="1"/>
        <v>98.4</v>
      </c>
      <c r="H23" s="161">
        <v>17932</v>
      </c>
      <c r="I23" s="135">
        <f t="shared" si="2"/>
        <v>96.9</v>
      </c>
      <c r="J23" s="161">
        <v>18224</v>
      </c>
      <c r="K23" s="135">
        <f t="shared" si="3"/>
        <v>98.5</v>
      </c>
      <c r="L23" s="161">
        <v>18215</v>
      </c>
      <c r="M23" s="135">
        <f t="shared" si="4"/>
        <v>98.4</v>
      </c>
      <c r="N23" s="169">
        <v>18600</v>
      </c>
      <c r="O23" s="161">
        <v>18925</v>
      </c>
      <c r="P23" s="135">
        <f t="shared" si="5"/>
        <v>101.7</v>
      </c>
      <c r="Q23" s="161">
        <v>18781</v>
      </c>
      <c r="R23" s="135">
        <f t="shared" si="6"/>
        <v>101</v>
      </c>
      <c r="S23" s="161">
        <v>11120</v>
      </c>
      <c r="T23" s="135">
        <f t="shared" si="7"/>
        <v>90.1</v>
      </c>
      <c r="U23" s="161">
        <v>360</v>
      </c>
      <c r="V23" s="163">
        <f t="shared" si="8"/>
        <v>1.9448946515397085</v>
      </c>
      <c r="W23" s="161">
        <v>1297</v>
      </c>
      <c r="X23" s="164">
        <f t="shared" si="9"/>
        <v>6.9731182795698929</v>
      </c>
      <c r="Y23" s="161">
        <v>219</v>
      </c>
      <c r="Z23" s="164">
        <f t="shared" si="10"/>
        <v>1.1774193548387097</v>
      </c>
      <c r="AA23" s="165">
        <f t="shared" si="11"/>
        <v>141446</v>
      </c>
      <c r="AB23" s="166">
        <f t="shared" si="12"/>
        <v>12340</v>
      </c>
    </row>
    <row r="24" spans="1:28" ht="14.1" customHeight="1">
      <c r="A24" s="149" t="s">
        <v>108</v>
      </c>
      <c r="B24" s="138" t="s">
        <v>40</v>
      </c>
      <c r="C24" s="160">
        <v>9185</v>
      </c>
      <c r="D24" s="161">
        <v>8407</v>
      </c>
      <c r="E24" s="135">
        <f t="shared" si="0"/>
        <v>91.5</v>
      </c>
      <c r="F24" s="161">
        <v>8312</v>
      </c>
      <c r="G24" s="135">
        <f t="shared" si="1"/>
        <v>90.5</v>
      </c>
      <c r="H24" s="161">
        <v>9518</v>
      </c>
      <c r="I24" s="135">
        <f t="shared" si="2"/>
        <v>103.6</v>
      </c>
      <c r="J24" s="161">
        <v>8267</v>
      </c>
      <c r="K24" s="135">
        <f t="shared" si="3"/>
        <v>90</v>
      </c>
      <c r="L24" s="161">
        <v>8312</v>
      </c>
      <c r="M24" s="135">
        <f t="shared" si="4"/>
        <v>90.5</v>
      </c>
      <c r="N24" s="169">
        <v>9349</v>
      </c>
      <c r="O24" s="161">
        <v>9129</v>
      </c>
      <c r="P24" s="135">
        <f t="shared" si="5"/>
        <v>97.6</v>
      </c>
      <c r="Q24" s="161">
        <v>9154</v>
      </c>
      <c r="R24" s="135">
        <f t="shared" si="6"/>
        <v>97.9</v>
      </c>
      <c r="S24" s="161">
        <v>4273</v>
      </c>
      <c r="T24" s="135">
        <f t="shared" si="7"/>
        <v>69.8</v>
      </c>
      <c r="U24" s="161">
        <v>35</v>
      </c>
      <c r="V24" s="163">
        <f t="shared" si="8"/>
        <v>0.38105606967882416</v>
      </c>
      <c r="W24" s="161">
        <v>92</v>
      </c>
      <c r="X24" s="164">
        <f t="shared" si="9"/>
        <v>0.98406246657396523</v>
      </c>
      <c r="Y24" s="161">
        <v>4</v>
      </c>
      <c r="Z24" s="164">
        <f t="shared" si="10"/>
        <v>4.2785324633650659E-2</v>
      </c>
      <c r="AA24" s="165">
        <f t="shared" si="11"/>
        <v>65503</v>
      </c>
      <c r="AB24" s="166">
        <f t="shared" si="12"/>
        <v>6123.333333333333</v>
      </c>
    </row>
    <row r="25" spans="1:28" ht="14.1" customHeight="1">
      <c r="A25" s="148" t="s">
        <v>109</v>
      </c>
      <c r="B25" s="137" t="s">
        <v>41</v>
      </c>
      <c r="C25" s="160">
        <v>17919</v>
      </c>
      <c r="D25" s="161">
        <v>17083</v>
      </c>
      <c r="E25" s="135">
        <f t="shared" si="0"/>
        <v>95.3</v>
      </c>
      <c r="F25" s="161">
        <v>17081</v>
      </c>
      <c r="G25" s="135">
        <f t="shared" si="1"/>
        <v>95.3</v>
      </c>
      <c r="H25" s="161">
        <v>16871</v>
      </c>
      <c r="I25" s="135">
        <f t="shared" si="2"/>
        <v>94.2</v>
      </c>
      <c r="J25" s="161">
        <v>17089</v>
      </c>
      <c r="K25" s="135">
        <f t="shared" si="3"/>
        <v>95.4</v>
      </c>
      <c r="L25" s="161">
        <v>17081</v>
      </c>
      <c r="M25" s="135">
        <f t="shared" si="4"/>
        <v>95.3</v>
      </c>
      <c r="N25" s="169">
        <v>17857</v>
      </c>
      <c r="O25" s="161">
        <v>17807</v>
      </c>
      <c r="P25" s="135">
        <f t="shared" si="5"/>
        <v>99.7</v>
      </c>
      <c r="Q25" s="161">
        <v>18040</v>
      </c>
      <c r="R25" s="135">
        <f t="shared" si="6"/>
        <v>101</v>
      </c>
      <c r="S25" s="161">
        <v>11500</v>
      </c>
      <c r="T25" s="135">
        <f t="shared" si="7"/>
        <v>96.3</v>
      </c>
      <c r="U25" s="161">
        <v>560</v>
      </c>
      <c r="V25" s="163">
        <f t="shared" si="8"/>
        <v>3.1251743958926279</v>
      </c>
      <c r="W25" s="161">
        <v>670</v>
      </c>
      <c r="X25" s="164">
        <f t="shared" si="9"/>
        <v>3.7520300162401301</v>
      </c>
      <c r="Y25" s="161">
        <v>49</v>
      </c>
      <c r="Z25" s="164">
        <f t="shared" si="10"/>
        <v>0.27440219521756176</v>
      </c>
      <c r="AA25" s="165">
        <f t="shared" si="11"/>
        <v>133831</v>
      </c>
      <c r="AB25" s="166">
        <f t="shared" si="12"/>
        <v>11946</v>
      </c>
    </row>
    <row r="26" spans="1:28" ht="14.1" customHeight="1">
      <c r="A26" s="150" t="s">
        <v>110</v>
      </c>
      <c r="B26" s="139" t="s">
        <v>42</v>
      </c>
      <c r="C26" s="160">
        <v>32725</v>
      </c>
      <c r="D26" s="161">
        <v>23308</v>
      </c>
      <c r="E26" s="135">
        <f t="shared" si="0"/>
        <v>71.2</v>
      </c>
      <c r="F26" s="161">
        <v>23371</v>
      </c>
      <c r="G26" s="135">
        <f t="shared" si="1"/>
        <v>71.400000000000006</v>
      </c>
      <c r="H26" s="161">
        <v>22885</v>
      </c>
      <c r="I26" s="135">
        <f t="shared" si="2"/>
        <v>69.900000000000006</v>
      </c>
      <c r="J26" s="161">
        <v>23320</v>
      </c>
      <c r="K26" s="135">
        <f t="shared" si="3"/>
        <v>71.3</v>
      </c>
      <c r="L26" s="161">
        <v>23277</v>
      </c>
      <c r="M26" s="135">
        <f t="shared" si="4"/>
        <v>71.099999999999994</v>
      </c>
      <c r="N26" s="169">
        <v>32827</v>
      </c>
      <c r="O26" s="161">
        <v>24874</v>
      </c>
      <c r="P26" s="135">
        <f t="shared" si="5"/>
        <v>75.8</v>
      </c>
      <c r="Q26" s="161">
        <v>25606</v>
      </c>
      <c r="R26" s="135">
        <f t="shared" si="6"/>
        <v>78</v>
      </c>
      <c r="S26" s="161">
        <v>15094</v>
      </c>
      <c r="T26" s="135">
        <f t="shared" si="7"/>
        <v>69.2</v>
      </c>
      <c r="U26" s="161">
        <v>484</v>
      </c>
      <c r="V26" s="163">
        <f t="shared" si="8"/>
        <v>1.4789915966386555</v>
      </c>
      <c r="W26" s="161">
        <v>1990</v>
      </c>
      <c r="X26" s="164">
        <f t="shared" si="9"/>
        <v>6.0620830413988482</v>
      </c>
      <c r="Y26" s="161">
        <v>13</v>
      </c>
      <c r="Z26" s="164">
        <f t="shared" si="10"/>
        <v>3.9601547506625645E-2</v>
      </c>
      <c r="AA26" s="165">
        <f t="shared" si="11"/>
        <v>184222</v>
      </c>
      <c r="AB26" s="166">
        <f t="shared" si="12"/>
        <v>21816.666666666668</v>
      </c>
    </row>
    <row r="27" spans="1:28" ht="14.1" customHeight="1">
      <c r="A27" s="151" t="s">
        <v>111</v>
      </c>
      <c r="B27" s="140" t="s">
        <v>43</v>
      </c>
      <c r="C27" s="160">
        <v>25626</v>
      </c>
      <c r="D27" s="161">
        <v>25781</v>
      </c>
      <c r="E27" s="135">
        <f t="shared" si="0"/>
        <v>100.6</v>
      </c>
      <c r="F27" s="161">
        <v>25773</v>
      </c>
      <c r="G27" s="135">
        <f t="shared" si="1"/>
        <v>100.6</v>
      </c>
      <c r="H27" s="161">
        <v>22713</v>
      </c>
      <c r="I27" s="135">
        <f t="shared" si="2"/>
        <v>88.6</v>
      </c>
      <c r="J27" s="161">
        <v>25773</v>
      </c>
      <c r="K27" s="135">
        <f t="shared" si="3"/>
        <v>100.6</v>
      </c>
      <c r="L27" s="161">
        <v>25773</v>
      </c>
      <c r="M27" s="135">
        <f t="shared" si="4"/>
        <v>100.6</v>
      </c>
      <c r="N27" s="169">
        <v>25549</v>
      </c>
      <c r="O27" s="161">
        <v>25849</v>
      </c>
      <c r="P27" s="135">
        <f t="shared" si="5"/>
        <v>101.2</v>
      </c>
      <c r="Q27" s="161">
        <v>25881</v>
      </c>
      <c r="R27" s="135">
        <f t="shared" si="6"/>
        <v>101.3</v>
      </c>
      <c r="S27" s="161">
        <v>12712</v>
      </c>
      <c r="T27" s="135">
        <f t="shared" si="7"/>
        <v>74.400000000000006</v>
      </c>
      <c r="U27" s="161">
        <v>381</v>
      </c>
      <c r="V27" s="163">
        <f t="shared" si="8"/>
        <v>1.4867712479512996</v>
      </c>
      <c r="W27" s="161">
        <v>227</v>
      </c>
      <c r="X27" s="164">
        <f t="shared" si="9"/>
        <v>0.88848878625386507</v>
      </c>
      <c r="Y27" s="161">
        <v>34</v>
      </c>
      <c r="Z27" s="164">
        <f t="shared" si="10"/>
        <v>0.13307761556225292</v>
      </c>
      <c r="AA27" s="165">
        <f t="shared" si="11"/>
        <v>190897</v>
      </c>
      <c r="AB27" s="166">
        <f t="shared" si="12"/>
        <v>17084</v>
      </c>
    </row>
    <row r="28" spans="1:28" ht="14.1" customHeight="1">
      <c r="A28" s="150" t="s">
        <v>112</v>
      </c>
      <c r="B28" s="139" t="s">
        <v>44</v>
      </c>
      <c r="C28" s="160">
        <v>8000</v>
      </c>
      <c r="D28" s="161">
        <v>6779</v>
      </c>
      <c r="E28" s="135">
        <f t="shared" si="0"/>
        <v>84.7</v>
      </c>
      <c r="F28" s="161">
        <v>6854</v>
      </c>
      <c r="G28" s="135">
        <f t="shared" si="1"/>
        <v>85.7</v>
      </c>
      <c r="H28" s="161">
        <v>6210</v>
      </c>
      <c r="I28" s="135">
        <f t="shared" si="2"/>
        <v>77.599999999999994</v>
      </c>
      <c r="J28" s="161">
        <v>6854</v>
      </c>
      <c r="K28" s="135">
        <f t="shared" si="3"/>
        <v>85.7</v>
      </c>
      <c r="L28" s="161">
        <v>6854</v>
      </c>
      <c r="M28" s="135">
        <f t="shared" si="4"/>
        <v>85.7</v>
      </c>
      <c r="N28" s="169">
        <v>7962</v>
      </c>
      <c r="O28" s="161">
        <v>6920</v>
      </c>
      <c r="P28" s="135">
        <f t="shared" si="5"/>
        <v>86.9</v>
      </c>
      <c r="Q28" s="161">
        <v>6932</v>
      </c>
      <c r="R28" s="135">
        <f t="shared" si="6"/>
        <v>87.1</v>
      </c>
      <c r="S28" s="161">
        <v>3331</v>
      </c>
      <c r="T28" s="135">
        <f t="shared" si="7"/>
        <v>62.5</v>
      </c>
      <c r="U28" s="161">
        <v>296</v>
      </c>
      <c r="V28" s="163">
        <f t="shared" si="8"/>
        <v>3.6999999999999997</v>
      </c>
      <c r="W28" s="161">
        <v>560</v>
      </c>
      <c r="X28" s="164">
        <f t="shared" si="9"/>
        <v>7.033408691283598</v>
      </c>
      <c r="Y28" s="161">
        <v>23</v>
      </c>
      <c r="Z28" s="164">
        <f t="shared" si="10"/>
        <v>0.28887214267771916</v>
      </c>
      <c r="AA28" s="165">
        <f t="shared" si="11"/>
        <v>51613</v>
      </c>
      <c r="AB28" s="166">
        <f t="shared" si="12"/>
        <v>5333.333333333333</v>
      </c>
    </row>
    <row r="29" spans="1:28" ht="14.1" customHeight="1">
      <c r="A29" s="148" t="s">
        <v>113</v>
      </c>
      <c r="B29" s="137" t="s">
        <v>114</v>
      </c>
      <c r="C29" s="160">
        <v>9261</v>
      </c>
      <c r="D29" s="161">
        <v>7413</v>
      </c>
      <c r="E29" s="135">
        <f t="shared" si="0"/>
        <v>80</v>
      </c>
      <c r="F29" s="161">
        <v>7404</v>
      </c>
      <c r="G29" s="135">
        <f t="shared" si="1"/>
        <v>79.900000000000006</v>
      </c>
      <c r="H29" s="161">
        <v>6771</v>
      </c>
      <c r="I29" s="135">
        <f t="shared" si="2"/>
        <v>73.099999999999994</v>
      </c>
      <c r="J29" s="161">
        <v>7398</v>
      </c>
      <c r="K29" s="135">
        <f t="shared" si="3"/>
        <v>79.900000000000006</v>
      </c>
      <c r="L29" s="161">
        <v>7398</v>
      </c>
      <c r="M29" s="135">
        <f t="shared" si="4"/>
        <v>79.900000000000006</v>
      </c>
      <c r="N29" s="169">
        <v>9223</v>
      </c>
      <c r="O29" s="161">
        <v>7698</v>
      </c>
      <c r="P29" s="135">
        <f t="shared" si="5"/>
        <v>83.5</v>
      </c>
      <c r="Q29" s="161">
        <v>7871</v>
      </c>
      <c r="R29" s="135">
        <f t="shared" si="6"/>
        <v>85.3</v>
      </c>
      <c r="S29" s="161">
        <v>3881</v>
      </c>
      <c r="T29" s="135">
        <f t="shared" si="7"/>
        <v>62.9</v>
      </c>
      <c r="U29" s="161">
        <v>206</v>
      </c>
      <c r="V29" s="163">
        <f t="shared" si="8"/>
        <v>2.2243818162185511</v>
      </c>
      <c r="W29" s="161">
        <v>45</v>
      </c>
      <c r="X29" s="164">
        <f t="shared" si="9"/>
        <v>0.48791065813726553</v>
      </c>
      <c r="Y29" s="161">
        <v>1</v>
      </c>
      <c r="Z29" s="164">
        <f t="shared" si="10"/>
        <v>1.0842459069717012E-2</v>
      </c>
      <c r="AA29" s="165">
        <f t="shared" si="11"/>
        <v>56086</v>
      </c>
      <c r="AB29" s="166">
        <f t="shared" si="12"/>
        <v>6174</v>
      </c>
    </row>
    <row r="30" spans="1:28" ht="14.1" customHeight="1">
      <c r="A30" s="148" t="s">
        <v>115</v>
      </c>
      <c r="B30" s="137" t="s">
        <v>46</v>
      </c>
      <c r="C30" s="160">
        <v>15450</v>
      </c>
      <c r="D30" s="161">
        <v>12768</v>
      </c>
      <c r="E30" s="135">
        <f t="shared" si="0"/>
        <v>82.6</v>
      </c>
      <c r="F30" s="161">
        <v>12825</v>
      </c>
      <c r="G30" s="135">
        <f t="shared" si="1"/>
        <v>83</v>
      </c>
      <c r="H30" s="161">
        <v>13200</v>
      </c>
      <c r="I30" s="135">
        <f t="shared" si="2"/>
        <v>85.4</v>
      </c>
      <c r="J30" s="161">
        <v>12825</v>
      </c>
      <c r="K30" s="135">
        <f t="shared" si="3"/>
        <v>83</v>
      </c>
      <c r="L30" s="161">
        <v>12825</v>
      </c>
      <c r="M30" s="135">
        <f t="shared" si="4"/>
        <v>83</v>
      </c>
      <c r="N30" s="169">
        <v>15390</v>
      </c>
      <c r="O30" s="161">
        <v>12877</v>
      </c>
      <c r="P30" s="135">
        <f t="shared" si="5"/>
        <v>83.7</v>
      </c>
      <c r="Q30" s="161">
        <v>12689</v>
      </c>
      <c r="R30" s="135">
        <f t="shared" si="6"/>
        <v>82.4</v>
      </c>
      <c r="S30" s="161">
        <v>7131</v>
      </c>
      <c r="T30" s="135">
        <f t="shared" si="7"/>
        <v>69.2</v>
      </c>
      <c r="U30" s="161">
        <v>150</v>
      </c>
      <c r="V30" s="163">
        <f t="shared" si="8"/>
        <v>0.97087378640776689</v>
      </c>
      <c r="W30" s="161">
        <v>222</v>
      </c>
      <c r="X30" s="164">
        <f t="shared" si="9"/>
        <v>1.4424951267056529</v>
      </c>
      <c r="Y30" s="161">
        <v>80</v>
      </c>
      <c r="Z30" s="164">
        <f t="shared" si="10"/>
        <v>0.51981806367771277</v>
      </c>
      <c r="AA30" s="165">
        <f t="shared" si="11"/>
        <v>97592</v>
      </c>
      <c r="AB30" s="166">
        <f t="shared" si="12"/>
        <v>10300</v>
      </c>
    </row>
    <row r="31" spans="1:28" ht="14.1" customHeight="1">
      <c r="A31" s="148" t="s">
        <v>116</v>
      </c>
      <c r="B31" s="137" t="s">
        <v>117</v>
      </c>
      <c r="C31" s="160">
        <v>1283</v>
      </c>
      <c r="D31" s="161">
        <v>923</v>
      </c>
      <c r="E31" s="135">
        <f t="shared" si="0"/>
        <v>71.900000000000006</v>
      </c>
      <c r="F31" s="161">
        <v>919</v>
      </c>
      <c r="G31" s="135">
        <f t="shared" si="1"/>
        <v>71.599999999999994</v>
      </c>
      <c r="H31" s="161">
        <v>887</v>
      </c>
      <c r="I31" s="135">
        <f t="shared" si="2"/>
        <v>69.099999999999994</v>
      </c>
      <c r="J31" s="161">
        <v>919</v>
      </c>
      <c r="K31" s="135">
        <f t="shared" si="3"/>
        <v>71.599999999999994</v>
      </c>
      <c r="L31" s="161">
        <v>919</v>
      </c>
      <c r="M31" s="135">
        <f t="shared" si="4"/>
        <v>71.599999999999994</v>
      </c>
      <c r="N31" s="169">
        <v>1275</v>
      </c>
      <c r="O31" s="161">
        <v>959</v>
      </c>
      <c r="P31" s="135">
        <f t="shared" si="5"/>
        <v>75.2</v>
      </c>
      <c r="Q31" s="161">
        <v>968</v>
      </c>
      <c r="R31" s="135">
        <f t="shared" si="6"/>
        <v>75.900000000000006</v>
      </c>
      <c r="S31" s="161">
        <v>547</v>
      </c>
      <c r="T31" s="135">
        <f t="shared" si="7"/>
        <v>64</v>
      </c>
      <c r="U31" s="161">
        <v>15</v>
      </c>
      <c r="V31" s="163">
        <f t="shared" si="8"/>
        <v>1.1691348402182384</v>
      </c>
      <c r="W31" s="161">
        <v>4</v>
      </c>
      <c r="X31" s="164">
        <f t="shared" si="9"/>
        <v>0.31372549019607843</v>
      </c>
      <c r="Y31" s="161">
        <v>8</v>
      </c>
      <c r="Z31" s="164">
        <f t="shared" si="10"/>
        <v>0.62745098039215685</v>
      </c>
      <c r="AA31" s="165">
        <f t="shared" si="11"/>
        <v>7068</v>
      </c>
      <c r="AB31" s="166">
        <f t="shared" si="12"/>
        <v>855.33333333333337</v>
      </c>
    </row>
    <row r="32" spans="1:28" ht="14.1" customHeight="1">
      <c r="A32" s="148" t="s">
        <v>118</v>
      </c>
      <c r="B32" s="137" t="s">
        <v>48</v>
      </c>
      <c r="C32" s="160">
        <v>34278</v>
      </c>
      <c r="D32" s="161">
        <v>33234</v>
      </c>
      <c r="E32" s="135">
        <f t="shared" si="0"/>
        <v>97</v>
      </c>
      <c r="F32" s="161">
        <v>33117</v>
      </c>
      <c r="G32" s="135">
        <f t="shared" si="1"/>
        <v>96.6</v>
      </c>
      <c r="H32" s="161">
        <v>30419</v>
      </c>
      <c r="I32" s="135">
        <f t="shared" si="2"/>
        <v>88.7</v>
      </c>
      <c r="J32" s="161">
        <v>33197</v>
      </c>
      <c r="K32" s="135">
        <f t="shared" si="3"/>
        <v>96.8</v>
      </c>
      <c r="L32" s="161">
        <v>32938</v>
      </c>
      <c r="M32" s="135">
        <f t="shared" si="4"/>
        <v>96.1</v>
      </c>
      <c r="N32" s="169">
        <v>34111</v>
      </c>
      <c r="O32" s="161">
        <v>35133</v>
      </c>
      <c r="P32" s="135">
        <f t="shared" si="5"/>
        <v>103</v>
      </c>
      <c r="Q32" s="161">
        <v>35169</v>
      </c>
      <c r="R32" s="135">
        <f t="shared" si="6"/>
        <v>103.1</v>
      </c>
      <c r="S32" s="161">
        <v>21042</v>
      </c>
      <c r="T32" s="135">
        <f t="shared" si="7"/>
        <v>92.1</v>
      </c>
      <c r="U32" s="161">
        <v>3863</v>
      </c>
      <c r="V32" s="163">
        <f t="shared" si="8"/>
        <v>11.269618997607795</v>
      </c>
      <c r="W32" s="161">
        <v>2309</v>
      </c>
      <c r="X32" s="164">
        <f t="shared" si="9"/>
        <v>6.7690774237049629</v>
      </c>
      <c r="Y32" s="161">
        <v>2289</v>
      </c>
      <c r="Z32" s="164">
        <f t="shared" si="10"/>
        <v>6.7104453108967785</v>
      </c>
      <c r="AA32" s="165">
        <f t="shared" si="11"/>
        <v>262710</v>
      </c>
      <c r="AB32" s="166">
        <f t="shared" si="12"/>
        <v>22852</v>
      </c>
    </row>
    <row r="33" spans="1:28" ht="14.1" customHeight="1">
      <c r="A33" s="148" t="s">
        <v>119</v>
      </c>
      <c r="B33" s="137" t="s">
        <v>49</v>
      </c>
      <c r="C33" s="160">
        <v>16929</v>
      </c>
      <c r="D33" s="161">
        <v>17062</v>
      </c>
      <c r="E33" s="135">
        <f t="shared" si="0"/>
        <v>100.8</v>
      </c>
      <c r="F33" s="161">
        <v>17062</v>
      </c>
      <c r="G33" s="135">
        <f t="shared" si="1"/>
        <v>100.8</v>
      </c>
      <c r="H33" s="161">
        <v>16920</v>
      </c>
      <c r="I33" s="135">
        <f t="shared" si="2"/>
        <v>99.9</v>
      </c>
      <c r="J33" s="161">
        <v>17062</v>
      </c>
      <c r="K33" s="135">
        <f t="shared" si="3"/>
        <v>100.8</v>
      </c>
      <c r="L33" s="161">
        <v>17062</v>
      </c>
      <c r="M33" s="135">
        <f t="shared" si="4"/>
        <v>100.8</v>
      </c>
      <c r="N33" s="169">
        <v>16856</v>
      </c>
      <c r="O33" s="161">
        <v>17852</v>
      </c>
      <c r="P33" s="135">
        <f t="shared" si="5"/>
        <v>105.9</v>
      </c>
      <c r="Q33" s="161">
        <v>17991</v>
      </c>
      <c r="R33" s="135">
        <f t="shared" si="6"/>
        <v>106.7</v>
      </c>
      <c r="S33" s="161">
        <v>10027</v>
      </c>
      <c r="T33" s="135">
        <f t="shared" si="7"/>
        <v>88.8</v>
      </c>
      <c r="U33" s="161">
        <v>365</v>
      </c>
      <c r="V33" s="163">
        <f t="shared" si="8"/>
        <v>2.1560635595723316</v>
      </c>
      <c r="W33" s="161">
        <v>916</v>
      </c>
      <c r="X33" s="164">
        <f t="shared" si="9"/>
        <v>5.4342667299477929</v>
      </c>
      <c r="Y33" s="161">
        <v>123</v>
      </c>
      <c r="Z33" s="164">
        <f t="shared" si="10"/>
        <v>0.72971048884670153</v>
      </c>
      <c r="AA33" s="165">
        <f t="shared" si="11"/>
        <v>132442</v>
      </c>
      <c r="AB33" s="166">
        <f t="shared" si="12"/>
        <v>11286</v>
      </c>
    </row>
    <row r="34" spans="1:28" ht="14.1" customHeight="1">
      <c r="A34" s="148" t="s">
        <v>120</v>
      </c>
      <c r="B34" s="137" t="s">
        <v>50</v>
      </c>
      <c r="C34" s="160">
        <v>25926</v>
      </c>
      <c r="D34" s="161">
        <v>23738</v>
      </c>
      <c r="E34" s="135">
        <f t="shared" si="0"/>
        <v>91.6</v>
      </c>
      <c r="F34" s="161">
        <v>23771</v>
      </c>
      <c r="G34" s="135">
        <f t="shared" si="1"/>
        <v>91.7</v>
      </c>
      <c r="H34" s="161">
        <v>24122</v>
      </c>
      <c r="I34" s="135">
        <f t="shared" si="2"/>
        <v>93</v>
      </c>
      <c r="J34" s="161">
        <v>23771</v>
      </c>
      <c r="K34" s="135">
        <f t="shared" si="3"/>
        <v>91.7</v>
      </c>
      <c r="L34" s="161">
        <v>23771</v>
      </c>
      <c r="M34" s="135">
        <f t="shared" si="4"/>
        <v>91.7</v>
      </c>
      <c r="N34" s="169">
        <v>26162</v>
      </c>
      <c r="O34" s="161">
        <v>24922</v>
      </c>
      <c r="P34" s="135">
        <f t="shared" si="5"/>
        <v>95.3</v>
      </c>
      <c r="Q34" s="161">
        <v>25134</v>
      </c>
      <c r="R34" s="135">
        <f t="shared" si="6"/>
        <v>96.1</v>
      </c>
      <c r="S34" s="161">
        <v>14297</v>
      </c>
      <c r="T34" s="135">
        <f t="shared" si="7"/>
        <v>82.7</v>
      </c>
      <c r="U34" s="161">
        <v>920</v>
      </c>
      <c r="V34" s="163">
        <f t="shared" si="8"/>
        <v>3.5485612898248862</v>
      </c>
      <c r="W34" s="161">
        <v>1717</v>
      </c>
      <c r="X34" s="164">
        <f t="shared" si="9"/>
        <v>6.562953902606834</v>
      </c>
      <c r="Y34" s="161">
        <v>1565</v>
      </c>
      <c r="Z34" s="164">
        <f t="shared" si="10"/>
        <v>5.9819585658588794</v>
      </c>
      <c r="AA34" s="165">
        <f t="shared" si="11"/>
        <v>187728</v>
      </c>
      <c r="AB34" s="166">
        <f t="shared" si="12"/>
        <v>17284</v>
      </c>
    </row>
    <row r="35" spans="1:28" ht="14.1" customHeight="1">
      <c r="A35" s="150" t="s">
        <v>121</v>
      </c>
      <c r="B35" s="139" t="s">
        <v>51</v>
      </c>
      <c r="C35" s="160">
        <v>72956</v>
      </c>
      <c r="D35" s="161">
        <v>72134</v>
      </c>
      <c r="E35" s="135">
        <f t="shared" si="0"/>
        <v>98.9</v>
      </c>
      <c r="F35" s="161">
        <v>71961</v>
      </c>
      <c r="G35" s="135">
        <f t="shared" si="1"/>
        <v>98.6</v>
      </c>
      <c r="H35" s="161">
        <v>66609</v>
      </c>
      <c r="I35" s="135">
        <f t="shared" si="2"/>
        <v>91.3</v>
      </c>
      <c r="J35" s="161">
        <v>71911</v>
      </c>
      <c r="K35" s="135">
        <f t="shared" si="3"/>
        <v>98.6</v>
      </c>
      <c r="L35" s="161">
        <v>71881</v>
      </c>
      <c r="M35" s="135">
        <f t="shared" si="4"/>
        <v>98.5</v>
      </c>
      <c r="N35" s="169">
        <v>72299</v>
      </c>
      <c r="O35" s="161">
        <v>70341</v>
      </c>
      <c r="P35" s="135">
        <f t="shared" si="5"/>
        <v>97.3</v>
      </c>
      <c r="Q35" s="161">
        <v>69898</v>
      </c>
      <c r="R35" s="135">
        <f t="shared" si="6"/>
        <v>96.7</v>
      </c>
      <c r="S35" s="161">
        <v>35241</v>
      </c>
      <c r="T35" s="135">
        <f t="shared" si="7"/>
        <v>72.5</v>
      </c>
      <c r="U35" s="161">
        <v>3246</v>
      </c>
      <c r="V35" s="163">
        <f t="shared" si="8"/>
        <v>4.4492570864630734</v>
      </c>
      <c r="W35" s="161">
        <v>1991</v>
      </c>
      <c r="X35" s="164">
        <f t="shared" si="9"/>
        <v>2.7538416852238621</v>
      </c>
      <c r="Y35" s="161">
        <v>1155</v>
      </c>
      <c r="Z35" s="164">
        <f t="shared" si="10"/>
        <v>1.5975324693287596</v>
      </c>
      <c r="AA35" s="165">
        <f t="shared" si="11"/>
        <v>536368</v>
      </c>
      <c r="AB35" s="166">
        <f t="shared" si="12"/>
        <v>48637.333333333336</v>
      </c>
    </row>
    <row r="36" spans="1:28" ht="14.1" customHeight="1">
      <c r="A36" s="150" t="s">
        <v>122</v>
      </c>
      <c r="B36" s="139" t="s">
        <v>123</v>
      </c>
      <c r="C36" s="160">
        <v>1248</v>
      </c>
      <c r="D36" s="161">
        <v>940</v>
      </c>
      <c r="E36" s="135">
        <f t="shared" si="0"/>
        <v>75.3</v>
      </c>
      <c r="F36" s="161">
        <v>939</v>
      </c>
      <c r="G36" s="135">
        <f t="shared" si="1"/>
        <v>75.2</v>
      </c>
      <c r="H36" s="161">
        <v>892</v>
      </c>
      <c r="I36" s="135">
        <f t="shared" si="2"/>
        <v>71.5</v>
      </c>
      <c r="J36" s="161">
        <v>939</v>
      </c>
      <c r="K36" s="135">
        <f t="shared" si="3"/>
        <v>75.2</v>
      </c>
      <c r="L36" s="161">
        <v>939</v>
      </c>
      <c r="M36" s="135">
        <f t="shared" si="4"/>
        <v>75.2</v>
      </c>
      <c r="N36" s="169">
        <v>1219</v>
      </c>
      <c r="O36" s="161">
        <v>840</v>
      </c>
      <c r="P36" s="135">
        <f t="shared" si="5"/>
        <v>68.900000000000006</v>
      </c>
      <c r="Q36" s="161">
        <v>811</v>
      </c>
      <c r="R36" s="135">
        <f t="shared" si="6"/>
        <v>66.5</v>
      </c>
      <c r="S36" s="161">
        <v>286</v>
      </c>
      <c r="T36" s="135">
        <f t="shared" si="7"/>
        <v>34.4</v>
      </c>
      <c r="U36" s="161">
        <v>13</v>
      </c>
      <c r="V36" s="163">
        <f t="shared" si="8"/>
        <v>1.0416666666666665</v>
      </c>
      <c r="W36" s="161">
        <v>12</v>
      </c>
      <c r="X36" s="164">
        <f t="shared" si="9"/>
        <v>0.98441345365053323</v>
      </c>
      <c r="Y36" s="161">
        <v>1</v>
      </c>
      <c r="Z36" s="164">
        <f t="shared" si="10"/>
        <v>8.2034454470877774E-2</v>
      </c>
      <c r="AA36" s="165">
        <f t="shared" si="11"/>
        <v>6612</v>
      </c>
      <c r="AB36" s="166">
        <f t="shared" si="12"/>
        <v>832</v>
      </c>
    </row>
    <row r="37" spans="1:28" ht="14.1" customHeight="1" thickBot="1">
      <c r="A37" s="152" t="s">
        <v>124</v>
      </c>
      <c r="B37" s="142" t="s">
        <v>53</v>
      </c>
      <c r="C37" s="172">
        <v>1898</v>
      </c>
      <c r="D37" s="161">
        <v>844</v>
      </c>
      <c r="E37" s="141">
        <f t="shared" si="0"/>
        <v>44.5</v>
      </c>
      <c r="F37" s="161">
        <v>845</v>
      </c>
      <c r="G37" s="141">
        <f t="shared" si="1"/>
        <v>44.5</v>
      </c>
      <c r="H37" s="161">
        <v>1082</v>
      </c>
      <c r="I37" s="141">
        <f t="shared" si="2"/>
        <v>57</v>
      </c>
      <c r="J37" s="161">
        <v>844</v>
      </c>
      <c r="K37" s="141">
        <f t="shared" si="3"/>
        <v>44.5</v>
      </c>
      <c r="L37" s="161">
        <v>842</v>
      </c>
      <c r="M37" s="141">
        <f t="shared" si="4"/>
        <v>44.4</v>
      </c>
      <c r="N37" s="173">
        <v>1858</v>
      </c>
      <c r="O37" s="161">
        <v>1377</v>
      </c>
      <c r="P37" s="135">
        <f t="shared" si="5"/>
        <v>74.099999999999994</v>
      </c>
      <c r="Q37" s="161">
        <v>1085</v>
      </c>
      <c r="R37" s="135">
        <f t="shared" si="6"/>
        <v>58.4</v>
      </c>
      <c r="S37" s="161">
        <v>443</v>
      </c>
      <c r="T37" s="135">
        <f t="shared" si="7"/>
        <v>35</v>
      </c>
      <c r="U37" s="161">
        <v>14</v>
      </c>
      <c r="V37" s="174">
        <f t="shared" si="8"/>
        <v>0.7376185458377239</v>
      </c>
      <c r="W37" s="161">
        <v>15</v>
      </c>
      <c r="X37" s="175">
        <f t="shared" si="9"/>
        <v>0.80731969860064579</v>
      </c>
      <c r="Y37" s="161">
        <v>4</v>
      </c>
      <c r="Z37" s="175">
        <f t="shared" si="10"/>
        <v>0.2152852529601722</v>
      </c>
      <c r="AA37" s="165">
        <f t="shared" si="11"/>
        <v>7395</v>
      </c>
      <c r="AB37" s="166">
        <f t="shared" si="12"/>
        <v>1265.3333333333333</v>
      </c>
    </row>
    <row r="38" spans="1:28" customFormat="1" ht="12.6"/>
    <row r="39" spans="1:28" customFormat="1" ht="12.6"/>
    <row r="40" spans="1:28" customFormat="1" ht="12.6"/>
  </sheetData>
  <conditionalFormatting sqref="E2:E37 G2:G37 I2:I37 K2:K37 M2:M37 P2:P37 R2:R37 T2:T37">
    <cfRule type="cellIs" dxfId="7" priority="1" stopIfTrue="1" operator="between">
      <formula>0.01</formula>
      <formula>49.9</formula>
    </cfRule>
    <cfRule type="cellIs" dxfId="6" priority="2" stopIfTrue="1" operator="between">
      <formula>50</formula>
      <formula>79.9</formula>
    </cfRule>
    <cfRule type="cellIs" dxfId="5" priority="3" stopIfTrue="1" operator="between">
      <formula>80</formula>
      <formula>94.9</formula>
    </cfRule>
    <cfRule type="cellIs" dxfId="4" priority="4" stopIfTrue="1" operator="greaterThanOrEqual">
      <formula>95</formula>
    </cfRule>
  </conditionalFormatting>
  <printOptions verticalCentered="1"/>
  <pageMargins left="0.98425196850393704" right="0.19685039370078741" top="0.98425196850393704" bottom="0.55118110236220474" header="0" footer="0.31496062992125984"/>
  <pageSetup paperSize="5" scale="78" orientation="landscape" verticalDpi="300" r:id="rId1"/>
  <headerFooter alignWithMargins="0">
    <oddHeader>&amp;L         &amp;G&amp;C&amp;"Arial,Negrita"Ministerio de la Protección Social
República de Colombia
Dirección General de Salud Pública
Programa Ampliado de Inmunizaciones - PAI
COBERTURAS  DE VACUNACION POR BIOLOGICO Y DEPARTAMENTO ** DICIEMBRE 2009&amp;R&amp;G       .</oddHeader>
    <oddFooter xml:space="preserve">&amp;L      Página &amp;P&amp;C** &amp;F **&amp;RFecha &amp;D **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CC"/>
  </sheetPr>
  <dimension ref="A1:AN63"/>
  <sheetViews>
    <sheetView tabSelected="1" zoomScale="72" zoomScaleNormal="90" workbookViewId="0">
      <pane xSplit="2" ySplit="1" topLeftCell="Z2" activePane="bottomRight" state="frozen"/>
      <selection pane="bottomRight" activeCell="AL8" sqref="AL8"/>
      <selection pane="bottomLeft" activeCell="A4" sqref="A4"/>
      <selection pane="topRight" activeCell="A4" sqref="A4"/>
    </sheetView>
  </sheetViews>
  <sheetFormatPr defaultColWidth="11" defaultRowHeight="11.45"/>
  <cols>
    <col min="1" max="1" width="7.5703125" style="145" bestFit="1" customWidth="1"/>
    <col min="2" max="2" width="22.85546875" style="145" customWidth="1"/>
    <col min="3" max="3" width="11" style="145" customWidth="1"/>
    <col min="4" max="4" width="11.7109375" style="145" customWidth="1"/>
    <col min="5" max="5" width="7.7109375" style="145" customWidth="1"/>
    <col min="6" max="6" width="11.7109375" style="145" customWidth="1"/>
    <col min="7" max="7" width="7.7109375" style="145" customWidth="1"/>
    <col min="8" max="8" width="11.7109375" style="145" customWidth="1"/>
    <col min="9" max="9" width="7.7109375" style="145" customWidth="1"/>
    <col min="10" max="10" width="11.7109375" style="145" customWidth="1"/>
    <col min="11" max="11" width="7.7109375" style="145" customWidth="1"/>
    <col min="12" max="12" width="11.7109375" style="145" customWidth="1"/>
    <col min="13" max="13" width="7.7109375" style="145" customWidth="1"/>
    <col min="14" max="14" width="11.7109375" style="145" customWidth="1"/>
    <col min="15" max="15" width="7.7109375" style="145" customWidth="1"/>
    <col min="16" max="16" width="9.5703125" style="145" bestFit="1" customWidth="1"/>
    <col min="17" max="17" width="11.7109375" style="145" customWidth="1"/>
    <col min="18" max="18" width="7.7109375" style="145" customWidth="1"/>
    <col min="19" max="19" width="11.7109375" style="145" customWidth="1"/>
    <col min="20" max="20" width="7.7109375" style="145" customWidth="1"/>
    <col min="21" max="21" width="11.7109375" style="145" customWidth="1"/>
    <col min="22" max="22" width="9.7109375" style="145" customWidth="1"/>
    <col min="23" max="23" width="11.7109375" style="145" customWidth="1"/>
    <col min="24" max="24" width="9.7109375" style="145" customWidth="1"/>
    <col min="25" max="27" width="11.7109375" style="145" customWidth="1"/>
    <col min="28" max="28" width="7.7109375" style="145" customWidth="1"/>
    <col min="29" max="29" width="11.7109375" style="145" customWidth="1"/>
    <col min="30" max="30" width="7.7109375" style="145" customWidth="1"/>
    <col min="31" max="31" width="11.7109375" style="145" customWidth="1"/>
    <col min="32" max="32" width="7.7109375" style="145" customWidth="1"/>
    <col min="33" max="33" width="11.7109375" style="145" customWidth="1"/>
    <col min="34" max="34" width="7.7109375" style="145" customWidth="1"/>
    <col min="35" max="35" width="11.7109375" style="145" customWidth="1"/>
    <col min="36" max="36" width="7.7109375" style="145" customWidth="1"/>
    <col min="37" max="37" width="11.5703125" style="145" bestFit="1" customWidth="1"/>
    <col min="38" max="38" width="9.7109375" style="145" customWidth="1"/>
    <col min="39" max="39" width="11.85546875" style="145" bestFit="1" customWidth="1"/>
    <col min="40" max="40" width="0" style="145" hidden="1" customWidth="1"/>
    <col min="41" max="16384" width="11" style="145"/>
  </cols>
  <sheetData>
    <row r="1" spans="1:40" s="158" customFormat="1" ht="59.25" customHeight="1" thickBot="1">
      <c r="A1" s="109" t="s">
        <v>54</v>
      </c>
      <c r="B1" s="143" t="s">
        <v>55</v>
      </c>
      <c r="C1" s="155" t="s">
        <v>59</v>
      </c>
      <c r="D1" s="110" t="s">
        <v>60</v>
      </c>
      <c r="E1" s="111" t="s">
        <v>61</v>
      </c>
      <c r="F1" s="112" t="s">
        <v>62</v>
      </c>
      <c r="G1" s="113" t="s">
        <v>63</v>
      </c>
      <c r="H1" s="108" t="s">
        <v>64</v>
      </c>
      <c r="I1" s="115" t="s">
        <v>65</v>
      </c>
      <c r="J1" s="144" t="s">
        <v>66</v>
      </c>
      <c r="K1" s="113" t="s">
        <v>67</v>
      </c>
      <c r="L1" s="112" t="s">
        <v>68</v>
      </c>
      <c r="M1" s="113" t="s">
        <v>69</v>
      </c>
      <c r="N1" s="116" t="s">
        <v>75</v>
      </c>
      <c r="O1" s="117" t="s">
        <v>76</v>
      </c>
      <c r="P1" s="156" t="s">
        <v>70</v>
      </c>
      <c r="Q1" s="118" t="s">
        <v>71</v>
      </c>
      <c r="R1" s="119" t="s">
        <v>72</v>
      </c>
      <c r="S1" s="120" t="s">
        <v>73</v>
      </c>
      <c r="T1" s="121" t="s">
        <v>74</v>
      </c>
      <c r="U1" s="124" t="s">
        <v>125</v>
      </c>
      <c r="V1" s="125" t="s">
        <v>126</v>
      </c>
      <c r="W1" s="122" t="s">
        <v>77</v>
      </c>
      <c r="X1" s="126" t="s">
        <v>78</v>
      </c>
      <c r="Y1" s="126" t="s">
        <v>79</v>
      </c>
      <c r="Z1" s="123" t="s">
        <v>81</v>
      </c>
      <c r="AA1" s="127" t="s">
        <v>127</v>
      </c>
      <c r="AB1" s="111" t="s">
        <v>128</v>
      </c>
      <c r="AC1" s="128" t="s">
        <v>129</v>
      </c>
      <c r="AD1" s="129" t="s">
        <v>130</v>
      </c>
      <c r="AE1" s="127" t="s">
        <v>131</v>
      </c>
      <c r="AF1" s="111" t="s">
        <v>132</v>
      </c>
      <c r="AG1" s="130" t="s">
        <v>133</v>
      </c>
      <c r="AH1" s="131" t="s">
        <v>134</v>
      </c>
      <c r="AI1" s="132" t="s">
        <v>135</v>
      </c>
      <c r="AJ1" s="157" t="s">
        <v>136</v>
      </c>
      <c r="AK1" s="182" t="s">
        <v>137</v>
      </c>
    </row>
    <row r="2" spans="1:40" ht="15.75" customHeight="1">
      <c r="A2" s="146">
        <v>91</v>
      </c>
      <c r="B2" s="3" t="s">
        <v>17</v>
      </c>
      <c r="C2" s="104">
        <v>2119</v>
      </c>
      <c r="D2" s="9">
        <v>1666</v>
      </c>
      <c r="E2" s="133">
        <f t="shared" ref="E2:E37" si="0">ROUND(D2/$C2*100,1)</f>
        <v>78.599999999999994</v>
      </c>
      <c r="F2" s="9">
        <v>1666</v>
      </c>
      <c r="G2" s="133">
        <f t="shared" ref="G2:G37" si="1">ROUND(F2/$C2*100,1)</f>
        <v>78.599999999999994</v>
      </c>
      <c r="H2" s="9">
        <v>1682</v>
      </c>
      <c r="I2" s="133">
        <f t="shared" ref="I2:I37" si="2">ROUND(H2/$C2*100,1)</f>
        <v>79.400000000000006</v>
      </c>
      <c r="J2" s="9">
        <v>1666</v>
      </c>
      <c r="K2" s="133">
        <f t="shared" ref="K2:K37" si="3">ROUND(J2/$C2*100,1)</f>
        <v>78.599999999999994</v>
      </c>
      <c r="L2" s="9">
        <v>1664</v>
      </c>
      <c r="M2" s="133">
        <f t="shared" ref="M2:M37" si="4">ROUND(L2/$C2*100,1)</f>
        <v>78.5</v>
      </c>
      <c r="N2" s="9">
        <v>1293</v>
      </c>
      <c r="O2" s="133">
        <f t="shared" ref="O2:O37" si="5">ROUND(N2/$C2*100,1)</f>
        <v>61</v>
      </c>
      <c r="P2" s="105">
        <v>2066</v>
      </c>
      <c r="Q2" s="9">
        <v>1679</v>
      </c>
      <c r="R2" s="133">
        <f t="shared" ref="R2:R37" si="6">ROUND(Q2/$P2*100,1)</f>
        <v>81.3</v>
      </c>
      <c r="S2" s="9">
        <v>1679</v>
      </c>
      <c r="T2" s="133">
        <f t="shared" ref="T2:T37" si="7">ROUND(S2/$P2*100,1)</f>
        <v>81.3</v>
      </c>
      <c r="U2" s="106">
        <v>1687</v>
      </c>
      <c r="V2" s="6">
        <f t="shared" ref="V2:V37" si="8">ROUND(U2/C2*100,1)</f>
        <v>79.599999999999994</v>
      </c>
      <c r="W2" s="106">
        <v>1387</v>
      </c>
      <c r="X2" s="107">
        <f t="shared" ref="X2:X37" si="9">ROUND(W2/AN2*100,1)</f>
        <v>65.8</v>
      </c>
      <c r="Y2" s="106">
        <v>8</v>
      </c>
      <c r="Z2" s="106">
        <v>1</v>
      </c>
      <c r="AA2" s="9">
        <v>1643</v>
      </c>
      <c r="AB2" s="133">
        <f t="shared" ref="AB2:AB37" si="10">ROUND(AA2/$P2*100,1)</f>
        <v>79.5</v>
      </c>
      <c r="AC2" s="9">
        <v>1664</v>
      </c>
      <c r="AD2" s="133">
        <f t="shared" ref="AD2:AD37" si="11">ROUND(AC2/$P2*100,1)</f>
        <v>80.5</v>
      </c>
      <c r="AE2" s="9">
        <v>1635</v>
      </c>
      <c r="AF2" s="133">
        <f t="shared" ref="AF2:AF37" si="12">ROUND(AE2/$AL2*100,1)</f>
        <v>85.9</v>
      </c>
      <c r="AG2" s="9">
        <v>1633</v>
      </c>
      <c r="AH2" s="133">
        <f t="shared" ref="AH2:AH37" si="13">ROUND(AG2/$AL2*100,1)</f>
        <v>85.8</v>
      </c>
      <c r="AI2" s="9">
        <v>1630</v>
      </c>
      <c r="AJ2" s="133">
        <f t="shared" ref="AJ2:AJ37" si="14">ROUND(AI2/$AL2*100,1)</f>
        <v>85.6</v>
      </c>
      <c r="AK2" s="180">
        <v>617</v>
      </c>
      <c r="AL2" s="147">
        <v>1904</v>
      </c>
      <c r="AN2" s="1">
        <v>2107</v>
      </c>
    </row>
    <row r="3" spans="1:40" ht="15.75" customHeight="1">
      <c r="A3" s="146" t="s">
        <v>56</v>
      </c>
      <c r="B3" s="3" t="s">
        <v>19</v>
      </c>
      <c r="C3" s="1">
        <v>103154</v>
      </c>
      <c r="D3" s="4">
        <v>79374</v>
      </c>
      <c r="E3" s="135">
        <f t="shared" si="0"/>
        <v>76.900000000000006</v>
      </c>
      <c r="F3" s="4">
        <v>79500</v>
      </c>
      <c r="G3" s="135">
        <f t="shared" si="1"/>
        <v>77.099999999999994</v>
      </c>
      <c r="H3" s="4">
        <v>78660</v>
      </c>
      <c r="I3" s="135">
        <f t="shared" si="2"/>
        <v>76.3</v>
      </c>
      <c r="J3" s="4">
        <v>79074</v>
      </c>
      <c r="K3" s="135">
        <f t="shared" si="3"/>
        <v>76.7</v>
      </c>
      <c r="L3" s="4">
        <v>79528</v>
      </c>
      <c r="M3" s="135">
        <f t="shared" si="4"/>
        <v>77.099999999999994</v>
      </c>
      <c r="N3" s="4">
        <v>74014</v>
      </c>
      <c r="O3" s="135">
        <f t="shared" si="5"/>
        <v>71.8</v>
      </c>
      <c r="P3" s="5">
        <v>103094</v>
      </c>
      <c r="Q3" s="4">
        <v>82541</v>
      </c>
      <c r="R3" s="135">
        <f t="shared" si="6"/>
        <v>80.099999999999994</v>
      </c>
      <c r="S3" s="4">
        <v>67401</v>
      </c>
      <c r="T3" s="135">
        <f t="shared" si="7"/>
        <v>65.400000000000006</v>
      </c>
      <c r="U3" s="4">
        <v>8139</v>
      </c>
      <c r="V3" s="6">
        <f t="shared" si="8"/>
        <v>7.9</v>
      </c>
      <c r="W3" s="4">
        <v>5880</v>
      </c>
      <c r="X3" s="2">
        <f t="shared" si="9"/>
        <v>5.7</v>
      </c>
      <c r="Y3" s="4">
        <v>1139</v>
      </c>
      <c r="Z3" s="4">
        <v>0</v>
      </c>
      <c r="AA3" s="4">
        <v>77240</v>
      </c>
      <c r="AB3" s="135">
        <f t="shared" si="10"/>
        <v>74.900000000000006</v>
      </c>
      <c r="AC3" s="4">
        <v>77414</v>
      </c>
      <c r="AD3" s="135">
        <f t="shared" si="11"/>
        <v>75.099999999999994</v>
      </c>
      <c r="AE3" s="4">
        <v>84382</v>
      </c>
      <c r="AF3" s="135">
        <f t="shared" si="12"/>
        <v>81.7</v>
      </c>
      <c r="AG3" s="4">
        <v>1</v>
      </c>
      <c r="AH3" s="135">
        <f t="shared" si="13"/>
        <v>0</v>
      </c>
      <c r="AI3" s="4">
        <v>82925</v>
      </c>
      <c r="AJ3" s="135">
        <f t="shared" si="14"/>
        <v>80.3</v>
      </c>
      <c r="AK3" s="180">
        <v>65775</v>
      </c>
      <c r="AL3" s="147">
        <v>103288</v>
      </c>
      <c r="AN3" s="1">
        <v>103161</v>
      </c>
    </row>
    <row r="4" spans="1:40" ht="15.75" customHeight="1">
      <c r="A4" s="148" t="s">
        <v>83</v>
      </c>
      <c r="B4" s="7" t="s">
        <v>20</v>
      </c>
      <c r="C4" s="1">
        <v>6611</v>
      </c>
      <c r="D4" s="4">
        <v>5267</v>
      </c>
      <c r="E4" s="135">
        <f t="shared" si="0"/>
        <v>79.7</v>
      </c>
      <c r="F4" s="4">
        <v>5266</v>
      </c>
      <c r="G4" s="135">
        <f t="shared" si="1"/>
        <v>79.7</v>
      </c>
      <c r="H4" s="4">
        <v>4218</v>
      </c>
      <c r="I4" s="135">
        <f t="shared" si="2"/>
        <v>63.8</v>
      </c>
      <c r="J4" s="4">
        <v>5266</v>
      </c>
      <c r="K4" s="135">
        <f t="shared" si="3"/>
        <v>79.7</v>
      </c>
      <c r="L4" s="4">
        <v>5262</v>
      </c>
      <c r="M4" s="135">
        <f t="shared" si="4"/>
        <v>79.599999999999994</v>
      </c>
      <c r="N4" s="4">
        <v>4358</v>
      </c>
      <c r="O4" s="135">
        <f t="shared" si="5"/>
        <v>65.900000000000006</v>
      </c>
      <c r="P4" s="8">
        <v>6684</v>
      </c>
      <c r="Q4" s="4">
        <v>5046</v>
      </c>
      <c r="R4" s="135">
        <f t="shared" si="6"/>
        <v>75.5</v>
      </c>
      <c r="S4" s="4">
        <v>5021</v>
      </c>
      <c r="T4" s="135">
        <f t="shared" si="7"/>
        <v>75.099999999999994</v>
      </c>
      <c r="U4" s="9">
        <v>678</v>
      </c>
      <c r="V4" s="6">
        <f t="shared" si="8"/>
        <v>10.3</v>
      </c>
      <c r="W4" s="4">
        <v>166</v>
      </c>
      <c r="X4" s="2">
        <f t="shared" si="9"/>
        <v>2.5</v>
      </c>
      <c r="Y4" s="4">
        <v>224</v>
      </c>
      <c r="Z4" s="4">
        <v>426</v>
      </c>
      <c r="AA4" s="4">
        <v>4806</v>
      </c>
      <c r="AB4" s="135">
        <f t="shared" si="10"/>
        <v>71.900000000000006</v>
      </c>
      <c r="AC4" s="4">
        <v>5009</v>
      </c>
      <c r="AD4" s="135">
        <f t="shared" si="11"/>
        <v>74.900000000000006</v>
      </c>
      <c r="AE4" s="4">
        <v>4425</v>
      </c>
      <c r="AF4" s="135">
        <f t="shared" si="12"/>
        <v>65.599999999999994</v>
      </c>
      <c r="AG4" s="4">
        <v>4592</v>
      </c>
      <c r="AH4" s="135">
        <f t="shared" si="13"/>
        <v>68.099999999999994</v>
      </c>
      <c r="AI4" s="4">
        <v>4602</v>
      </c>
      <c r="AJ4" s="135">
        <f t="shared" si="14"/>
        <v>68.2</v>
      </c>
      <c r="AK4" s="180">
        <v>2820</v>
      </c>
      <c r="AL4" s="147">
        <v>6746</v>
      </c>
      <c r="AN4" s="1">
        <v>6627</v>
      </c>
    </row>
    <row r="5" spans="1:40" ht="15.75" customHeight="1">
      <c r="A5" s="148" t="s">
        <v>57</v>
      </c>
      <c r="B5" s="7" t="s">
        <v>21</v>
      </c>
      <c r="C5" s="1">
        <v>22306</v>
      </c>
      <c r="D5" s="4">
        <v>16945</v>
      </c>
      <c r="E5" s="135">
        <f t="shared" si="0"/>
        <v>76</v>
      </c>
      <c r="F5" s="4">
        <v>16941</v>
      </c>
      <c r="G5" s="135">
        <f t="shared" si="1"/>
        <v>75.900000000000006</v>
      </c>
      <c r="H5" s="4">
        <v>12206</v>
      </c>
      <c r="I5" s="135">
        <f t="shared" si="2"/>
        <v>54.7</v>
      </c>
      <c r="J5" s="4">
        <v>16941</v>
      </c>
      <c r="K5" s="135">
        <f t="shared" si="3"/>
        <v>75.900000000000006</v>
      </c>
      <c r="L5" s="4">
        <v>16941</v>
      </c>
      <c r="M5" s="135">
        <f t="shared" si="4"/>
        <v>75.900000000000006</v>
      </c>
      <c r="N5" s="4">
        <v>15436</v>
      </c>
      <c r="O5" s="135">
        <f t="shared" si="5"/>
        <v>69.2</v>
      </c>
      <c r="P5" s="8">
        <v>22539</v>
      </c>
      <c r="Q5" s="4">
        <v>17791</v>
      </c>
      <c r="R5" s="135">
        <f t="shared" si="6"/>
        <v>78.900000000000006</v>
      </c>
      <c r="S5" s="4">
        <v>16004</v>
      </c>
      <c r="T5" s="135">
        <f t="shared" si="7"/>
        <v>71</v>
      </c>
      <c r="U5" s="9">
        <v>5338</v>
      </c>
      <c r="V5" s="6">
        <f t="shared" si="8"/>
        <v>23.9</v>
      </c>
      <c r="W5" s="4">
        <v>994</v>
      </c>
      <c r="X5" s="2">
        <f t="shared" si="9"/>
        <v>4.5</v>
      </c>
      <c r="Y5" s="4">
        <v>105</v>
      </c>
      <c r="Z5" s="4">
        <v>325</v>
      </c>
      <c r="AA5" s="4">
        <v>18231</v>
      </c>
      <c r="AB5" s="135">
        <f t="shared" si="10"/>
        <v>80.900000000000006</v>
      </c>
      <c r="AC5" s="4">
        <v>18334</v>
      </c>
      <c r="AD5" s="135">
        <f t="shared" si="11"/>
        <v>81.3</v>
      </c>
      <c r="AE5" s="4">
        <v>16591</v>
      </c>
      <c r="AF5" s="135">
        <f t="shared" si="12"/>
        <v>71.3</v>
      </c>
      <c r="AG5" s="4">
        <v>16733</v>
      </c>
      <c r="AH5" s="135">
        <f t="shared" si="13"/>
        <v>71.900000000000006</v>
      </c>
      <c r="AI5" s="4">
        <v>16376</v>
      </c>
      <c r="AJ5" s="135">
        <f t="shared" si="14"/>
        <v>70.400000000000006</v>
      </c>
      <c r="AK5" s="180">
        <v>6625</v>
      </c>
      <c r="AL5" s="147">
        <v>23266</v>
      </c>
      <c r="AN5" s="1">
        <v>22323</v>
      </c>
    </row>
    <row r="6" spans="1:40" ht="15.75" customHeight="1">
      <c r="A6" s="149" t="s">
        <v>84</v>
      </c>
      <c r="B6" s="10" t="s">
        <v>22</v>
      </c>
      <c r="C6" s="1">
        <v>20244</v>
      </c>
      <c r="D6" s="4">
        <v>19752</v>
      </c>
      <c r="E6" s="135">
        <f t="shared" si="0"/>
        <v>97.6</v>
      </c>
      <c r="F6" s="4">
        <v>19982</v>
      </c>
      <c r="G6" s="135">
        <f t="shared" si="1"/>
        <v>98.7</v>
      </c>
      <c r="H6" s="4">
        <v>23502</v>
      </c>
      <c r="I6" s="135">
        <f t="shared" si="2"/>
        <v>116.1</v>
      </c>
      <c r="J6" s="4">
        <v>19990</v>
      </c>
      <c r="K6" s="135">
        <f t="shared" si="3"/>
        <v>98.7</v>
      </c>
      <c r="L6" s="4">
        <v>19982</v>
      </c>
      <c r="M6" s="135">
        <f t="shared" si="4"/>
        <v>98.7</v>
      </c>
      <c r="N6" s="4">
        <v>17142</v>
      </c>
      <c r="O6" s="135">
        <f t="shared" si="5"/>
        <v>84.7</v>
      </c>
      <c r="P6" s="8">
        <v>20395</v>
      </c>
      <c r="Q6" s="4">
        <v>20144</v>
      </c>
      <c r="R6" s="135">
        <f t="shared" si="6"/>
        <v>98.8</v>
      </c>
      <c r="S6" s="4">
        <v>18521</v>
      </c>
      <c r="T6" s="135">
        <f t="shared" si="7"/>
        <v>90.8</v>
      </c>
      <c r="U6" s="9">
        <v>7348</v>
      </c>
      <c r="V6" s="6">
        <f t="shared" si="8"/>
        <v>36.299999999999997</v>
      </c>
      <c r="W6" s="4">
        <v>1020</v>
      </c>
      <c r="X6" s="2">
        <f t="shared" si="9"/>
        <v>5</v>
      </c>
      <c r="Y6" s="4">
        <v>483</v>
      </c>
      <c r="Z6" s="4">
        <v>805</v>
      </c>
      <c r="AA6" s="4">
        <v>16040</v>
      </c>
      <c r="AB6" s="135">
        <f t="shared" si="10"/>
        <v>78.599999999999994</v>
      </c>
      <c r="AC6" s="4">
        <v>16674</v>
      </c>
      <c r="AD6" s="135">
        <f t="shared" si="11"/>
        <v>81.8</v>
      </c>
      <c r="AE6" s="4">
        <v>13148</v>
      </c>
      <c r="AF6" s="135">
        <f t="shared" si="12"/>
        <v>63.6</v>
      </c>
      <c r="AG6" s="4">
        <v>13716</v>
      </c>
      <c r="AH6" s="135">
        <f t="shared" si="13"/>
        <v>66.400000000000006</v>
      </c>
      <c r="AI6" s="4">
        <v>13097</v>
      </c>
      <c r="AJ6" s="135">
        <f t="shared" si="14"/>
        <v>63.4</v>
      </c>
      <c r="AK6" s="180">
        <v>11596</v>
      </c>
      <c r="AL6" s="147">
        <v>20657</v>
      </c>
      <c r="AN6" s="1">
        <v>20345</v>
      </c>
    </row>
    <row r="7" spans="1:40" ht="15.75" customHeight="1">
      <c r="A7" s="148" t="s">
        <v>85</v>
      </c>
      <c r="B7" s="7" t="s">
        <v>86</v>
      </c>
      <c r="C7" s="11">
        <v>119681</v>
      </c>
      <c r="D7" s="4">
        <v>112629</v>
      </c>
      <c r="E7" s="135">
        <f t="shared" si="0"/>
        <v>94.1</v>
      </c>
      <c r="F7" s="4">
        <v>112642</v>
      </c>
      <c r="G7" s="135">
        <f t="shared" si="1"/>
        <v>94.1</v>
      </c>
      <c r="H7" s="4">
        <v>120686</v>
      </c>
      <c r="I7" s="135">
        <f t="shared" si="2"/>
        <v>100.8</v>
      </c>
      <c r="J7" s="4">
        <v>112194</v>
      </c>
      <c r="K7" s="135">
        <f t="shared" si="3"/>
        <v>93.7</v>
      </c>
      <c r="L7" s="4">
        <v>112642</v>
      </c>
      <c r="M7" s="135">
        <f t="shared" si="4"/>
        <v>94.1</v>
      </c>
      <c r="N7" s="4">
        <v>109311</v>
      </c>
      <c r="O7" s="135">
        <f t="shared" si="5"/>
        <v>91.3</v>
      </c>
      <c r="P7" s="12">
        <v>118987</v>
      </c>
      <c r="Q7" s="4">
        <v>115980</v>
      </c>
      <c r="R7" s="135">
        <f t="shared" si="6"/>
        <v>97.5</v>
      </c>
      <c r="S7" s="4">
        <v>83114</v>
      </c>
      <c r="T7" s="135">
        <f t="shared" si="7"/>
        <v>69.900000000000006</v>
      </c>
      <c r="U7" s="9">
        <v>113358</v>
      </c>
      <c r="V7" s="6">
        <f t="shared" si="8"/>
        <v>94.7</v>
      </c>
      <c r="W7" s="4">
        <v>111808</v>
      </c>
      <c r="X7" s="2">
        <f t="shared" si="9"/>
        <v>93.8</v>
      </c>
      <c r="Y7" s="4">
        <v>1640</v>
      </c>
      <c r="Z7" s="4">
        <v>911</v>
      </c>
      <c r="AA7" s="4">
        <v>88401</v>
      </c>
      <c r="AB7" s="135">
        <f t="shared" si="10"/>
        <v>74.3</v>
      </c>
      <c r="AC7" s="4">
        <v>88146</v>
      </c>
      <c r="AD7" s="135">
        <f t="shared" si="11"/>
        <v>74.099999999999994</v>
      </c>
      <c r="AE7" s="4">
        <v>83343</v>
      </c>
      <c r="AF7" s="135">
        <f t="shared" si="12"/>
        <v>70.599999999999994</v>
      </c>
      <c r="AG7" s="4">
        <v>83786</v>
      </c>
      <c r="AH7" s="135">
        <f t="shared" si="13"/>
        <v>71</v>
      </c>
      <c r="AI7" s="4">
        <v>85062</v>
      </c>
      <c r="AJ7" s="135">
        <f t="shared" si="14"/>
        <v>72.099999999999994</v>
      </c>
      <c r="AK7" s="180">
        <v>105770</v>
      </c>
      <c r="AL7" s="147">
        <v>118056</v>
      </c>
      <c r="AN7" s="11">
        <v>119208</v>
      </c>
    </row>
    <row r="8" spans="1:40" ht="15.75" customHeight="1">
      <c r="A8" s="148" t="s">
        <v>87</v>
      </c>
      <c r="B8" s="7" t="s">
        <v>88</v>
      </c>
      <c r="C8" s="1">
        <v>24460</v>
      </c>
      <c r="D8" s="4">
        <v>21033</v>
      </c>
      <c r="E8" s="135">
        <f t="shared" si="0"/>
        <v>86</v>
      </c>
      <c r="F8" s="4">
        <v>20874</v>
      </c>
      <c r="G8" s="135">
        <f t="shared" si="1"/>
        <v>85.3</v>
      </c>
      <c r="H8" s="4">
        <v>15812</v>
      </c>
      <c r="I8" s="135">
        <f t="shared" si="2"/>
        <v>64.599999999999994</v>
      </c>
      <c r="J8" s="4">
        <v>21030</v>
      </c>
      <c r="K8" s="135">
        <f t="shared" si="3"/>
        <v>86</v>
      </c>
      <c r="L8" s="4">
        <v>20874</v>
      </c>
      <c r="M8" s="135">
        <f t="shared" si="4"/>
        <v>85.3</v>
      </c>
      <c r="N8" s="4">
        <v>13882</v>
      </c>
      <c r="O8" s="135">
        <f t="shared" si="5"/>
        <v>56.8</v>
      </c>
      <c r="P8" s="8">
        <v>24247</v>
      </c>
      <c r="Q8" s="4">
        <v>19487</v>
      </c>
      <c r="R8" s="135">
        <f t="shared" si="6"/>
        <v>80.400000000000006</v>
      </c>
      <c r="S8" s="4">
        <v>17211</v>
      </c>
      <c r="T8" s="135">
        <f t="shared" si="7"/>
        <v>71</v>
      </c>
      <c r="U8" s="9">
        <v>3755</v>
      </c>
      <c r="V8" s="6">
        <f t="shared" si="8"/>
        <v>15.4</v>
      </c>
      <c r="W8" s="4">
        <v>565</v>
      </c>
      <c r="X8" s="2">
        <f t="shared" si="9"/>
        <v>2.2999999999999998</v>
      </c>
      <c r="Y8" s="4">
        <v>202</v>
      </c>
      <c r="Z8" s="4">
        <v>133</v>
      </c>
      <c r="AA8" s="4">
        <v>18661</v>
      </c>
      <c r="AB8" s="135">
        <f t="shared" si="10"/>
        <v>77</v>
      </c>
      <c r="AC8" s="4">
        <v>18599</v>
      </c>
      <c r="AD8" s="135">
        <f t="shared" si="11"/>
        <v>76.7</v>
      </c>
      <c r="AE8" s="4">
        <v>17140</v>
      </c>
      <c r="AF8" s="135">
        <f t="shared" si="12"/>
        <v>72.599999999999994</v>
      </c>
      <c r="AG8" s="4">
        <v>17070</v>
      </c>
      <c r="AH8" s="135">
        <f t="shared" si="13"/>
        <v>72.3</v>
      </c>
      <c r="AI8" s="4">
        <v>16049</v>
      </c>
      <c r="AJ8" s="135">
        <f t="shared" si="14"/>
        <v>67.900000000000006</v>
      </c>
      <c r="AK8" s="180">
        <v>3902</v>
      </c>
      <c r="AL8" s="147">
        <v>23622</v>
      </c>
      <c r="AN8" s="1">
        <v>24551</v>
      </c>
    </row>
    <row r="9" spans="1:40" ht="15.75" customHeight="1">
      <c r="A9" s="149" t="s">
        <v>89</v>
      </c>
      <c r="B9" s="10" t="s">
        <v>25</v>
      </c>
      <c r="C9" s="1">
        <v>17047</v>
      </c>
      <c r="D9" s="4">
        <v>19264</v>
      </c>
      <c r="E9" s="135">
        <f t="shared" si="0"/>
        <v>113</v>
      </c>
      <c r="F9" s="4">
        <v>18599</v>
      </c>
      <c r="G9" s="135">
        <f t="shared" si="1"/>
        <v>109.1</v>
      </c>
      <c r="H9" s="4">
        <v>21020</v>
      </c>
      <c r="I9" s="135">
        <f t="shared" si="2"/>
        <v>123.3</v>
      </c>
      <c r="J9" s="4">
        <v>18599</v>
      </c>
      <c r="K9" s="135">
        <f t="shared" si="3"/>
        <v>109.1</v>
      </c>
      <c r="L9" s="4">
        <v>18599</v>
      </c>
      <c r="M9" s="135">
        <f t="shared" si="4"/>
        <v>109.1</v>
      </c>
      <c r="N9" s="4">
        <v>14723</v>
      </c>
      <c r="O9" s="135">
        <f t="shared" si="5"/>
        <v>86.4</v>
      </c>
      <c r="P9" s="8">
        <v>17096</v>
      </c>
      <c r="Q9" s="4">
        <v>20510</v>
      </c>
      <c r="R9" s="135">
        <f t="shared" si="6"/>
        <v>120</v>
      </c>
      <c r="S9" s="4">
        <v>17203</v>
      </c>
      <c r="T9" s="135">
        <f t="shared" si="7"/>
        <v>100.6</v>
      </c>
      <c r="U9" s="9">
        <v>591</v>
      </c>
      <c r="V9" s="6">
        <f t="shared" si="8"/>
        <v>3.5</v>
      </c>
      <c r="W9" s="4">
        <v>529</v>
      </c>
      <c r="X9" s="2">
        <f t="shared" si="9"/>
        <v>3.1</v>
      </c>
      <c r="Y9" s="4">
        <v>27</v>
      </c>
      <c r="Z9" s="4">
        <v>7</v>
      </c>
      <c r="AA9" s="4">
        <v>19431</v>
      </c>
      <c r="AB9" s="135">
        <f t="shared" si="10"/>
        <v>113.7</v>
      </c>
      <c r="AC9" s="4">
        <v>19738</v>
      </c>
      <c r="AD9" s="135">
        <f t="shared" si="11"/>
        <v>115.5</v>
      </c>
      <c r="AE9" s="4">
        <v>16841</v>
      </c>
      <c r="AF9" s="135">
        <f t="shared" si="12"/>
        <v>97.6</v>
      </c>
      <c r="AG9" s="4">
        <v>16507</v>
      </c>
      <c r="AH9" s="135">
        <f t="shared" si="13"/>
        <v>95.7</v>
      </c>
      <c r="AI9" s="4">
        <v>16875</v>
      </c>
      <c r="AJ9" s="135">
        <f t="shared" si="14"/>
        <v>97.8</v>
      </c>
      <c r="AK9" s="180">
        <v>491</v>
      </c>
      <c r="AL9" s="147">
        <v>17252</v>
      </c>
      <c r="AN9" s="1">
        <v>17143</v>
      </c>
    </row>
    <row r="10" spans="1:40" ht="15.75" customHeight="1">
      <c r="A10" s="150" t="s">
        <v>90</v>
      </c>
      <c r="B10" s="13" t="s">
        <v>91</v>
      </c>
      <c r="C10" s="1">
        <v>22832</v>
      </c>
      <c r="D10" s="4">
        <v>20860</v>
      </c>
      <c r="E10" s="135">
        <f t="shared" si="0"/>
        <v>91.4</v>
      </c>
      <c r="F10" s="4">
        <v>20862</v>
      </c>
      <c r="G10" s="135">
        <f t="shared" si="1"/>
        <v>91.4</v>
      </c>
      <c r="H10" s="4">
        <v>18105</v>
      </c>
      <c r="I10" s="135">
        <f t="shared" si="2"/>
        <v>79.3</v>
      </c>
      <c r="J10" s="4">
        <v>20860</v>
      </c>
      <c r="K10" s="135">
        <f t="shared" si="3"/>
        <v>91.4</v>
      </c>
      <c r="L10" s="4">
        <v>20860</v>
      </c>
      <c r="M10" s="135">
        <f t="shared" si="4"/>
        <v>91.4</v>
      </c>
      <c r="N10" s="4">
        <v>17936</v>
      </c>
      <c r="O10" s="135">
        <f t="shared" si="5"/>
        <v>78.599999999999994</v>
      </c>
      <c r="P10" s="8">
        <v>23198</v>
      </c>
      <c r="Q10" s="4">
        <v>20700</v>
      </c>
      <c r="R10" s="135">
        <f t="shared" si="6"/>
        <v>89.2</v>
      </c>
      <c r="S10" s="4">
        <v>20720</v>
      </c>
      <c r="T10" s="135">
        <f t="shared" si="7"/>
        <v>89.3</v>
      </c>
      <c r="U10" s="9">
        <v>8181</v>
      </c>
      <c r="V10" s="6">
        <f t="shared" si="8"/>
        <v>35.799999999999997</v>
      </c>
      <c r="W10" s="4">
        <v>1322</v>
      </c>
      <c r="X10" s="2">
        <f t="shared" si="9"/>
        <v>5.7</v>
      </c>
      <c r="Y10" s="4">
        <v>384</v>
      </c>
      <c r="Z10" s="4">
        <v>178</v>
      </c>
      <c r="AA10" s="4">
        <v>19050</v>
      </c>
      <c r="AB10" s="135">
        <f t="shared" si="10"/>
        <v>82.1</v>
      </c>
      <c r="AC10" s="4">
        <v>19221</v>
      </c>
      <c r="AD10" s="135">
        <f t="shared" si="11"/>
        <v>82.9</v>
      </c>
      <c r="AE10" s="4">
        <v>20613</v>
      </c>
      <c r="AF10" s="135">
        <f t="shared" si="12"/>
        <v>84.4</v>
      </c>
      <c r="AG10" s="4">
        <v>20384</v>
      </c>
      <c r="AH10" s="135">
        <f t="shared" si="13"/>
        <v>83.5</v>
      </c>
      <c r="AI10" s="4">
        <v>20364</v>
      </c>
      <c r="AJ10" s="135">
        <f t="shared" si="14"/>
        <v>83.4</v>
      </c>
      <c r="AK10" s="180">
        <v>20026</v>
      </c>
      <c r="AL10" s="147">
        <v>24426</v>
      </c>
      <c r="AN10" s="1">
        <v>23293</v>
      </c>
    </row>
    <row r="11" spans="1:40" ht="15.75" customHeight="1">
      <c r="A11" s="150" t="s">
        <v>92</v>
      </c>
      <c r="B11" s="13" t="s">
        <v>27</v>
      </c>
      <c r="C11" s="1">
        <v>16571</v>
      </c>
      <c r="D11" s="4">
        <v>11620</v>
      </c>
      <c r="E11" s="135">
        <f t="shared" si="0"/>
        <v>70.099999999999994</v>
      </c>
      <c r="F11" s="4">
        <v>11619</v>
      </c>
      <c r="G11" s="135">
        <f t="shared" si="1"/>
        <v>70.099999999999994</v>
      </c>
      <c r="H11" s="4">
        <v>10790</v>
      </c>
      <c r="I11" s="135">
        <f t="shared" si="2"/>
        <v>65.099999999999994</v>
      </c>
      <c r="J11" s="4">
        <v>11619</v>
      </c>
      <c r="K11" s="135">
        <f t="shared" si="3"/>
        <v>70.099999999999994</v>
      </c>
      <c r="L11" s="4">
        <v>11619</v>
      </c>
      <c r="M11" s="135">
        <f t="shared" si="4"/>
        <v>70.099999999999994</v>
      </c>
      <c r="N11" s="4">
        <v>12098</v>
      </c>
      <c r="O11" s="135">
        <f t="shared" si="5"/>
        <v>73</v>
      </c>
      <c r="P11" s="8">
        <v>16559</v>
      </c>
      <c r="Q11" s="4">
        <v>12302</v>
      </c>
      <c r="R11" s="135">
        <f t="shared" si="6"/>
        <v>74.3</v>
      </c>
      <c r="S11" s="4">
        <v>12300</v>
      </c>
      <c r="T11" s="135">
        <f t="shared" si="7"/>
        <v>74.3</v>
      </c>
      <c r="U11" s="9">
        <v>701</v>
      </c>
      <c r="V11" s="6">
        <f t="shared" si="8"/>
        <v>4.2</v>
      </c>
      <c r="W11" s="4">
        <v>445</v>
      </c>
      <c r="X11" s="2">
        <f t="shared" si="9"/>
        <v>2.7</v>
      </c>
      <c r="Y11" s="4">
        <v>58</v>
      </c>
      <c r="Z11" s="4">
        <v>296</v>
      </c>
      <c r="AA11" s="4">
        <v>11504</v>
      </c>
      <c r="AB11" s="135">
        <f t="shared" si="10"/>
        <v>69.5</v>
      </c>
      <c r="AC11" s="4">
        <v>11728</v>
      </c>
      <c r="AD11" s="135">
        <f t="shared" si="11"/>
        <v>70.8</v>
      </c>
      <c r="AE11" s="4">
        <v>12301</v>
      </c>
      <c r="AF11" s="135">
        <f t="shared" si="12"/>
        <v>74.2</v>
      </c>
      <c r="AG11" s="4">
        <v>12612</v>
      </c>
      <c r="AH11" s="135">
        <f t="shared" si="13"/>
        <v>76.099999999999994</v>
      </c>
      <c r="AI11" s="4">
        <v>11780</v>
      </c>
      <c r="AJ11" s="135">
        <f t="shared" si="14"/>
        <v>71.099999999999994</v>
      </c>
      <c r="AK11" s="180">
        <v>7392</v>
      </c>
      <c r="AL11" s="147">
        <v>16579</v>
      </c>
      <c r="AN11" s="1">
        <v>16709</v>
      </c>
    </row>
    <row r="12" spans="1:40" ht="15.75" customHeight="1">
      <c r="A12" s="148" t="s">
        <v>93</v>
      </c>
      <c r="B12" s="7" t="s">
        <v>94</v>
      </c>
      <c r="C12" s="1">
        <v>10743</v>
      </c>
      <c r="D12" s="4">
        <v>9581</v>
      </c>
      <c r="E12" s="135">
        <f t="shared" si="0"/>
        <v>89.2</v>
      </c>
      <c r="F12" s="4">
        <v>9582</v>
      </c>
      <c r="G12" s="135">
        <f t="shared" si="1"/>
        <v>89.2</v>
      </c>
      <c r="H12" s="4">
        <v>9614</v>
      </c>
      <c r="I12" s="135">
        <f t="shared" si="2"/>
        <v>89.5</v>
      </c>
      <c r="J12" s="4">
        <v>9582</v>
      </c>
      <c r="K12" s="135">
        <f t="shared" si="3"/>
        <v>89.2</v>
      </c>
      <c r="L12" s="4">
        <v>9582</v>
      </c>
      <c r="M12" s="135">
        <f t="shared" si="4"/>
        <v>89.2</v>
      </c>
      <c r="N12" s="4">
        <v>7577</v>
      </c>
      <c r="O12" s="135">
        <f t="shared" si="5"/>
        <v>70.5</v>
      </c>
      <c r="P12" s="8">
        <v>10766</v>
      </c>
      <c r="Q12" s="4">
        <v>8981</v>
      </c>
      <c r="R12" s="135">
        <f t="shared" si="6"/>
        <v>83.4</v>
      </c>
      <c r="S12" s="4">
        <v>8237</v>
      </c>
      <c r="T12" s="135">
        <f t="shared" si="7"/>
        <v>76.5</v>
      </c>
      <c r="U12" s="9">
        <v>8272</v>
      </c>
      <c r="V12" s="6">
        <f t="shared" si="8"/>
        <v>77</v>
      </c>
      <c r="W12" s="4">
        <v>5685</v>
      </c>
      <c r="X12" s="2">
        <f t="shared" si="9"/>
        <v>52.8</v>
      </c>
      <c r="Y12" s="4">
        <v>147</v>
      </c>
      <c r="Z12" s="4">
        <v>56</v>
      </c>
      <c r="AA12" s="4">
        <v>9734</v>
      </c>
      <c r="AB12" s="135">
        <f t="shared" si="10"/>
        <v>90.4</v>
      </c>
      <c r="AC12" s="4">
        <v>9737</v>
      </c>
      <c r="AD12" s="135">
        <f t="shared" si="11"/>
        <v>90.4</v>
      </c>
      <c r="AE12" s="4">
        <v>8295</v>
      </c>
      <c r="AF12" s="135">
        <f t="shared" si="12"/>
        <v>77.400000000000006</v>
      </c>
      <c r="AG12" s="4">
        <v>8299</v>
      </c>
      <c r="AH12" s="135">
        <f t="shared" si="13"/>
        <v>77.400000000000006</v>
      </c>
      <c r="AI12" s="4">
        <v>8173</v>
      </c>
      <c r="AJ12" s="135">
        <f t="shared" si="14"/>
        <v>76.2</v>
      </c>
      <c r="AK12" s="180">
        <v>4325</v>
      </c>
      <c r="AL12" s="147">
        <v>10719</v>
      </c>
      <c r="AN12" s="1">
        <v>10775</v>
      </c>
    </row>
    <row r="13" spans="1:40" ht="15.75" customHeight="1">
      <c r="A13" s="150" t="s">
        <v>95</v>
      </c>
      <c r="B13" s="13" t="s">
        <v>29</v>
      </c>
      <c r="C13" s="1">
        <v>7014</v>
      </c>
      <c r="D13" s="4">
        <v>6676</v>
      </c>
      <c r="E13" s="135">
        <f t="shared" si="0"/>
        <v>95.2</v>
      </c>
      <c r="F13" s="4">
        <v>6674</v>
      </c>
      <c r="G13" s="135">
        <f t="shared" si="1"/>
        <v>95.2</v>
      </c>
      <c r="H13" s="4">
        <v>6494</v>
      </c>
      <c r="I13" s="135">
        <f t="shared" si="2"/>
        <v>92.6</v>
      </c>
      <c r="J13" s="4">
        <v>6678</v>
      </c>
      <c r="K13" s="135">
        <f t="shared" si="3"/>
        <v>95.2</v>
      </c>
      <c r="L13" s="4">
        <v>6674</v>
      </c>
      <c r="M13" s="135">
        <f t="shared" si="4"/>
        <v>95.2</v>
      </c>
      <c r="N13" s="4">
        <v>6526</v>
      </c>
      <c r="O13" s="135">
        <f t="shared" si="5"/>
        <v>93</v>
      </c>
      <c r="P13" s="8">
        <v>7022</v>
      </c>
      <c r="Q13" s="4">
        <v>6610</v>
      </c>
      <c r="R13" s="135">
        <f t="shared" si="6"/>
        <v>94.1</v>
      </c>
      <c r="S13" s="4">
        <v>6606</v>
      </c>
      <c r="T13" s="135">
        <f t="shared" si="7"/>
        <v>94.1</v>
      </c>
      <c r="U13" s="9">
        <v>7982</v>
      </c>
      <c r="V13" s="6">
        <f t="shared" si="8"/>
        <v>113.8</v>
      </c>
      <c r="W13" s="4">
        <v>5044</v>
      </c>
      <c r="X13" s="2">
        <f t="shared" si="9"/>
        <v>72.2</v>
      </c>
      <c r="Y13" s="4">
        <v>254</v>
      </c>
      <c r="Z13" s="4">
        <v>557</v>
      </c>
      <c r="AA13" s="4">
        <v>6690</v>
      </c>
      <c r="AB13" s="135">
        <f t="shared" si="10"/>
        <v>95.3</v>
      </c>
      <c r="AC13" s="4">
        <v>6692</v>
      </c>
      <c r="AD13" s="135">
        <f t="shared" si="11"/>
        <v>95.3</v>
      </c>
      <c r="AE13" s="4">
        <v>6685</v>
      </c>
      <c r="AF13" s="135">
        <f t="shared" si="12"/>
        <v>95.1</v>
      </c>
      <c r="AG13" s="4">
        <v>6685</v>
      </c>
      <c r="AH13" s="135">
        <f t="shared" si="13"/>
        <v>95.1</v>
      </c>
      <c r="AI13" s="4">
        <v>6525</v>
      </c>
      <c r="AJ13" s="135">
        <f t="shared" si="14"/>
        <v>92.8</v>
      </c>
      <c r="AK13" s="180">
        <v>8168</v>
      </c>
      <c r="AL13" s="147">
        <v>7033</v>
      </c>
      <c r="AN13" s="1">
        <v>6989</v>
      </c>
    </row>
    <row r="14" spans="1:40" ht="15.75" customHeight="1">
      <c r="A14" s="148" t="s">
        <v>96</v>
      </c>
      <c r="B14" s="7" t="s">
        <v>30</v>
      </c>
      <c r="C14" s="1">
        <v>25948</v>
      </c>
      <c r="D14" s="4">
        <v>23686</v>
      </c>
      <c r="E14" s="135">
        <f t="shared" si="0"/>
        <v>91.3</v>
      </c>
      <c r="F14" s="4">
        <v>23620</v>
      </c>
      <c r="G14" s="135">
        <f t="shared" si="1"/>
        <v>91</v>
      </c>
      <c r="H14" s="4">
        <v>19783</v>
      </c>
      <c r="I14" s="135">
        <f t="shared" si="2"/>
        <v>76.2</v>
      </c>
      <c r="J14" s="4">
        <v>23620</v>
      </c>
      <c r="K14" s="135">
        <f t="shared" si="3"/>
        <v>91</v>
      </c>
      <c r="L14" s="4">
        <v>23620</v>
      </c>
      <c r="M14" s="135">
        <f t="shared" si="4"/>
        <v>91</v>
      </c>
      <c r="N14" s="4">
        <v>20332</v>
      </c>
      <c r="O14" s="135">
        <f t="shared" si="5"/>
        <v>78.400000000000006</v>
      </c>
      <c r="P14" s="8">
        <v>25949</v>
      </c>
      <c r="Q14" s="4">
        <v>23064</v>
      </c>
      <c r="R14" s="135">
        <f t="shared" si="6"/>
        <v>88.9</v>
      </c>
      <c r="S14" s="4">
        <v>20996</v>
      </c>
      <c r="T14" s="135">
        <f t="shared" si="7"/>
        <v>80.900000000000006</v>
      </c>
      <c r="U14" s="9">
        <v>20228</v>
      </c>
      <c r="V14" s="6">
        <f t="shared" si="8"/>
        <v>78</v>
      </c>
      <c r="W14" s="4">
        <v>12006</v>
      </c>
      <c r="X14" s="2">
        <f t="shared" si="9"/>
        <v>46.2</v>
      </c>
      <c r="Y14" s="4">
        <v>505</v>
      </c>
      <c r="Z14" s="4">
        <v>160</v>
      </c>
      <c r="AA14" s="4">
        <v>21653</v>
      </c>
      <c r="AB14" s="135">
        <f t="shared" si="10"/>
        <v>83.4</v>
      </c>
      <c r="AC14" s="4">
        <v>21723</v>
      </c>
      <c r="AD14" s="135">
        <f t="shared" si="11"/>
        <v>83.7</v>
      </c>
      <c r="AE14" s="4">
        <v>20560</v>
      </c>
      <c r="AF14" s="135">
        <f t="shared" si="12"/>
        <v>78.599999999999994</v>
      </c>
      <c r="AG14" s="4">
        <v>20853</v>
      </c>
      <c r="AH14" s="135">
        <f t="shared" si="13"/>
        <v>79.7</v>
      </c>
      <c r="AI14" s="4">
        <v>19802</v>
      </c>
      <c r="AJ14" s="135">
        <f t="shared" si="14"/>
        <v>75.7</v>
      </c>
      <c r="AK14" s="180">
        <v>12153</v>
      </c>
      <c r="AL14" s="147">
        <v>26163</v>
      </c>
      <c r="AN14" s="1">
        <v>25992</v>
      </c>
    </row>
    <row r="15" spans="1:40" ht="15.75" customHeight="1">
      <c r="A15" s="148" t="s">
        <v>97</v>
      </c>
      <c r="B15" s="7" t="s">
        <v>31</v>
      </c>
      <c r="C15" s="1">
        <v>22159</v>
      </c>
      <c r="D15" s="4">
        <v>23497</v>
      </c>
      <c r="E15" s="135">
        <f t="shared" si="0"/>
        <v>106</v>
      </c>
      <c r="F15" s="4">
        <v>23736</v>
      </c>
      <c r="G15" s="135">
        <f t="shared" si="1"/>
        <v>107.1</v>
      </c>
      <c r="H15" s="4">
        <v>23211</v>
      </c>
      <c r="I15" s="135">
        <f t="shared" si="2"/>
        <v>104.7</v>
      </c>
      <c r="J15" s="4">
        <v>23863</v>
      </c>
      <c r="K15" s="135">
        <f t="shared" si="3"/>
        <v>107.7</v>
      </c>
      <c r="L15" s="4">
        <v>23863</v>
      </c>
      <c r="M15" s="135">
        <f t="shared" si="4"/>
        <v>107.7</v>
      </c>
      <c r="N15" s="4">
        <v>20797</v>
      </c>
      <c r="O15" s="135">
        <f t="shared" si="5"/>
        <v>93.9</v>
      </c>
      <c r="P15" s="8">
        <v>22151</v>
      </c>
      <c r="Q15" s="4">
        <v>23518</v>
      </c>
      <c r="R15" s="135">
        <f t="shared" si="6"/>
        <v>106.2</v>
      </c>
      <c r="S15" s="4">
        <v>23178</v>
      </c>
      <c r="T15" s="135">
        <f t="shared" si="7"/>
        <v>104.6</v>
      </c>
      <c r="U15" s="9">
        <v>7932</v>
      </c>
      <c r="V15" s="6">
        <f t="shared" si="8"/>
        <v>35.799999999999997</v>
      </c>
      <c r="W15" s="4">
        <v>3371</v>
      </c>
      <c r="X15" s="2">
        <f t="shared" si="9"/>
        <v>15.2</v>
      </c>
      <c r="Y15" s="4">
        <v>605</v>
      </c>
      <c r="Z15" s="4">
        <v>1621</v>
      </c>
      <c r="AA15" s="4">
        <v>24615</v>
      </c>
      <c r="AB15" s="135">
        <f t="shared" si="10"/>
        <v>111.1</v>
      </c>
      <c r="AC15" s="4">
        <v>25007</v>
      </c>
      <c r="AD15" s="135">
        <f t="shared" si="11"/>
        <v>112.9</v>
      </c>
      <c r="AE15" s="4">
        <v>21430</v>
      </c>
      <c r="AF15" s="135">
        <f t="shared" si="12"/>
        <v>97</v>
      </c>
      <c r="AG15" s="4">
        <v>21734</v>
      </c>
      <c r="AH15" s="135">
        <f t="shared" si="13"/>
        <v>98.3</v>
      </c>
      <c r="AI15" s="4">
        <v>21042</v>
      </c>
      <c r="AJ15" s="135">
        <f t="shared" si="14"/>
        <v>95.2</v>
      </c>
      <c r="AK15" s="180">
        <v>11618</v>
      </c>
      <c r="AL15" s="147">
        <v>22101</v>
      </c>
      <c r="AN15" s="1">
        <v>22229</v>
      </c>
    </row>
    <row r="16" spans="1:40" ht="15.75" customHeight="1">
      <c r="A16" s="148" t="s">
        <v>98</v>
      </c>
      <c r="B16" s="7" t="s">
        <v>99</v>
      </c>
      <c r="C16" s="1">
        <v>13552</v>
      </c>
      <c r="D16" s="4">
        <v>8794</v>
      </c>
      <c r="E16" s="135">
        <f t="shared" si="0"/>
        <v>64.900000000000006</v>
      </c>
      <c r="F16" s="4">
        <v>8794</v>
      </c>
      <c r="G16" s="135">
        <f t="shared" si="1"/>
        <v>64.900000000000006</v>
      </c>
      <c r="H16" s="4">
        <v>10086</v>
      </c>
      <c r="I16" s="135">
        <f t="shared" si="2"/>
        <v>74.400000000000006</v>
      </c>
      <c r="J16" s="4">
        <v>8797</v>
      </c>
      <c r="K16" s="135">
        <f t="shared" si="3"/>
        <v>64.900000000000006</v>
      </c>
      <c r="L16" s="4">
        <v>8795</v>
      </c>
      <c r="M16" s="135">
        <f t="shared" si="4"/>
        <v>64.900000000000006</v>
      </c>
      <c r="N16" s="4">
        <v>6046</v>
      </c>
      <c r="O16" s="135">
        <f t="shared" si="5"/>
        <v>44.6</v>
      </c>
      <c r="P16" s="8">
        <v>13403</v>
      </c>
      <c r="Q16" s="4">
        <v>10299</v>
      </c>
      <c r="R16" s="135">
        <f t="shared" si="6"/>
        <v>76.8</v>
      </c>
      <c r="S16" s="4">
        <v>10486</v>
      </c>
      <c r="T16" s="135">
        <f t="shared" si="7"/>
        <v>78.2</v>
      </c>
      <c r="U16" s="9">
        <v>7791</v>
      </c>
      <c r="V16" s="6">
        <f t="shared" si="8"/>
        <v>57.5</v>
      </c>
      <c r="W16" s="4">
        <v>5409</v>
      </c>
      <c r="X16" s="2">
        <f t="shared" si="9"/>
        <v>39.799999999999997</v>
      </c>
      <c r="Y16" s="4">
        <v>382</v>
      </c>
      <c r="Z16" s="4">
        <v>12</v>
      </c>
      <c r="AA16" s="4">
        <v>9326</v>
      </c>
      <c r="AB16" s="135">
        <f t="shared" si="10"/>
        <v>69.599999999999994</v>
      </c>
      <c r="AC16" s="4">
        <v>9347</v>
      </c>
      <c r="AD16" s="135">
        <f t="shared" si="11"/>
        <v>69.7</v>
      </c>
      <c r="AE16" s="4">
        <v>6791</v>
      </c>
      <c r="AF16" s="135">
        <f t="shared" si="12"/>
        <v>52.9</v>
      </c>
      <c r="AG16" s="4">
        <v>6800</v>
      </c>
      <c r="AH16" s="135">
        <f t="shared" si="13"/>
        <v>52.9</v>
      </c>
      <c r="AI16" s="4">
        <v>6599</v>
      </c>
      <c r="AJ16" s="135">
        <f t="shared" si="14"/>
        <v>51.4</v>
      </c>
      <c r="AK16" s="180">
        <v>3965</v>
      </c>
      <c r="AL16" s="147">
        <v>12845</v>
      </c>
      <c r="AN16" s="1">
        <v>13576</v>
      </c>
    </row>
    <row r="17" spans="1:40" ht="15.75" customHeight="1">
      <c r="A17" s="148" t="s">
        <v>100</v>
      </c>
      <c r="B17" s="7" t="s">
        <v>101</v>
      </c>
      <c r="C17" s="1">
        <v>35936</v>
      </c>
      <c r="D17" s="4">
        <v>34982</v>
      </c>
      <c r="E17" s="135">
        <f t="shared" si="0"/>
        <v>97.3</v>
      </c>
      <c r="F17" s="4">
        <v>35000</v>
      </c>
      <c r="G17" s="135">
        <f t="shared" si="1"/>
        <v>97.4</v>
      </c>
      <c r="H17" s="4">
        <v>33363</v>
      </c>
      <c r="I17" s="135">
        <f t="shared" si="2"/>
        <v>92.8</v>
      </c>
      <c r="J17" s="4">
        <v>35000</v>
      </c>
      <c r="K17" s="135">
        <f t="shared" si="3"/>
        <v>97.4</v>
      </c>
      <c r="L17" s="4">
        <v>35000</v>
      </c>
      <c r="M17" s="135">
        <f t="shared" si="4"/>
        <v>97.4</v>
      </c>
      <c r="N17" s="4">
        <v>25928</v>
      </c>
      <c r="O17" s="135">
        <f t="shared" si="5"/>
        <v>72.2</v>
      </c>
      <c r="P17" s="8">
        <v>35665</v>
      </c>
      <c r="Q17" s="4">
        <v>31881</v>
      </c>
      <c r="R17" s="135">
        <f t="shared" si="6"/>
        <v>89.4</v>
      </c>
      <c r="S17" s="4">
        <v>28442</v>
      </c>
      <c r="T17" s="135">
        <f t="shared" si="7"/>
        <v>79.7</v>
      </c>
      <c r="U17" s="9">
        <v>10056</v>
      </c>
      <c r="V17" s="6">
        <f t="shared" si="8"/>
        <v>28</v>
      </c>
      <c r="W17" s="4">
        <v>517</v>
      </c>
      <c r="X17" s="2">
        <f t="shared" si="9"/>
        <v>1.4</v>
      </c>
      <c r="Y17" s="4">
        <v>123</v>
      </c>
      <c r="Z17" s="4">
        <v>160</v>
      </c>
      <c r="AA17" s="4">
        <v>30040</v>
      </c>
      <c r="AB17" s="135">
        <f t="shared" si="10"/>
        <v>84.2</v>
      </c>
      <c r="AC17" s="4">
        <v>29953</v>
      </c>
      <c r="AD17" s="135">
        <f t="shared" si="11"/>
        <v>84</v>
      </c>
      <c r="AE17" s="4">
        <v>28578</v>
      </c>
      <c r="AF17" s="135">
        <f t="shared" si="12"/>
        <v>82.8</v>
      </c>
      <c r="AG17" s="4">
        <v>28477</v>
      </c>
      <c r="AH17" s="135">
        <f t="shared" si="13"/>
        <v>82.5</v>
      </c>
      <c r="AI17" s="4">
        <v>26092</v>
      </c>
      <c r="AJ17" s="135">
        <f t="shared" si="14"/>
        <v>75.599999999999994</v>
      </c>
      <c r="AK17" s="180">
        <v>13206</v>
      </c>
      <c r="AL17" s="147">
        <v>34529</v>
      </c>
      <c r="AN17" s="1">
        <v>35799</v>
      </c>
    </row>
    <row r="18" spans="1:40" ht="15.75" customHeight="1">
      <c r="A18" s="150" t="s">
        <v>100</v>
      </c>
      <c r="B18" s="13" t="s">
        <v>34</v>
      </c>
      <c r="C18" s="1">
        <v>46570</v>
      </c>
      <c r="D18" s="4">
        <v>35807</v>
      </c>
      <c r="E18" s="135">
        <f t="shared" si="0"/>
        <v>76.900000000000006</v>
      </c>
      <c r="F18" s="4">
        <v>35732</v>
      </c>
      <c r="G18" s="135">
        <f t="shared" si="1"/>
        <v>76.7</v>
      </c>
      <c r="H18" s="4">
        <v>25458</v>
      </c>
      <c r="I18" s="135">
        <f t="shared" si="2"/>
        <v>54.7</v>
      </c>
      <c r="J18" s="4">
        <v>35766</v>
      </c>
      <c r="K18" s="135">
        <f t="shared" si="3"/>
        <v>76.8</v>
      </c>
      <c r="L18" s="4">
        <v>35732</v>
      </c>
      <c r="M18" s="135">
        <f t="shared" si="4"/>
        <v>76.7</v>
      </c>
      <c r="N18" s="4">
        <v>29544</v>
      </c>
      <c r="O18" s="135">
        <f t="shared" si="5"/>
        <v>63.4</v>
      </c>
      <c r="P18" s="8">
        <v>46414</v>
      </c>
      <c r="Q18" s="4">
        <v>34709</v>
      </c>
      <c r="R18" s="135">
        <f t="shared" si="6"/>
        <v>74.8</v>
      </c>
      <c r="S18" s="4">
        <v>32198</v>
      </c>
      <c r="T18" s="135">
        <f t="shared" si="7"/>
        <v>69.400000000000006</v>
      </c>
      <c r="U18" s="9">
        <v>3724</v>
      </c>
      <c r="V18" s="6">
        <f t="shared" si="8"/>
        <v>8</v>
      </c>
      <c r="W18" s="4">
        <v>1049</v>
      </c>
      <c r="X18" s="2">
        <f t="shared" si="9"/>
        <v>2.2999999999999998</v>
      </c>
      <c r="Y18" s="4">
        <v>254</v>
      </c>
      <c r="Z18" s="4">
        <v>87</v>
      </c>
      <c r="AA18" s="4">
        <v>38296</v>
      </c>
      <c r="AB18" s="135">
        <f t="shared" si="10"/>
        <v>82.5</v>
      </c>
      <c r="AC18" s="4">
        <v>37977</v>
      </c>
      <c r="AD18" s="135">
        <f t="shared" si="11"/>
        <v>81.8</v>
      </c>
      <c r="AE18" s="4">
        <v>36755</v>
      </c>
      <c r="AF18" s="135">
        <f t="shared" si="12"/>
        <v>79.599999999999994</v>
      </c>
      <c r="AG18" s="4">
        <v>36165</v>
      </c>
      <c r="AH18" s="135">
        <f t="shared" si="13"/>
        <v>78.3</v>
      </c>
      <c r="AI18" s="4">
        <v>35125</v>
      </c>
      <c r="AJ18" s="135">
        <f t="shared" si="14"/>
        <v>76.099999999999994</v>
      </c>
      <c r="AK18" s="180">
        <v>29537</v>
      </c>
      <c r="AL18" s="147">
        <v>46179</v>
      </c>
      <c r="AN18" s="1">
        <v>46254</v>
      </c>
    </row>
    <row r="19" spans="1:40" ht="15.75" customHeight="1">
      <c r="A19" s="148" t="s">
        <v>102</v>
      </c>
      <c r="B19" s="7" t="s">
        <v>103</v>
      </c>
      <c r="C19" s="1">
        <v>1052</v>
      </c>
      <c r="D19" s="4">
        <v>546</v>
      </c>
      <c r="E19" s="135">
        <f t="shared" si="0"/>
        <v>51.9</v>
      </c>
      <c r="F19" s="4">
        <v>545</v>
      </c>
      <c r="G19" s="135">
        <f t="shared" si="1"/>
        <v>51.8</v>
      </c>
      <c r="H19" s="4">
        <v>803</v>
      </c>
      <c r="I19" s="135">
        <f t="shared" si="2"/>
        <v>76.3</v>
      </c>
      <c r="J19" s="4">
        <v>546</v>
      </c>
      <c r="K19" s="135">
        <f t="shared" si="3"/>
        <v>51.9</v>
      </c>
      <c r="L19" s="4">
        <v>546</v>
      </c>
      <c r="M19" s="135">
        <f t="shared" si="4"/>
        <v>51.9</v>
      </c>
      <c r="N19" s="4">
        <v>483</v>
      </c>
      <c r="O19" s="135">
        <f t="shared" si="5"/>
        <v>45.9</v>
      </c>
      <c r="P19" s="8">
        <v>1018</v>
      </c>
      <c r="Q19" s="4">
        <v>720</v>
      </c>
      <c r="R19" s="135">
        <f t="shared" si="6"/>
        <v>70.7</v>
      </c>
      <c r="S19" s="4">
        <v>713</v>
      </c>
      <c r="T19" s="135">
        <f t="shared" si="7"/>
        <v>70</v>
      </c>
      <c r="U19" s="9">
        <v>643</v>
      </c>
      <c r="V19" s="6">
        <f t="shared" si="8"/>
        <v>61.1</v>
      </c>
      <c r="W19" s="4">
        <v>375</v>
      </c>
      <c r="X19" s="2">
        <f t="shared" si="9"/>
        <v>37.4</v>
      </c>
      <c r="Y19" s="4">
        <v>65</v>
      </c>
      <c r="Z19" s="4">
        <v>99</v>
      </c>
      <c r="AA19" s="4">
        <v>825</v>
      </c>
      <c r="AB19" s="135">
        <f t="shared" si="10"/>
        <v>81</v>
      </c>
      <c r="AC19" s="4">
        <v>825</v>
      </c>
      <c r="AD19" s="135">
        <f t="shared" si="11"/>
        <v>81</v>
      </c>
      <c r="AE19" s="4">
        <v>632</v>
      </c>
      <c r="AF19" s="135">
        <f t="shared" si="12"/>
        <v>70.3</v>
      </c>
      <c r="AG19" s="4">
        <v>633</v>
      </c>
      <c r="AH19" s="135">
        <f t="shared" si="13"/>
        <v>70.400000000000006</v>
      </c>
      <c r="AI19" s="4">
        <v>617</v>
      </c>
      <c r="AJ19" s="135">
        <f t="shared" si="14"/>
        <v>68.599999999999994</v>
      </c>
      <c r="AK19" s="180">
        <v>666</v>
      </c>
      <c r="AL19" s="147">
        <v>899</v>
      </c>
      <c r="AN19" s="1">
        <v>1003</v>
      </c>
    </row>
    <row r="20" spans="1:40" ht="15.75" customHeight="1">
      <c r="A20" s="150" t="s">
        <v>104</v>
      </c>
      <c r="B20" s="13" t="s">
        <v>36</v>
      </c>
      <c r="C20" s="1">
        <v>2808</v>
      </c>
      <c r="D20" s="4">
        <v>1837</v>
      </c>
      <c r="E20" s="135">
        <f t="shared" si="0"/>
        <v>65.400000000000006</v>
      </c>
      <c r="F20" s="4">
        <v>1837</v>
      </c>
      <c r="G20" s="135">
        <f t="shared" si="1"/>
        <v>65.400000000000006</v>
      </c>
      <c r="H20" s="4">
        <v>1483</v>
      </c>
      <c r="I20" s="135">
        <f t="shared" si="2"/>
        <v>52.8</v>
      </c>
      <c r="J20" s="4">
        <v>1837</v>
      </c>
      <c r="K20" s="135">
        <f t="shared" si="3"/>
        <v>65.400000000000006</v>
      </c>
      <c r="L20" s="4">
        <v>1837</v>
      </c>
      <c r="M20" s="135">
        <f t="shared" si="4"/>
        <v>65.400000000000006</v>
      </c>
      <c r="N20" s="4">
        <v>1563</v>
      </c>
      <c r="O20" s="135">
        <f t="shared" si="5"/>
        <v>55.7</v>
      </c>
      <c r="P20" s="8">
        <v>2802</v>
      </c>
      <c r="Q20" s="4">
        <v>1684</v>
      </c>
      <c r="R20" s="135">
        <f t="shared" si="6"/>
        <v>60.1</v>
      </c>
      <c r="S20" s="4">
        <v>1683</v>
      </c>
      <c r="T20" s="135">
        <f t="shared" si="7"/>
        <v>60.1</v>
      </c>
      <c r="U20" s="9">
        <v>1580</v>
      </c>
      <c r="V20" s="6">
        <f t="shared" si="8"/>
        <v>56.3</v>
      </c>
      <c r="W20" s="4">
        <v>1500</v>
      </c>
      <c r="X20" s="2">
        <f t="shared" si="9"/>
        <v>53.6</v>
      </c>
      <c r="Y20" s="4">
        <v>10</v>
      </c>
      <c r="Z20" s="4">
        <v>2</v>
      </c>
      <c r="AA20" s="4">
        <v>1737</v>
      </c>
      <c r="AB20" s="135">
        <f t="shared" si="10"/>
        <v>62</v>
      </c>
      <c r="AC20" s="4">
        <v>1738</v>
      </c>
      <c r="AD20" s="135">
        <f t="shared" si="11"/>
        <v>62</v>
      </c>
      <c r="AE20" s="4">
        <v>1618</v>
      </c>
      <c r="AF20" s="135">
        <f t="shared" si="12"/>
        <v>57.6</v>
      </c>
      <c r="AG20" s="4">
        <v>1618</v>
      </c>
      <c r="AH20" s="135">
        <f t="shared" si="13"/>
        <v>57.6</v>
      </c>
      <c r="AI20" s="4">
        <v>1611</v>
      </c>
      <c r="AJ20" s="135">
        <f t="shared" si="14"/>
        <v>57.4</v>
      </c>
      <c r="AK20" s="180">
        <v>425</v>
      </c>
      <c r="AL20" s="147">
        <v>2807</v>
      </c>
      <c r="AN20" s="1">
        <v>2798</v>
      </c>
    </row>
    <row r="21" spans="1:40" ht="15.75" customHeight="1">
      <c r="A21" s="150" t="s">
        <v>105</v>
      </c>
      <c r="B21" s="13" t="s">
        <v>37</v>
      </c>
      <c r="C21" s="1">
        <v>22565</v>
      </c>
      <c r="D21" s="4">
        <v>20328</v>
      </c>
      <c r="E21" s="135">
        <f t="shared" si="0"/>
        <v>90.1</v>
      </c>
      <c r="F21" s="4">
        <v>20317</v>
      </c>
      <c r="G21" s="135">
        <f t="shared" si="1"/>
        <v>90</v>
      </c>
      <c r="H21" s="4">
        <v>19597</v>
      </c>
      <c r="I21" s="135">
        <f t="shared" si="2"/>
        <v>86.8</v>
      </c>
      <c r="J21" s="4">
        <v>20305</v>
      </c>
      <c r="K21" s="135">
        <f t="shared" si="3"/>
        <v>90</v>
      </c>
      <c r="L21" s="4">
        <v>20314</v>
      </c>
      <c r="M21" s="135">
        <f t="shared" si="4"/>
        <v>90</v>
      </c>
      <c r="N21" s="4">
        <v>17285</v>
      </c>
      <c r="O21" s="135">
        <f t="shared" si="5"/>
        <v>76.599999999999994</v>
      </c>
      <c r="P21" s="8">
        <v>22500</v>
      </c>
      <c r="Q21" s="4">
        <v>20268</v>
      </c>
      <c r="R21" s="135">
        <f t="shared" si="6"/>
        <v>90.1</v>
      </c>
      <c r="S21" s="4">
        <v>19611</v>
      </c>
      <c r="T21" s="135">
        <f t="shared" si="7"/>
        <v>87.2</v>
      </c>
      <c r="U21" s="9">
        <v>1554</v>
      </c>
      <c r="V21" s="6">
        <f t="shared" si="8"/>
        <v>6.9</v>
      </c>
      <c r="W21" s="4">
        <v>884</v>
      </c>
      <c r="X21" s="2">
        <f t="shared" si="9"/>
        <v>3.9</v>
      </c>
      <c r="Y21" s="4">
        <v>393</v>
      </c>
      <c r="Z21" s="4">
        <v>140</v>
      </c>
      <c r="AA21" s="4">
        <v>18166</v>
      </c>
      <c r="AB21" s="135">
        <f t="shared" si="10"/>
        <v>80.7</v>
      </c>
      <c r="AC21" s="4">
        <v>18167</v>
      </c>
      <c r="AD21" s="135">
        <f t="shared" si="11"/>
        <v>80.7</v>
      </c>
      <c r="AE21" s="4">
        <v>18294</v>
      </c>
      <c r="AF21" s="135">
        <f t="shared" si="12"/>
        <v>81.599999999999994</v>
      </c>
      <c r="AG21" s="4">
        <v>18240</v>
      </c>
      <c r="AH21" s="135">
        <f t="shared" si="13"/>
        <v>81.400000000000006</v>
      </c>
      <c r="AI21" s="4">
        <v>18165</v>
      </c>
      <c r="AJ21" s="135">
        <f t="shared" si="14"/>
        <v>81.099999999999994</v>
      </c>
      <c r="AK21" s="180">
        <v>12758</v>
      </c>
      <c r="AL21" s="147">
        <v>22411</v>
      </c>
      <c r="AN21" s="1">
        <v>22569</v>
      </c>
    </row>
    <row r="22" spans="1:40" ht="15.75" customHeight="1">
      <c r="A22" s="150" t="s">
        <v>106</v>
      </c>
      <c r="B22" s="13" t="s">
        <v>38</v>
      </c>
      <c r="C22" s="1">
        <v>24048</v>
      </c>
      <c r="D22" s="4">
        <v>20969</v>
      </c>
      <c r="E22" s="135">
        <f t="shared" si="0"/>
        <v>87.2</v>
      </c>
      <c r="F22" s="4">
        <v>20967</v>
      </c>
      <c r="G22" s="135">
        <f t="shared" si="1"/>
        <v>87.2</v>
      </c>
      <c r="H22" s="4">
        <v>15244</v>
      </c>
      <c r="I22" s="135">
        <f t="shared" si="2"/>
        <v>63.4</v>
      </c>
      <c r="J22" s="4">
        <v>20957</v>
      </c>
      <c r="K22" s="135">
        <f t="shared" si="3"/>
        <v>87.1</v>
      </c>
      <c r="L22" s="4">
        <v>20963</v>
      </c>
      <c r="M22" s="135">
        <f t="shared" si="4"/>
        <v>87.2</v>
      </c>
      <c r="N22" s="4">
        <v>10284</v>
      </c>
      <c r="O22" s="135">
        <f t="shared" si="5"/>
        <v>42.8</v>
      </c>
      <c r="P22" s="8">
        <v>23452</v>
      </c>
      <c r="Q22" s="4">
        <v>17162</v>
      </c>
      <c r="R22" s="135">
        <f t="shared" si="6"/>
        <v>73.2</v>
      </c>
      <c r="S22" s="4">
        <v>13962</v>
      </c>
      <c r="T22" s="135">
        <f t="shared" si="7"/>
        <v>59.5</v>
      </c>
      <c r="U22" s="9">
        <v>1487</v>
      </c>
      <c r="V22" s="6">
        <f t="shared" si="8"/>
        <v>6.2</v>
      </c>
      <c r="W22" s="4">
        <v>1053</v>
      </c>
      <c r="X22" s="2">
        <f t="shared" si="9"/>
        <v>4.5</v>
      </c>
      <c r="Y22" s="4">
        <v>297</v>
      </c>
      <c r="Z22" s="4">
        <v>279</v>
      </c>
      <c r="AA22" s="4">
        <v>16101</v>
      </c>
      <c r="AB22" s="135">
        <f t="shared" si="10"/>
        <v>68.7</v>
      </c>
      <c r="AC22" s="4">
        <v>16005</v>
      </c>
      <c r="AD22" s="135">
        <f t="shared" si="11"/>
        <v>68.2</v>
      </c>
      <c r="AE22" s="4">
        <v>12282</v>
      </c>
      <c r="AF22" s="135">
        <f t="shared" si="12"/>
        <v>57.8</v>
      </c>
      <c r="AG22" s="4">
        <v>12185</v>
      </c>
      <c r="AH22" s="135">
        <f t="shared" si="13"/>
        <v>57.4</v>
      </c>
      <c r="AI22" s="4">
        <v>10338</v>
      </c>
      <c r="AJ22" s="135">
        <f t="shared" si="14"/>
        <v>48.7</v>
      </c>
      <c r="AK22" s="180">
        <v>3778</v>
      </c>
      <c r="AL22" s="147">
        <v>21237</v>
      </c>
      <c r="AN22" s="1">
        <v>23492</v>
      </c>
    </row>
    <row r="23" spans="1:40" ht="15.75" customHeight="1">
      <c r="A23" s="150" t="s">
        <v>107</v>
      </c>
      <c r="B23" s="13" t="s">
        <v>39</v>
      </c>
      <c r="C23" s="1">
        <v>18477</v>
      </c>
      <c r="D23" s="4">
        <v>17622</v>
      </c>
      <c r="E23" s="135">
        <f t="shared" si="0"/>
        <v>95.4</v>
      </c>
      <c r="F23" s="4">
        <v>17616</v>
      </c>
      <c r="G23" s="135">
        <f t="shared" si="1"/>
        <v>95.3</v>
      </c>
      <c r="H23" s="4">
        <v>15613</v>
      </c>
      <c r="I23" s="135">
        <f t="shared" si="2"/>
        <v>84.5</v>
      </c>
      <c r="J23" s="4">
        <v>17616</v>
      </c>
      <c r="K23" s="135">
        <f t="shared" si="3"/>
        <v>95.3</v>
      </c>
      <c r="L23" s="4">
        <v>17616</v>
      </c>
      <c r="M23" s="135">
        <f t="shared" si="4"/>
        <v>95.3</v>
      </c>
      <c r="N23" s="4">
        <v>14960</v>
      </c>
      <c r="O23" s="135">
        <f t="shared" si="5"/>
        <v>81</v>
      </c>
      <c r="P23" s="8">
        <v>18560</v>
      </c>
      <c r="Q23" s="4">
        <v>17753</v>
      </c>
      <c r="R23" s="135">
        <f t="shared" si="6"/>
        <v>95.7</v>
      </c>
      <c r="S23" s="4">
        <v>17780</v>
      </c>
      <c r="T23" s="135">
        <f t="shared" si="7"/>
        <v>95.8</v>
      </c>
      <c r="U23" s="9">
        <v>9116</v>
      </c>
      <c r="V23" s="6">
        <f t="shared" si="8"/>
        <v>49.3</v>
      </c>
      <c r="W23" s="4">
        <v>3117</v>
      </c>
      <c r="X23" s="2">
        <f t="shared" si="9"/>
        <v>16.8</v>
      </c>
      <c r="Y23" s="4">
        <v>88</v>
      </c>
      <c r="Z23" s="4">
        <v>840</v>
      </c>
      <c r="AA23" s="4">
        <v>15706</v>
      </c>
      <c r="AB23" s="135">
        <f t="shared" si="10"/>
        <v>84.6</v>
      </c>
      <c r="AC23" s="4">
        <v>15939</v>
      </c>
      <c r="AD23" s="135">
        <f t="shared" si="11"/>
        <v>85.9</v>
      </c>
      <c r="AE23" s="4">
        <v>14608</v>
      </c>
      <c r="AF23" s="135">
        <f t="shared" si="12"/>
        <v>77.599999999999994</v>
      </c>
      <c r="AG23" s="4">
        <v>14902</v>
      </c>
      <c r="AH23" s="135">
        <f t="shared" si="13"/>
        <v>79.099999999999994</v>
      </c>
      <c r="AI23" s="4">
        <v>14136</v>
      </c>
      <c r="AJ23" s="135">
        <f t="shared" si="14"/>
        <v>75.099999999999994</v>
      </c>
      <c r="AK23" s="180">
        <v>16682</v>
      </c>
      <c r="AL23" s="147">
        <v>18833</v>
      </c>
      <c r="AN23" s="1">
        <v>18510</v>
      </c>
    </row>
    <row r="24" spans="1:40" ht="15.75" customHeight="1">
      <c r="A24" s="149" t="s">
        <v>108</v>
      </c>
      <c r="B24" s="10" t="s">
        <v>40</v>
      </c>
      <c r="C24" s="1">
        <v>9064</v>
      </c>
      <c r="D24" s="4">
        <v>7774</v>
      </c>
      <c r="E24" s="135">
        <f t="shared" si="0"/>
        <v>85.8</v>
      </c>
      <c r="F24" s="4">
        <v>7772</v>
      </c>
      <c r="G24" s="135">
        <f t="shared" si="1"/>
        <v>85.7</v>
      </c>
      <c r="H24" s="4">
        <v>9361</v>
      </c>
      <c r="I24" s="135">
        <f t="shared" si="2"/>
        <v>103.3</v>
      </c>
      <c r="J24" s="4">
        <v>7772</v>
      </c>
      <c r="K24" s="135">
        <f t="shared" si="3"/>
        <v>85.7</v>
      </c>
      <c r="L24" s="4">
        <v>7756</v>
      </c>
      <c r="M24" s="135">
        <f t="shared" si="4"/>
        <v>85.6</v>
      </c>
      <c r="N24" s="4">
        <v>6628</v>
      </c>
      <c r="O24" s="135">
        <f t="shared" si="5"/>
        <v>73.099999999999994</v>
      </c>
      <c r="P24" s="8">
        <v>9254</v>
      </c>
      <c r="Q24" s="4">
        <v>6500</v>
      </c>
      <c r="R24" s="135">
        <f t="shared" si="6"/>
        <v>70.2</v>
      </c>
      <c r="S24" s="4">
        <v>7602</v>
      </c>
      <c r="T24" s="135">
        <f t="shared" si="7"/>
        <v>82.1</v>
      </c>
      <c r="U24" s="9">
        <v>2269</v>
      </c>
      <c r="V24" s="6">
        <f t="shared" si="8"/>
        <v>25</v>
      </c>
      <c r="W24" s="4">
        <v>332</v>
      </c>
      <c r="X24" s="2">
        <f t="shared" si="9"/>
        <v>3.6</v>
      </c>
      <c r="Y24" s="4">
        <v>3</v>
      </c>
      <c r="Z24" s="4">
        <v>3</v>
      </c>
      <c r="AA24" s="4">
        <v>7039</v>
      </c>
      <c r="AB24" s="135">
        <f t="shared" si="10"/>
        <v>76.099999999999994</v>
      </c>
      <c r="AC24" s="4">
        <v>6949</v>
      </c>
      <c r="AD24" s="135">
        <f t="shared" si="11"/>
        <v>75.099999999999994</v>
      </c>
      <c r="AE24" s="4">
        <v>6219</v>
      </c>
      <c r="AF24" s="135">
        <f t="shared" si="12"/>
        <v>64.599999999999994</v>
      </c>
      <c r="AG24" s="4">
        <v>6166</v>
      </c>
      <c r="AH24" s="135">
        <f t="shared" si="13"/>
        <v>64</v>
      </c>
      <c r="AI24" s="4">
        <v>5447</v>
      </c>
      <c r="AJ24" s="135">
        <f t="shared" si="14"/>
        <v>56.5</v>
      </c>
      <c r="AK24" s="180">
        <v>1268</v>
      </c>
      <c r="AL24" s="147">
        <v>9634</v>
      </c>
      <c r="AN24" s="1">
        <v>9185</v>
      </c>
    </row>
    <row r="25" spans="1:40" ht="15.75" customHeight="1">
      <c r="A25" s="148" t="s">
        <v>109</v>
      </c>
      <c r="B25" s="7" t="s">
        <v>41</v>
      </c>
      <c r="C25" s="1">
        <v>18081</v>
      </c>
      <c r="D25" s="4">
        <v>17326</v>
      </c>
      <c r="E25" s="135">
        <f t="shared" si="0"/>
        <v>95.8</v>
      </c>
      <c r="F25" s="4">
        <v>17314</v>
      </c>
      <c r="G25" s="135">
        <f t="shared" si="1"/>
        <v>95.8</v>
      </c>
      <c r="H25" s="4">
        <v>16275</v>
      </c>
      <c r="I25" s="135">
        <f t="shared" si="2"/>
        <v>90</v>
      </c>
      <c r="J25" s="4">
        <v>17321</v>
      </c>
      <c r="K25" s="135">
        <f t="shared" si="3"/>
        <v>95.8</v>
      </c>
      <c r="L25" s="4">
        <v>17314</v>
      </c>
      <c r="M25" s="135">
        <f t="shared" si="4"/>
        <v>95.8</v>
      </c>
      <c r="N25" s="4">
        <v>15218</v>
      </c>
      <c r="O25" s="135">
        <f t="shared" si="5"/>
        <v>84.2</v>
      </c>
      <c r="P25" s="8">
        <v>18017</v>
      </c>
      <c r="Q25" s="4">
        <v>16503</v>
      </c>
      <c r="R25" s="135">
        <f t="shared" si="6"/>
        <v>91.6</v>
      </c>
      <c r="S25" s="4">
        <v>16094</v>
      </c>
      <c r="T25" s="135">
        <f t="shared" si="7"/>
        <v>89.3</v>
      </c>
      <c r="U25" s="9">
        <v>642</v>
      </c>
      <c r="V25" s="6">
        <f t="shared" si="8"/>
        <v>3.6</v>
      </c>
      <c r="W25" s="4">
        <v>573</v>
      </c>
      <c r="X25" s="2">
        <f t="shared" si="9"/>
        <v>3.2</v>
      </c>
      <c r="Y25" s="4">
        <v>14</v>
      </c>
      <c r="Z25" s="4">
        <v>5</v>
      </c>
      <c r="AA25" s="4">
        <v>17559</v>
      </c>
      <c r="AB25" s="135">
        <f t="shared" si="10"/>
        <v>97.5</v>
      </c>
      <c r="AC25" s="4">
        <v>17579</v>
      </c>
      <c r="AD25" s="135">
        <f t="shared" si="11"/>
        <v>97.6</v>
      </c>
      <c r="AE25" s="4">
        <v>16022</v>
      </c>
      <c r="AF25" s="135">
        <f t="shared" si="12"/>
        <v>90.4</v>
      </c>
      <c r="AG25" s="4">
        <v>16038</v>
      </c>
      <c r="AH25" s="135">
        <f t="shared" si="13"/>
        <v>90.5</v>
      </c>
      <c r="AI25" s="4">
        <v>15247</v>
      </c>
      <c r="AJ25" s="135">
        <f t="shared" si="14"/>
        <v>86</v>
      </c>
      <c r="AK25" s="180">
        <v>10534</v>
      </c>
      <c r="AL25" s="147">
        <v>17719</v>
      </c>
      <c r="AN25" s="1">
        <v>17919</v>
      </c>
    </row>
    <row r="26" spans="1:40" ht="15.75" customHeight="1">
      <c r="A26" s="150" t="s">
        <v>110</v>
      </c>
      <c r="B26" s="13" t="s">
        <v>42</v>
      </c>
      <c r="C26" s="1">
        <v>32602</v>
      </c>
      <c r="D26" s="4">
        <v>23676</v>
      </c>
      <c r="E26" s="135">
        <f t="shared" si="0"/>
        <v>72.599999999999994</v>
      </c>
      <c r="F26" s="4">
        <v>23663</v>
      </c>
      <c r="G26" s="135">
        <f t="shared" si="1"/>
        <v>72.599999999999994</v>
      </c>
      <c r="H26" s="4">
        <v>22658</v>
      </c>
      <c r="I26" s="135">
        <f t="shared" si="2"/>
        <v>69.5</v>
      </c>
      <c r="J26" s="4">
        <v>23591</v>
      </c>
      <c r="K26" s="135">
        <f t="shared" si="3"/>
        <v>72.400000000000006</v>
      </c>
      <c r="L26" s="4">
        <v>23560</v>
      </c>
      <c r="M26" s="135">
        <f t="shared" si="4"/>
        <v>72.3</v>
      </c>
      <c r="N26" s="4">
        <v>20107</v>
      </c>
      <c r="O26" s="135">
        <f t="shared" si="5"/>
        <v>61.7</v>
      </c>
      <c r="P26" s="8">
        <v>32703</v>
      </c>
      <c r="Q26" s="4">
        <v>23854</v>
      </c>
      <c r="R26" s="135">
        <f t="shared" si="6"/>
        <v>72.900000000000006</v>
      </c>
      <c r="S26" s="4">
        <v>22459</v>
      </c>
      <c r="T26" s="135">
        <f t="shared" si="7"/>
        <v>68.7</v>
      </c>
      <c r="U26" s="9">
        <v>16380</v>
      </c>
      <c r="V26" s="6">
        <f t="shared" si="8"/>
        <v>50.2</v>
      </c>
      <c r="W26" s="4">
        <v>2840</v>
      </c>
      <c r="X26" s="2">
        <f t="shared" si="9"/>
        <v>8.6999999999999993</v>
      </c>
      <c r="Y26" s="4">
        <v>418</v>
      </c>
      <c r="Z26" s="4">
        <v>268</v>
      </c>
      <c r="AA26" s="4">
        <v>24268</v>
      </c>
      <c r="AB26" s="135">
        <f t="shared" si="10"/>
        <v>74.2</v>
      </c>
      <c r="AC26" s="4">
        <v>24493</v>
      </c>
      <c r="AD26" s="135">
        <f t="shared" si="11"/>
        <v>74.900000000000006</v>
      </c>
      <c r="AE26" s="4">
        <v>24601</v>
      </c>
      <c r="AF26" s="135">
        <f t="shared" si="12"/>
        <v>74.400000000000006</v>
      </c>
      <c r="AG26" s="4">
        <v>24463</v>
      </c>
      <c r="AH26" s="135">
        <f t="shared" si="13"/>
        <v>74</v>
      </c>
      <c r="AI26" s="4">
        <v>24089</v>
      </c>
      <c r="AJ26" s="135">
        <f t="shared" si="14"/>
        <v>72.900000000000006</v>
      </c>
      <c r="AK26" s="180">
        <v>25144</v>
      </c>
      <c r="AL26" s="147">
        <v>33061</v>
      </c>
      <c r="AN26" s="1">
        <v>32725</v>
      </c>
    </row>
    <row r="27" spans="1:40" ht="15.75" customHeight="1">
      <c r="A27" s="151" t="s">
        <v>111</v>
      </c>
      <c r="B27" s="140" t="s">
        <v>43</v>
      </c>
      <c r="C27" s="1">
        <v>25449</v>
      </c>
      <c r="D27" s="4">
        <v>23156</v>
      </c>
      <c r="E27" s="135">
        <f t="shared" si="0"/>
        <v>91</v>
      </c>
      <c r="F27" s="4">
        <v>23164</v>
      </c>
      <c r="G27" s="135">
        <f t="shared" si="1"/>
        <v>91</v>
      </c>
      <c r="H27" s="4">
        <v>21824</v>
      </c>
      <c r="I27" s="135">
        <f t="shared" si="2"/>
        <v>85.8</v>
      </c>
      <c r="J27" s="4">
        <v>23166</v>
      </c>
      <c r="K27" s="135">
        <f t="shared" si="3"/>
        <v>91</v>
      </c>
      <c r="L27" s="4">
        <v>23164</v>
      </c>
      <c r="M27" s="135">
        <f t="shared" si="4"/>
        <v>91</v>
      </c>
      <c r="N27" s="4">
        <v>20778</v>
      </c>
      <c r="O27" s="135">
        <f t="shared" si="5"/>
        <v>81.599999999999994</v>
      </c>
      <c r="P27" s="8">
        <v>25404</v>
      </c>
      <c r="Q27" s="4">
        <v>24367</v>
      </c>
      <c r="R27" s="135">
        <f t="shared" si="6"/>
        <v>95.9</v>
      </c>
      <c r="S27" s="4">
        <v>24160</v>
      </c>
      <c r="T27" s="135">
        <f t="shared" si="7"/>
        <v>95.1</v>
      </c>
      <c r="U27" s="9">
        <v>9010</v>
      </c>
      <c r="V27" s="6">
        <f t="shared" si="8"/>
        <v>35.4</v>
      </c>
      <c r="W27" s="4">
        <v>938</v>
      </c>
      <c r="X27" s="2">
        <f t="shared" si="9"/>
        <v>3.7</v>
      </c>
      <c r="Y27" s="4">
        <v>121</v>
      </c>
      <c r="Z27" s="4">
        <v>8</v>
      </c>
      <c r="AA27" s="4">
        <v>23840</v>
      </c>
      <c r="AB27" s="135">
        <f t="shared" si="10"/>
        <v>93.8</v>
      </c>
      <c r="AC27" s="4">
        <v>23859</v>
      </c>
      <c r="AD27" s="135">
        <f t="shared" si="11"/>
        <v>93.9</v>
      </c>
      <c r="AE27" s="4">
        <v>21263</v>
      </c>
      <c r="AF27" s="135">
        <f t="shared" si="12"/>
        <v>83.1</v>
      </c>
      <c r="AG27" s="4">
        <v>21244</v>
      </c>
      <c r="AH27" s="135">
        <f t="shared" si="13"/>
        <v>83</v>
      </c>
      <c r="AI27" s="4">
        <v>21347</v>
      </c>
      <c r="AJ27" s="135">
        <f t="shared" si="14"/>
        <v>83.4</v>
      </c>
      <c r="AK27" s="180">
        <v>11858</v>
      </c>
      <c r="AL27" s="147">
        <v>25597</v>
      </c>
      <c r="AN27" s="1">
        <v>25626</v>
      </c>
    </row>
    <row r="28" spans="1:40" ht="15.75" customHeight="1">
      <c r="A28" s="150" t="s">
        <v>112</v>
      </c>
      <c r="B28" s="13" t="s">
        <v>44</v>
      </c>
      <c r="C28" s="1">
        <v>7952</v>
      </c>
      <c r="D28" s="4">
        <v>7056</v>
      </c>
      <c r="E28" s="135">
        <f t="shared" si="0"/>
        <v>88.7</v>
      </c>
      <c r="F28" s="4">
        <v>7039</v>
      </c>
      <c r="G28" s="135">
        <f t="shared" si="1"/>
        <v>88.5</v>
      </c>
      <c r="H28" s="4">
        <v>6330</v>
      </c>
      <c r="I28" s="135">
        <f t="shared" si="2"/>
        <v>79.599999999999994</v>
      </c>
      <c r="J28" s="4">
        <v>7039</v>
      </c>
      <c r="K28" s="135">
        <f t="shared" si="3"/>
        <v>88.5</v>
      </c>
      <c r="L28" s="4">
        <v>7039</v>
      </c>
      <c r="M28" s="135">
        <f t="shared" si="4"/>
        <v>88.5</v>
      </c>
      <c r="N28" s="4">
        <v>4694</v>
      </c>
      <c r="O28" s="135">
        <f t="shared" si="5"/>
        <v>59</v>
      </c>
      <c r="P28" s="8">
        <v>7921</v>
      </c>
      <c r="Q28" s="4">
        <v>7003</v>
      </c>
      <c r="R28" s="135">
        <f t="shared" si="6"/>
        <v>88.4</v>
      </c>
      <c r="S28" s="4">
        <v>6980</v>
      </c>
      <c r="T28" s="135">
        <f t="shared" si="7"/>
        <v>88.1</v>
      </c>
      <c r="U28" s="9">
        <v>5200</v>
      </c>
      <c r="V28" s="6">
        <f t="shared" si="8"/>
        <v>65.400000000000006</v>
      </c>
      <c r="W28" s="4">
        <v>4728</v>
      </c>
      <c r="X28" s="2">
        <f t="shared" si="9"/>
        <v>59.1</v>
      </c>
      <c r="Y28" s="4">
        <v>119</v>
      </c>
      <c r="Z28" s="4">
        <v>9</v>
      </c>
      <c r="AA28" s="4">
        <v>5943</v>
      </c>
      <c r="AB28" s="135">
        <f t="shared" si="10"/>
        <v>75</v>
      </c>
      <c r="AC28" s="4">
        <v>5826</v>
      </c>
      <c r="AD28" s="135">
        <f t="shared" si="11"/>
        <v>73.599999999999994</v>
      </c>
      <c r="AE28" s="4">
        <v>6052</v>
      </c>
      <c r="AF28" s="135">
        <f t="shared" si="12"/>
        <v>77.5</v>
      </c>
      <c r="AG28" s="4">
        <v>6049</v>
      </c>
      <c r="AH28" s="135">
        <f t="shared" si="13"/>
        <v>77.400000000000006</v>
      </c>
      <c r="AI28" s="4">
        <v>5589</v>
      </c>
      <c r="AJ28" s="135">
        <f t="shared" si="14"/>
        <v>71.5</v>
      </c>
      <c r="AK28" s="180">
        <v>2688</v>
      </c>
      <c r="AL28" s="147">
        <v>7812</v>
      </c>
      <c r="AN28" s="1">
        <v>8000</v>
      </c>
    </row>
    <row r="29" spans="1:40" ht="15.75" customHeight="1">
      <c r="A29" s="148" t="s">
        <v>113</v>
      </c>
      <c r="B29" s="7" t="s">
        <v>114</v>
      </c>
      <c r="C29" s="1">
        <v>9242</v>
      </c>
      <c r="D29" s="4">
        <v>7142</v>
      </c>
      <c r="E29" s="135">
        <f t="shared" si="0"/>
        <v>77.3</v>
      </c>
      <c r="F29" s="4">
        <v>7435</v>
      </c>
      <c r="G29" s="135">
        <f t="shared" si="1"/>
        <v>80.400000000000006</v>
      </c>
      <c r="H29" s="4">
        <v>7227</v>
      </c>
      <c r="I29" s="135">
        <f t="shared" si="2"/>
        <v>78.2</v>
      </c>
      <c r="J29" s="4">
        <v>7435</v>
      </c>
      <c r="K29" s="135">
        <f t="shared" si="3"/>
        <v>80.400000000000006</v>
      </c>
      <c r="L29" s="4">
        <v>7435</v>
      </c>
      <c r="M29" s="135">
        <f t="shared" si="4"/>
        <v>80.400000000000006</v>
      </c>
      <c r="N29" s="4">
        <v>6226</v>
      </c>
      <c r="O29" s="135">
        <f t="shared" si="5"/>
        <v>67.400000000000006</v>
      </c>
      <c r="P29" s="8">
        <v>9198</v>
      </c>
      <c r="Q29" s="4">
        <v>7301</v>
      </c>
      <c r="R29" s="135">
        <f t="shared" si="6"/>
        <v>79.400000000000006</v>
      </c>
      <c r="S29" s="4">
        <v>7347</v>
      </c>
      <c r="T29" s="135">
        <f t="shared" si="7"/>
        <v>79.900000000000006</v>
      </c>
      <c r="U29" s="9">
        <v>403</v>
      </c>
      <c r="V29" s="6">
        <f t="shared" si="8"/>
        <v>4.4000000000000004</v>
      </c>
      <c r="W29" s="4">
        <v>432</v>
      </c>
      <c r="X29" s="2">
        <f t="shared" si="9"/>
        <v>4.7</v>
      </c>
      <c r="Y29" s="4">
        <v>5</v>
      </c>
      <c r="Z29" s="4">
        <v>12</v>
      </c>
      <c r="AA29" s="4">
        <v>6584</v>
      </c>
      <c r="AB29" s="135">
        <f t="shared" si="10"/>
        <v>71.599999999999994</v>
      </c>
      <c r="AC29" s="4">
        <v>6588</v>
      </c>
      <c r="AD29" s="135">
        <f t="shared" si="11"/>
        <v>71.599999999999994</v>
      </c>
      <c r="AE29" s="4">
        <v>7103</v>
      </c>
      <c r="AF29" s="135">
        <f t="shared" si="12"/>
        <v>77.8</v>
      </c>
      <c r="AG29" s="4">
        <v>7013</v>
      </c>
      <c r="AH29" s="135">
        <f t="shared" si="13"/>
        <v>76.8</v>
      </c>
      <c r="AI29" s="4">
        <v>7183</v>
      </c>
      <c r="AJ29" s="135">
        <f t="shared" si="14"/>
        <v>78.7</v>
      </c>
      <c r="AK29" s="180">
        <v>8799</v>
      </c>
      <c r="AL29" s="147">
        <v>9127</v>
      </c>
      <c r="AN29" s="1">
        <v>9261</v>
      </c>
    </row>
    <row r="30" spans="1:40" ht="15.75" customHeight="1">
      <c r="A30" s="148" t="s">
        <v>115</v>
      </c>
      <c r="B30" s="7" t="s">
        <v>46</v>
      </c>
      <c r="C30" s="1">
        <v>15383</v>
      </c>
      <c r="D30" s="4">
        <v>11995</v>
      </c>
      <c r="E30" s="135">
        <f t="shared" si="0"/>
        <v>78</v>
      </c>
      <c r="F30" s="4">
        <v>11980</v>
      </c>
      <c r="G30" s="135">
        <f t="shared" si="1"/>
        <v>77.900000000000006</v>
      </c>
      <c r="H30" s="4">
        <v>12260</v>
      </c>
      <c r="I30" s="135">
        <f t="shared" si="2"/>
        <v>79.7</v>
      </c>
      <c r="J30" s="4">
        <v>11980</v>
      </c>
      <c r="K30" s="135">
        <f t="shared" si="3"/>
        <v>77.900000000000006</v>
      </c>
      <c r="L30" s="4">
        <v>11980</v>
      </c>
      <c r="M30" s="135">
        <f t="shared" si="4"/>
        <v>77.900000000000006</v>
      </c>
      <c r="N30" s="4">
        <v>11015</v>
      </c>
      <c r="O30" s="135">
        <f t="shared" si="5"/>
        <v>71.599999999999994</v>
      </c>
      <c r="P30" s="8">
        <v>15325</v>
      </c>
      <c r="Q30" s="4">
        <v>12250</v>
      </c>
      <c r="R30" s="135">
        <f t="shared" si="6"/>
        <v>79.900000000000006</v>
      </c>
      <c r="S30" s="4">
        <v>11614</v>
      </c>
      <c r="T30" s="135">
        <f t="shared" si="7"/>
        <v>75.8</v>
      </c>
      <c r="U30" s="9">
        <v>744</v>
      </c>
      <c r="V30" s="6">
        <f t="shared" si="8"/>
        <v>4.8</v>
      </c>
      <c r="W30" s="4">
        <v>430</v>
      </c>
      <c r="X30" s="2">
        <f t="shared" si="9"/>
        <v>2.8</v>
      </c>
      <c r="Y30" s="4">
        <v>115</v>
      </c>
      <c r="Z30" s="4">
        <v>73</v>
      </c>
      <c r="AA30" s="4">
        <v>12140</v>
      </c>
      <c r="AB30" s="135">
        <f t="shared" si="10"/>
        <v>79.2</v>
      </c>
      <c r="AC30" s="4">
        <v>12178</v>
      </c>
      <c r="AD30" s="135">
        <f t="shared" si="11"/>
        <v>79.5</v>
      </c>
      <c r="AE30" s="4">
        <v>11745</v>
      </c>
      <c r="AF30" s="135">
        <f t="shared" si="12"/>
        <v>76.900000000000006</v>
      </c>
      <c r="AG30" s="4">
        <v>11754</v>
      </c>
      <c r="AH30" s="135">
        <f t="shared" si="13"/>
        <v>77</v>
      </c>
      <c r="AI30" s="4">
        <v>11641</v>
      </c>
      <c r="AJ30" s="135">
        <f t="shared" si="14"/>
        <v>76.2</v>
      </c>
      <c r="AK30" s="180">
        <v>5078</v>
      </c>
      <c r="AL30" s="147">
        <v>15274</v>
      </c>
      <c r="AN30" s="1">
        <v>15450</v>
      </c>
    </row>
    <row r="31" spans="1:40" ht="15.75" customHeight="1">
      <c r="A31" s="148" t="s">
        <v>116</v>
      </c>
      <c r="B31" s="7" t="s">
        <v>117</v>
      </c>
      <c r="C31" s="1">
        <v>1278</v>
      </c>
      <c r="D31" s="4">
        <v>958</v>
      </c>
      <c r="E31" s="135">
        <f t="shared" si="0"/>
        <v>75</v>
      </c>
      <c r="F31" s="4">
        <v>985</v>
      </c>
      <c r="G31" s="135">
        <f t="shared" si="1"/>
        <v>77.099999999999994</v>
      </c>
      <c r="H31" s="4">
        <v>905</v>
      </c>
      <c r="I31" s="135">
        <f t="shared" si="2"/>
        <v>70.8</v>
      </c>
      <c r="J31" s="4">
        <v>985</v>
      </c>
      <c r="K31" s="135">
        <f t="shared" si="3"/>
        <v>77.099999999999994</v>
      </c>
      <c r="L31" s="4">
        <v>985</v>
      </c>
      <c r="M31" s="135">
        <f t="shared" si="4"/>
        <v>77.099999999999994</v>
      </c>
      <c r="N31" s="4">
        <v>793</v>
      </c>
      <c r="O31" s="135">
        <f t="shared" si="5"/>
        <v>62.1</v>
      </c>
      <c r="P31" s="8">
        <v>1277</v>
      </c>
      <c r="Q31" s="4">
        <v>972</v>
      </c>
      <c r="R31" s="135">
        <f t="shared" si="6"/>
        <v>76.099999999999994</v>
      </c>
      <c r="S31" s="4">
        <v>970</v>
      </c>
      <c r="T31" s="135">
        <f t="shared" si="7"/>
        <v>76</v>
      </c>
      <c r="U31" s="9">
        <v>839</v>
      </c>
      <c r="V31" s="6">
        <f t="shared" si="8"/>
        <v>65.599999999999994</v>
      </c>
      <c r="W31" s="4">
        <v>659</v>
      </c>
      <c r="X31" s="2">
        <f t="shared" si="9"/>
        <v>51.4</v>
      </c>
      <c r="Y31" s="4">
        <v>7</v>
      </c>
      <c r="Z31" s="4">
        <v>39</v>
      </c>
      <c r="AA31" s="4">
        <v>862</v>
      </c>
      <c r="AB31" s="135">
        <f t="shared" si="10"/>
        <v>67.5</v>
      </c>
      <c r="AC31" s="4">
        <v>898</v>
      </c>
      <c r="AD31" s="135">
        <f t="shared" si="11"/>
        <v>70.3</v>
      </c>
      <c r="AE31" s="4">
        <v>761</v>
      </c>
      <c r="AF31" s="135">
        <f t="shared" si="12"/>
        <v>59.6</v>
      </c>
      <c r="AG31" s="4">
        <v>797</v>
      </c>
      <c r="AH31" s="135">
        <f t="shared" si="13"/>
        <v>62.5</v>
      </c>
      <c r="AI31" s="4">
        <v>611</v>
      </c>
      <c r="AJ31" s="135">
        <f t="shared" si="14"/>
        <v>47.9</v>
      </c>
      <c r="AK31" s="180">
        <v>67</v>
      </c>
      <c r="AL31" s="147">
        <v>1276</v>
      </c>
      <c r="AN31" s="1">
        <v>1283</v>
      </c>
    </row>
    <row r="32" spans="1:40" ht="15.75" customHeight="1">
      <c r="A32" s="148" t="s">
        <v>118</v>
      </c>
      <c r="B32" s="7" t="s">
        <v>48</v>
      </c>
      <c r="C32" s="1">
        <v>33966</v>
      </c>
      <c r="D32" s="4">
        <v>31651</v>
      </c>
      <c r="E32" s="135">
        <f t="shared" si="0"/>
        <v>93.2</v>
      </c>
      <c r="F32" s="4">
        <v>31620</v>
      </c>
      <c r="G32" s="135">
        <f t="shared" si="1"/>
        <v>93.1</v>
      </c>
      <c r="H32" s="4">
        <v>31056</v>
      </c>
      <c r="I32" s="135">
        <f t="shared" si="2"/>
        <v>91.4</v>
      </c>
      <c r="J32" s="4">
        <v>31620</v>
      </c>
      <c r="K32" s="135">
        <f t="shared" si="3"/>
        <v>93.1</v>
      </c>
      <c r="L32" s="4">
        <v>31620</v>
      </c>
      <c r="M32" s="135">
        <f t="shared" si="4"/>
        <v>93.1</v>
      </c>
      <c r="N32" s="4">
        <v>29279</v>
      </c>
      <c r="O32" s="135">
        <f t="shared" si="5"/>
        <v>86.2</v>
      </c>
      <c r="P32" s="8">
        <v>33851</v>
      </c>
      <c r="Q32" s="4">
        <v>31047</v>
      </c>
      <c r="R32" s="135">
        <f t="shared" si="6"/>
        <v>91.7</v>
      </c>
      <c r="S32" s="4">
        <v>31033</v>
      </c>
      <c r="T32" s="135">
        <f t="shared" si="7"/>
        <v>91.7</v>
      </c>
      <c r="U32" s="9">
        <v>6778</v>
      </c>
      <c r="V32" s="6">
        <f t="shared" si="8"/>
        <v>20</v>
      </c>
      <c r="W32" s="4">
        <v>5615</v>
      </c>
      <c r="X32" s="2">
        <f t="shared" si="9"/>
        <v>16.399999999999999</v>
      </c>
      <c r="Y32" s="4">
        <v>2747</v>
      </c>
      <c r="Z32" s="4">
        <v>876</v>
      </c>
      <c r="AA32" s="4">
        <v>29064</v>
      </c>
      <c r="AB32" s="135">
        <f t="shared" si="10"/>
        <v>85.9</v>
      </c>
      <c r="AC32" s="4">
        <v>29215</v>
      </c>
      <c r="AD32" s="135">
        <f t="shared" si="11"/>
        <v>86.3</v>
      </c>
      <c r="AE32" s="4">
        <v>26829</v>
      </c>
      <c r="AF32" s="135">
        <f t="shared" si="12"/>
        <v>79.099999999999994</v>
      </c>
      <c r="AG32" s="4">
        <v>26981</v>
      </c>
      <c r="AH32" s="135">
        <f t="shared" si="13"/>
        <v>79.599999999999994</v>
      </c>
      <c r="AI32" s="4">
        <v>26405</v>
      </c>
      <c r="AJ32" s="135">
        <f t="shared" si="14"/>
        <v>77.900000000000006</v>
      </c>
      <c r="AK32" s="180">
        <v>20035</v>
      </c>
      <c r="AL32" s="147">
        <v>33903</v>
      </c>
      <c r="AN32" s="1">
        <v>34278</v>
      </c>
    </row>
    <row r="33" spans="1:40" ht="15.75" customHeight="1">
      <c r="A33" s="148" t="s">
        <v>119</v>
      </c>
      <c r="B33" s="7" t="s">
        <v>49</v>
      </c>
      <c r="C33" s="1">
        <v>16873</v>
      </c>
      <c r="D33" s="4">
        <v>16351</v>
      </c>
      <c r="E33" s="135">
        <f t="shared" si="0"/>
        <v>96.9</v>
      </c>
      <c r="F33" s="4">
        <v>16351</v>
      </c>
      <c r="G33" s="135">
        <f t="shared" si="1"/>
        <v>96.9</v>
      </c>
      <c r="H33" s="4">
        <v>15447</v>
      </c>
      <c r="I33" s="135">
        <f t="shared" si="2"/>
        <v>91.5</v>
      </c>
      <c r="J33" s="4">
        <v>16351</v>
      </c>
      <c r="K33" s="135">
        <f t="shared" si="3"/>
        <v>96.9</v>
      </c>
      <c r="L33" s="4">
        <v>16351</v>
      </c>
      <c r="M33" s="135">
        <f t="shared" si="4"/>
        <v>96.9</v>
      </c>
      <c r="N33" s="4">
        <v>14624</v>
      </c>
      <c r="O33" s="135">
        <f t="shared" si="5"/>
        <v>86.7</v>
      </c>
      <c r="P33" s="8">
        <v>16812</v>
      </c>
      <c r="Q33" s="4">
        <v>16324</v>
      </c>
      <c r="R33" s="135">
        <f t="shared" si="6"/>
        <v>97.1</v>
      </c>
      <c r="S33" s="4">
        <v>12995</v>
      </c>
      <c r="T33" s="135">
        <f t="shared" si="7"/>
        <v>77.3</v>
      </c>
      <c r="U33" s="9">
        <v>6958</v>
      </c>
      <c r="V33" s="6">
        <f t="shared" si="8"/>
        <v>41.2</v>
      </c>
      <c r="W33" s="4">
        <v>752</v>
      </c>
      <c r="X33" s="2">
        <f t="shared" si="9"/>
        <v>4.4000000000000004</v>
      </c>
      <c r="Y33" s="4">
        <v>239</v>
      </c>
      <c r="Z33" s="4">
        <v>242</v>
      </c>
      <c r="AA33" s="4">
        <v>16304</v>
      </c>
      <c r="AB33" s="135">
        <f t="shared" si="10"/>
        <v>97</v>
      </c>
      <c r="AC33" s="4">
        <v>16304</v>
      </c>
      <c r="AD33" s="135">
        <f t="shared" si="11"/>
        <v>97</v>
      </c>
      <c r="AE33" s="4">
        <v>14914</v>
      </c>
      <c r="AF33" s="135">
        <f t="shared" si="12"/>
        <v>89.4</v>
      </c>
      <c r="AG33" s="4">
        <v>14914</v>
      </c>
      <c r="AH33" s="135">
        <f t="shared" si="13"/>
        <v>89.4</v>
      </c>
      <c r="AI33" s="4">
        <v>14555</v>
      </c>
      <c r="AJ33" s="135">
        <f t="shared" si="14"/>
        <v>87.3</v>
      </c>
      <c r="AK33" s="180">
        <v>9757</v>
      </c>
      <c r="AL33" s="147">
        <v>16674</v>
      </c>
      <c r="AN33" s="1">
        <v>16929</v>
      </c>
    </row>
    <row r="34" spans="1:40" ht="15.75" customHeight="1">
      <c r="A34" s="148" t="s">
        <v>120</v>
      </c>
      <c r="B34" s="7" t="s">
        <v>50</v>
      </c>
      <c r="C34" s="1">
        <v>25717</v>
      </c>
      <c r="D34" s="4">
        <v>22892</v>
      </c>
      <c r="E34" s="135">
        <f t="shared" si="0"/>
        <v>89</v>
      </c>
      <c r="F34" s="4">
        <v>22899</v>
      </c>
      <c r="G34" s="135">
        <f t="shared" si="1"/>
        <v>89</v>
      </c>
      <c r="H34" s="4">
        <v>21692</v>
      </c>
      <c r="I34" s="135">
        <f t="shared" si="2"/>
        <v>84.3</v>
      </c>
      <c r="J34" s="4">
        <v>22899</v>
      </c>
      <c r="K34" s="135">
        <f t="shared" si="3"/>
        <v>89</v>
      </c>
      <c r="L34" s="4">
        <v>22899</v>
      </c>
      <c r="M34" s="135">
        <f t="shared" si="4"/>
        <v>89</v>
      </c>
      <c r="N34" s="4">
        <v>17905</v>
      </c>
      <c r="O34" s="135">
        <f t="shared" si="5"/>
        <v>69.599999999999994</v>
      </c>
      <c r="P34" s="8">
        <v>25930</v>
      </c>
      <c r="Q34" s="4">
        <v>22615</v>
      </c>
      <c r="R34" s="135">
        <f t="shared" si="6"/>
        <v>87.2</v>
      </c>
      <c r="S34" s="4">
        <v>22694</v>
      </c>
      <c r="T34" s="135">
        <f t="shared" si="7"/>
        <v>87.5</v>
      </c>
      <c r="U34" s="9">
        <v>2089</v>
      </c>
      <c r="V34" s="6">
        <f t="shared" si="8"/>
        <v>8.1</v>
      </c>
      <c r="W34" s="4">
        <v>1030</v>
      </c>
      <c r="X34" s="2">
        <f t="shared" si="9"/>
        <v>4</v>
      </c>
      <c r="Y34" s="4">
        <v>430</v>
      </c>
      <c r="Z34" s="4">
        <v>346</v>
      </c>
      <c r="AA34" s="4">
        <v>22503</v>
      </c>
      <c r="AB34" s="135">
        <f t="shared" si="10"/>
        <v>86.8</v>
      </c>
      <c r="AC34" s="4">
        <v>22642</v>
      </c>
      <c r="AD34" s="135">
        <f t="shared" si="11"/>
        <v>87.3</v>
      </c>
      <c r="AE34" s="4">
        <v>21595</v>
      </c>
      <c r="AF34" s="135">
        <f t="shared" si="12"/>
        <v>80.900000000000006</v>
      </c>
      <c r="AG34" s="4">
        <v>21765</v>
      </c>
      <c r="AH34" s="135">
        <f t="shared" si="13"/>
        <v>81.599999999999994</v>
      </c>
      <c r="AI34" s="4">
        <v>17652</v>
      </c>
      <c r="AJ34" s="135">
        <f t="shared" si="14"/>
        <v>66.2</v>
      </c>
      <c r="AK34" s="180">
        <v>17921</v>
      </c>
      <c r="AL34" s="147">
        <v>26679</v>
      </c>
      <c r="AN34" s="1">
        <v>25926</v>
      </c>
    </row>
    <row r="35" spans="1:40" ht="15.75" customHeight="1">
      <c r="A35" s="150" t="s">
        <v>121</v>
      </c>
      <c r="B35" s="13" t="s">
        <v>51</v>
      </c>
      <c r="C35" s="1">
        <v>72781</v>
      </c>
      <c r="D35" s="4">
        <v>69350</v>
      </c>
      <c r="E35" s="135">
        <f t="shared" si="0"/>
        <v>95.3</v>
      </c>
      <c r="F35" s="4">
        <v>69209</v>
      </c>
      <c r="G35" s="135">
        <f t="shared" si="1"/>
        <v>95.1</v>
      </c>
      <c r="H35" s="4">
        <v>61987</v>
      </c>
      <c r="I35" s="135">
        <f t="shared" si="2"/>
        <v>85.2</v>
      </c>
      <c r="J35" s="4">
        <v>69490</v>
      </c>
      <c r="K35" s="135">
        <f t="shared" si="3"/>
        <v>95.5</v>
      </c>
      <c r="L35" s="4">
        <v>69183</v>
      </c>
      <c r="M35" s="135">
        <f t="shared" si="4"/>
        <v>95.1</v>
      </c>
      <c r="N35" s="4">
        <v>46252</v>
      </c>
      <c r="O35" s="135">
        <f t="shared" si="5"/>
        <v>63.5</v>
      </c>
      <c r="P35" s="8">
        <v>72206</v>
      </c>
      <c r="Q35" s="4">
        <v>73172</v>
      </c>
      <c r="R35" s="135">
        <f t="shared" si="6"/>
        <v>101.3</v>
      </c>
      <c r="S35" s="4">
        <v>62944</v>
      </c>
      <c r="T35" s="135">
        <f t="shared" si="7"/>
        <v>87.2</v>
      </c>
      <c r="U35" s="9">
        <v>3786</v>
      </c>
      <c r="V35" s="6">
        <f t="shared" si="8"/>
        <v>5.2</v>
      </c>
      <c r="W35" s="4">
        <v>2543</v>
      </c>
      <c r="X35" s="2">
        <f t="shared" si="9"/>
        <v>3.5</v>
      </c>
      <c r="Y35" s="4">
        <v>524</v>
      </c>
      <c r="Z35" s="4">
        <v>413</v>
      </c>
      <c r="AA35" s="4">
        <v>50438</v>
      </c>
      <c r="AB35" s="135">
        <f t="shared" si="10"/>
        <v>69.900000000000006</v>
      </c>
      <c r="AC35" s="4">
        <v>44787</v>
      </c>
      <c r="AD35" s="135">
        <f t="shared" si="11"/>
        <v>62</v>
      </c>
      <c r="AE35" s="4">
        <v>50289</v>
      </c>
      <c r="AF35" s="135">
        <f t="shared" si="12"/>
        <v>70.599999999999994</v>
      </c>
      <c r="AG35" s="4">
        <v>47340</v>
      </c>
      <c r="AH35" s="135">
        <f t="shared" si="13"/>
        <v>66.5</v>
      </c>
      <c r="AI35" s="4">
        <v>45824</v>
      </c>
      <c r="AJ35" s="135">
        <f t="shared" si="14"/>
        <v>64.400000000000006</v>
      </c>
      <c r="AK35" s="180">
        <v>27407</v>
      </c>
      <c r="AL35" s="147">
        <v>71187</v>
      </c>
      <c r="AN35" s="1">
        <v>72956</v>
      </c>
    </row>
    <row r="36" spans="1:40" ht="15.75" customHeight="1">
      <c r="A36" s="150" t="s">
        <v>122</v>
      </c>
      <c r="B36" s="13" t="s">
        <v>123</v>
      </c>
      <c r="C36" s="1">
        <v>1230</v>
      </c>
      <c r="D36" s="4">
        <v>902</v>
      </c>
      <c r="E36" s="135">
        <f t="shared" si="0"/>
        <v>73.3</v>
      </c>
      <c r="F36" s="4">
        <v>913</v>
      </c>
      <c r="G36" s="135">
        <f t="shared" si="1"/>
        <v>74.2</v>
      </c>
      <c r="H36" s="4">
        <v>854</v>
      </c>
      <c r="I36" s="135">
        <f t="shared" si="2"/>
        <v>69.400000000000006</v>
      </c>
      <c r="J36" s="4">
        <v>913</v>
      </c>
      <c r="K36" s="135">
        <f t="shared" si="3"/>
        <v>74.2</v>
      </c>
      <c r="L36" s="4">
        <v>913</v>
      </c>
      <c r="M36" s="135">
        <f t="shared" si="4"/>
        <v>74.2</v>
      </c>
      <c r="N36" s="4">
        <v>416</v>
      </c>
      <c r="O36" s="135">
        <f t="shared" si="5"/>
        <v>33.799999999999997</v>
      </c>
      <c r="P36" s="8">
        <v>1212</v>
      </c>
      <c r="Q36" s="4">
        <v>896</v>
      </c>
      <c r="R36" s="135">
        <f t="shared" si="6"/>
        <v>73.900000000000006</v>
      </c>
      <c r="S36" s="4">
        <v>892</v>
      </c>
      <c r="T36" s="135">
        <f t="shared" si="7"/>
        <v>73.599999999999994</v>
      </c>
      <c r="U36" s="9">
        <v>754</v>
      </c>
      <c r="V36" s="6">
        <f t="shared" si="8"/>
        <v>61.3</v>
      </c>
      <c r="W36" s="4">
        <v>448</v>
      </c>
      <c r="X36" s="2">
        <f t="shared" si="9"/>
        <v>35.9</v>
      </c>
      <c r="Y36" s="4">
        <v>30</v>
      </c>
      <c r="Z36" s="4">
        <v>1</v>
      </c>
      <c r="AA36" s="4">
        <v>876</v>
      </c>
      <c r="AB36" s="135">
        <f t="shared" si="10"/>
        <v>72.3</v>
      </c>
      <c r="AC36" s="4">
        <v>874</v>
      </c>
      <c r="AD36" s="135">
        <f t="shared" si="11"/>
        <v>72.099999999999994</v>
      </c>
      <c r="AE36" s="4">
        <v>650</v>
      </c>
      <c r="AF36" s="135">
        <f t="shared" si="12"/>
        <v>56.8</v>
      </c>
      <c r="AG36" s="4">
        <v>642</v>
      </c>
      <c r="AH36" s="135">
        <f t="shared" si="13"/>
        <v>56.1</v>
      </c>
      <c r="AI36" s="4">
        <v>633</v>
      </c>
      <c r="AJ36" s="135">
        <f t="shared" si="14"/>
        <v>55.3</v>
      </c>
      <c r="AK36" s="180">
        <v>475</v>
      </c>
      <c r="AL36" s="147">
        <v>1144</v>
      </c>
      <c r="AN36" s="1">
        <v>1248</v>
      </c>
    </row>
    <row r="37" spans="1:40" ht="15.75" customHeight="1" thickBot="1">
      <c r="A37" s="152" t="s">
        <v>124</v>
      </c>
      <c r="B37" s="14" t="s">
        <v>53</v>
      </c>
      <c r="C37" s="15">
        <v>1901</v>
      </c>
      <c r="D37" s="16">
        <v>1363</v>
      </c>
      <c r="E37" s="141">
        <f t="shared" si="0"/>
        <v>71.7</v>
      </c>
      <c r="F37" s="16">
        <v>1359</v>
      </c>
      <c r="G37" s="141">
        <f t="shared" si="1"/>
        <v>71.5</v>
      </c>
      <c r="H37" s="16">
        <v>978</v>
      </c>
      <c r="I37" s="141">
        <f t="shared" si="2"/>
        <v>51.4</v>
      </c>
      <c r="J37" s="16">
        <v>1357</v>
      </c>
      <c r="K37" s="141">
        <f t="shared" si="3"/>
        <v>71.400000000000006</v>
      </c>
      <c r="L37" s="16">
        <v>1357</v>
      </c>
      <c r="M37" s="141">
        <f t="shared" si="4"/>
        <v>71.400000000000006</v>
      </c>
      <c r="N37" s="16">
        <v>708</v>
      </c>
      <c r="O37" s="141">
        <f t="shared" si="5"/>
        <v>37.200000000000003</v>
      </c>
      <c r="P37" s="17">
        <v>1877</v>
      </c>
      <c r="Q37" s="16">
        <v>1465</v>
      </c>
      <c r="R37" s="135">
        <f t="shared" si="6"/>
        <v>78.099999999999994</v>
      </c>
      <c r="S37" s="16">
        <v>1048</v>
      </c>
      <c r="T37" s="135">
        <f t="shared" si="7"/>
        <v>55.8</v>
      </c>
      <c r="U37" s="9">
        <v>854</v>
      </c>
      <c r="V37" s="6">
        <f t="shared" si="8"/>
        <v>44.9</v>
      </c>
      <c r="W37" s="4">
        <v>500</v>
      </c>
      <c r="X37" s="2">
        <f t="shared" si="9"/>
        <v>26.3</v>
      </c>
      <c r="Y37" s="4">
        <v>10</v>
      </c>
      <c r="Z37" s="4">
        <v>0</v>
      </c>
      <c r="AA37" s="16">
        <v>1382</v>
      </c>
      <c r="AB37" s="135">
        <f t="shared" si="10"/>
        <v>73.599999999999994</v>
      </c>
      <c r="AC37" s="16">
        <v>1392</v>
      </c>
      <c r="AD37" s="135">
        <f t="shared" si="11"/>
        <v>74.2</v>
      </c>
      <c r="AE37" s="16">
        <v>1039</v>
      </c>
      <c r="AF37" s="135">
        <f t="shared" si="12"/>
        <v>59.1</v>
      </c>
      <c r="AG37" s="16">
        <v>992</v>
      </c>
      <c r="AH37" s="135">
        <f t="shared" si="13"/>
        <v>56.4</v>
      </c>
      <c r="AI37" s="16">
        <v>981</v>
      </c>
      <c r="AJ37" s="135">
        <f t="shared" si="14"/>
        <v>55.8</v>
      </c>
      <c r="AK37" s="181">
        <v>502</v>
      </c>
      <c r="AL37" s="147">
        <v>1758</v>
      </c>
      <c r="AN37" s="15">
        <v>1898</v>
      </c>
    </row>
    <row r="38" spans="1:40" ht="7.5" customHeight="1" thickBo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40" ht="12.95" thickBo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N39" s="154">
        <f>SUM(AN2:AN37)</f>
        <v>858137</v>
      </c>
    </row>
    <row r="40" spans="1:40" ht="12.6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40" ht="12.6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40" ht="12.6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40" ht="12.6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40" ht="12.6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40" ht="12.6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40" ht="12.6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40" ht="12.6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63" spans="3:3">
      <c r="C63" s="147" t="s">
        <v>138</v>
      </c>
    </row>
  </sheetData>
  <conditionalFormatting sqref="R2:R37 T2:T37 AB2:AB37 AD2:AD37 AF2:AF37 AH2:AH37 AJ2:AJ37 E2:E37 G2:G37 I2:I37 K2:K37 M2:M37 O2:O37">
    <cfRule type="cellIs" dxfId="3" priority="9" stopIfTrue="1" operator="between">
      <formula>0.01</formula>
      <formula>49.9</formula>
    </cfRule>
    <cfRule type="cellIs" dxfId="2" priority="10" stopIfTrue="1" operator="between">
      <formula>50</formula>
      <formula>79.9</formula>
    </cfRule>
    <cfRule type="cellIs" dxfId="1" priority="11" stopIfTrue="1" operator="between">
      <formula>80</formula>
      <formula>94.9</formula>
    </cfRule>
    <cfRule type="cellIs" dxfId="0" priority="12" stopIfTrue="1" operator="greaterThanOrEqual">
      <formula>95</formula>
    </cfRule>
  </conditionalFormatting>
  <printOptions horizontalCentered="1"/>
  <pageMargins left="0.74803149606299213" right="0.23622047244094491" top="0.67" bottom="0.43307086614173229" header="0.11811023622047245" footer="0.19685039370078741"/>
  <pageSetup scale="80" orientation="landscape" horizontalDpi="4294967295" verticalDpi="4294967295" r:id="rId1"/>
  <headerFooter alignWithMargins="0">
    <oddHeader>&amp;C&amp;"Arial,Negrita"Ministerio de la Protección Social
República de Colombia</oddHeader>
    <oddFooter>&amp;C&amp;F *** Página &amp;P&amp;RFecha &amp;D ** Pág. &amp;P</oddFooter>
  </headerFooter>
  <colBreaks count="1" manualBreakCount="1">
    <brk id="20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TaxCatchAll xmlns="63a39d86-4dae-432b-b9e3-64f88db0542e" xsi:nil="true"/>
    <lcf76f155ced4ddcb4097134ff3c332f xmlns="cea09c11-6e7c-4dc9-baee-cc78703a6a75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ACA514FDFB7E4584285591ACF9D010" ma:contentTypeVersion="17" ma:contentTypeDescription="Crear nuevo documento." ma:contentTypeScope="" ma:versionID="98c30c1b9309abed7ea98459b3f531ac">
  <xsd:schema xmlns:xsd="http://www.w3.org/2001/XMLSchema" xmlns:xs="http://www.w3.org/2001/XMLSchema" xmlns:p="http://schemas.microsoft.com/office/2006/metadata/properties" xmlns:ns2="cea09c11-6e7c-4dc9-baee-cc78703a6a75" xmlns:ns3="63a39d86-4dae-432b-b9e3-64f88db0542e" targetNamespace="http://schemas.microsoft.com/office/2006/metadata/properties" ma:root="true" ma:fieldsID="15e71160161f818196e6eb4dbdf8eadb" ns2:_="" ns3:_="">
    <xsd:import namespace="cea09c11-6e7c-4dc9-baee-cc78703a6a75"/>
    <xsd:import namespace="63a39d86-4dae-432b-b9e3-64f88db05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09c11-6e7c-4dc9-baee-cc78703a6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39d86-4dae-432b-b9e3-64f88db0542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525e6ee-66ee-44e9-953e-2a14a4aedb21}" ma:internalName="TaxCatchAll" ma:showField="CatchAllData" ma:web="63a39d86-4dae-432b-b9e3-64f88db05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0BC496-20E6-4CBB-AF46-9E15DA821875}"/>
</file>

<file path=customXml/itemProps2.xml><?xml version="1.0" encoding="utf-8"?>
<ds:datastoreItem xmlns:ds="http://schemas.openxmlformats.org/officeDocument/2006/customXml" ds:itemID="{67758DD8-2A33-4159-86BB-58E6160321E6}"/>
</file>

<file path=customXml/itemProps3.xml><?xml version="1.0" encoding="utf-8"?>
<ds:datastoreItem xmlns:ds="http://schemas.openxmlformats.org/officeDocument/2006/customXml" ds:itemID="{93447D63-4A4F-4A30-94E0-44CD64A3DC9A}"/>
</file>

<file path=customXml/itemProps4.xml><?xml version="1.0" encoding="utf-8"?>
<ds:datastoreItem xmlns:ds="http://schemas.openxmlformats.org/officeDocument/2006/customXml" ds:itemID="{DFE4ED36-3E61-4832-B0BC-812927FEB7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subject/>
  <dc:creator>CAMILO</dc:creator>
  <cp:keywords/>
  <dc:description/>
  <cp:lastModifiedBy>Leidy Johana Lozano Florez</cp:lastModifiedBy>
  <cp:revision/>
  <dcterms:created xsi:type="dcterms:W3CDTF">2007-09-04T23:31:20Z</dcterms:created>
  <dcterms:modified xsi:type="dcterms:W3CDTF">2025-04-01T23:16:24Z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  <property fmtid="{D5CDD505-2E9C-101B-9397-08002B2CF9AE}" pid="7" name="ContentTypeId">
    <vt:lpwstr>0x01010027ACA514FDFB7E4584285591ACF9D010</vt:lpwstr>
  </property>
  <property fmtid="{D5CDD505-2E9C-101B-9397-08002B2CF9AE}" pid="8" name="MediaServiceImageTags">
    <vt:lpwstr/>
  </property>
</Properties>
</file>