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715" windowHeight="1056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1" i="1" l="1"/>
  <c r="K2" i="1" s="1"/>
  <c r="J2" i="1"/>
  <c r="I2" i="1"/>
  <c r="H2" i="1"/>
  <c r="J1" i="1"/>
  <c r="I1" i="1"/>
  <c r="H1" i="1"/>
  <c r="K16" i="2"/>
  <c r="K14" i="2"/>
  <c r="K12" i="2"/>
  <c r="K10" i="2"/>
  <c r="K8" i="2"/>
  <c r="J16" i="2"/>
  <c r="J14" i="2"/>
  <c r="J12" i="2"/>
  <c r="J10" i="2"/>
  <c r="J8" i="2"/>
  <c r="I14" i="2"/>
  <c r="I12" i="2"/>
  <c r="I10" i="2"/>
  <c r="I8" i="2"/>
  <c r="J39" i="1" l="1"/>
  <c r="F36" i="1"/>
  <c r="E36" i="1"/>
  <c r="H39" i="1"/>
  <c r="L39" i="1"/>
  <c r="M39" i="1"/>
  <c r="N39" i="1"/>
  <c r="O39" i="1"/>
  <c r="P39" i="1"/>
  <c r="Q39" i="1"/>
  <c r="R39" i="1"/>
  <c r="S39" i="1"/>
  <c r="T39" i="1"/>
  <c r="U39" i="1"/>
  <c r="G39" i="1"/>
  <c r="E37" i="1" l="1"/>
  <c r="K39" i="1" s="1"/>
  <c r="F37" i="1"/>
  <c r="I3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H10" i="1"/>
  <c r="M6" i="1"/>
  <c r="L6" i="1"/>
  <c r="K6" i="1"/>
  <c r="J6" i="1"/>
  <c r="I6" i="1"/>
  <c r="H21" i="1" l="1"/>
  <c r="H27" i="1" l="1"/>
  <c r="G24" i="1"/>
  <c r="G31" i="1" s="1"/>
  <c r="H20" i="1"/>
  <c r="H19" i="1"/>
  <c r="G45" i="1" l="1"/>
  <c r="G47" i="1" s="1"/>
  <c r="G49" i="1" l="1"/>
  <c r="G51" i="1" l="1"/>
  <c r="H48" i="1"/>
  <c r="G33" i="1" l="1"/>
  <c r="H15" i="1" l="1"/>
  <c r="I21" i="1" l="1"/>
  <c r="I27" i="1"/>
  <c r="I19" i="1"/>
  <c r="I20" i="1"/>
  <c r="I15" i="1"/>
  <c r="J21" i="1" l="1"/>
  <c r="G11" i="1"/>
  <c r="G12" i="1" s="1"/>
  <c r="H28" i="1"/>
  <c r="H18" i="1"/>
  <c r="H22" i="1" s="1"/>
  <c r="H24" i="1" s="1"/>
  <c r="J20" i="1"/>
  <c r="J27" i="1"/>
  <c r="J19" i="1"/>
  <c r="J15" i="1"/>
  <c r="K21" i="1" l="1"/>
  <c r="G35" i="1"/>
  <c r="H46" i="1"/>
  <c r="I18" i="1"/>
  <c r="I22" i="1" s="1"/>
  <c r="I24" i="1" s="1"/>
  <c r="I28" i="1"/>
  <c r="H11" i="1"/>
  <c r="H12" i="1" s="1"/>
  <c r="H35" i="1" s="1"/>
  <c r="K20" i="1"/>
  <c r="K27" i="1"/>
  <c r="K19" i="1"/>
  <c r="K15" i="1"/>
  <c r="L21" i="1" l="1"/>
  <c r="I46" i="1"/>
  <c r="J18" i="1"/>
  <c r="J22" i="1" s="1"/>
  <c r="J24" i="1" s="1"/>
  <c r="J28" i="1"/>
  <c r="L19" i="1"/>
  <c r="L20" i="1"/>
  <c r="L27" i="1"/>
  <c r="I11" i="1"/>
  <c r="I12" i="1" s="1"/>
  <c r="L15" i="1"/>
  <c r="M21" i="1" l="1"/>
  <c r="I35" i="1"/>
  <c r="J46" i="1"/>
  <c r="K18" i="1"/>
  <c r="K22" i="1" s="1"/>
  <c r="K28" i="1"/>
  <c r="H31" i="1"/>
  <c r="M19" i="1"/>
  <c r="M20" i="1"/>
  <c r="M27" i="1"/>
  <c r="J11" i="1"/>
  <c r="J12" i="1" s="1"/>
  <c r="J35" i="1" s="1"/>
  <c r="M15" i="1"/>
  <c r="K46" i="1" l="1"/>
  <c r="L18" i="1"/>
  <c r="L22" i="1" s="1"/>
  <c r="L24" i="1" s="1"/>
  <c r="L28" i="1"/>
  <c r="I31" i="1"/>
  <c r="H45" i="1"/>
  <c r="H47" i="1" s="1"/>
  <c r="K24" i="1"/>
  <c r="K11" i="1"/>
  <c r="K12" i="1" s="1"/>
  <c r="K35" i="1" s="1"/>
  <c r="L46" i="1" l="1"/>
  <c r="M18" i="1"/>
  <c r="M22" i="1" s="1"/>
  <c r="M28" i="1"/>
  <c r="J31" i="1"/>
  <c r="H49" i="1"/>
  <c r="I45" i="1"/>
  <c r="I47" i="1" s="1"/>
  <c r="L11" i="1"/>
  <c r="L12" i="1" s="1"/>
  <c r="L35" i="1" s="1"/>
  <c r="M46" i="1" l="1"/>
  <c r="K31" i="1"/>
  <c r="H51" i="1"/>
  <c r="I48" i="1"/>
  <c r="I49" i="1" s="1"/>
  <c r="J45" i="1"/>
  <c r="J47" i="1" s="1"/>
  <c r="M24" i="1"/>
  <c r="L31" i="1" l="1"/>
  <c r="H33" i="1"/>
  <c r="J48" i="1"/>
  <c r="J49" i="1" s="1"/>
  <c r="I51" i="1"/>
  <c r="I33" i="1" s="1"/>
  <c r="K45" i="1"/>
  <c r="K47" i="1" s="1"/>
  <c r="K48" i="1" l="1"/>
  <c r="K49" i="1" s="1"/>
  <c r="J51" i="1"/>
  <c r="J33" i="1" s="1"/>
  <c r="M31" i="1"/>
  <c r="L45" i="1"/>
  <c r="L47" i="1" s="1"/>
  <c r="I40" i="1" l="1"/>
  <c r="H40" i="1"/>
  <c r="J40" i="1"/>
  <c r="M45" i="1"/>
  <c r="M47" i="1" s="1"/>
  <c r="L48" i="1"/>
  <c r="L49" i="1" s="1"/>
  <c r="K51" i="1"/>
  <c r="K33" i="1" s="1"/>
  <c r="M48" i="1" l="1"/>
  <c r="M49" i="1" s="1"/>
  <c r="L51" i="1"/>
  <c r="K40" i="1" l="1"/>
  <c r="L33" i="1"/>
  <c r="N48" i="1"/>
  <c r="M51" i="1"/>
  <c r="M33" i="1" s="1"/>
  <c r="L40" i="1" l="1"/>
  <c r="U35" i="1" l="1"/>
  <c r="R6" i="1" l="1"/>
  <c r="R19" i="1"/>
  <c r="R21" i="1"/>
  <c r="R20" i="1"/>
  <c r="R27" i="1"/>
  <c r="Q21" i="1"/>
  <c r="Q27" i="1"/>
  <c r="Q20" i="1"/>
  <c r="Q19" i="1"/>
  <c r="Q6" i="1"/>
  <c r="P21" i="1"/>
  <c r="P27" i="1"/>
  <c r="P20" i="1"/>
  <c r="P19" i="1"/>
  <c r="P6" i="1"/>
  <c r="O21" i="1"/>
  <c r="O27" i="1"/>
  <c r="O19" i="1"/>
  <c r="O6" i="1"/>
  <c r="O20" i="1"/>
  <c r="U21" i="1"/>
  <c r="E21" i="1" s="1"/>
  <c r="U19" i="1"/>
  <c r="U27" i="1"/>
  <c r="U6" i="1"/>
  <c r="U20" i="1"/>
  <c r="T20" i="1"/>
  <c r="T27" i="1"/>
  <c r="T19" i="1"/>
  <c r="T6" i="1"/>
  <c r="T21" i="1"/>
  <c r="S27" i="1"/>
  <c r="S19" i="1"/>
  <c r="S6" i="1"/>
  <c r="S21" i="1"/>
  <c r="S20" i="1"/>
  <c r="N20" i="1"/>
  <c r="F20" i="1"/>
  <c r="E29" i="1"/>
  <c r="F29" i="1"/>
  <c r="N27" i="1"/>
  <c r="F27" i="1" s="1"/>
  <c r="S15" i="1"/>
  <c r="Q28" i="1"/>
  <c r="P15" i="1"/>
  <c r="Q15" i="1"/>
  <c r="R15" i="1"/>
  <c r="N19" i="1"/>
  <c r="F19" i="1" s="1"/>
  <c r="N21" i="1"/>
  <c r="P28" i="1"/>
  <c r="R28" i="1"/>
  <c r="O15" i="1"/>
  <c r="T15" i="1"/>
  <c r="U15" i="1"/>
  <c r="N6" i="1"/>
  <c r="N15" i="1"/>
  <c r="E15" i="1" l="1"/>
  <c r="E20" i="1"/>
  <c r="F21" i="1"/>
  <c r="E19" i="1"/>
  <c r="E27" i="1"/>
  <c r="R11" i="1"/>
  <c r="R12" i="1" s="1"/>
  <c r="R35" i="1" s="1"/>
  <c r="Q18" i="1"/>
  <c r="Q22" i="1" s="1"/>
  <c r="Q24" i="1" s="1"/>
  <c r="Q31" i="1" s="1"/>
  <c r="Q45" i="1" s="1"/>
  <c r="O18" i="1"/>
  <c r="O22" i="1" s="1"/>
  <c r="O24" i="1" s="1"/>
  <c r="O28" i="1"/>
  <c r="N11" i="1"/>
  <c r="N12" i="1" s="1"/>
  <c r="N35" i="1" s="1"/>
  <c r="U28" i="1"/>
  <c r="U18" i="1"/>
  <c r="U22" i="1" s="1"/>
  <c r="U24" i="1" s="1"/>
  <c r="T11" i="1"/>
  <c r="T12" i="1" s="1"/>
  <c r="T35" i="1" s="1"/>
  <c r="T18" i="1"/>
  <c r="T22" i="1" s="1"/>
  <c r="T24" i="1" s="1"/>
  <c r="T28" i="1"/>
  <c r="S11" i="1"/>
  <c r="S12" i="1" s="1"/>
  <c r="S35" i="1" s="1"/>
  <c r="M11" i="1"/>
  <c r="M12" i="1" s="1"/>
  <c r="N28" i="1"/>
  <c r="N18" i="1"/>
  <c r="F15" i="1"/>
  <c r="S28" i="1"/>
  <c r="O11" i="1"/>
  <c r="O12" i="1" s="1"/>
  <c r="O35" i="1" s="1"/>
  <c r="P11" i="1"/>
  <c r="P12" i="1" s="1"/>
  <c r="P35" i="1" s="1"/>
  <c r="Q11" i="1"/>
  <c r="Q12" i="1" s="1"/>
  <c r="Q35" i="1" s="1"/>
  <c r="S18" i="1"/>
  <c r="S22" i="1" s="1"/>
  <c r="S24" i="1" s="1"/>
  <c r="P18" i="1"/>
  <c r="P22" i="1" s="1"/>
  <c r="P24" i="1" s="1"/>
  <c r="P31" i="1" s="1"/>
  <c r="R18" i="1"/>
  <c r="R22" i="1" s="1"/>
  <c r="R24" i="1" s="1"/>
  <c r="R31" i="1" s="1"/>
  <c r="S31" i="1" l="1"/>
  <c r="S45" i="1" s="1"/>
  <c r="T31" i="1"/>
  <c r="T45" i="1" s="1"/>
  <c r="P45" i="1"/>
  <c r="O31" i="1"/>
  <c r="R45" i="1"/>
  <c r="F18" i="1"/>
  <c r="E18" i="1"/>
  <c r="N22" i="1"/>
  <c r="U31" i="1"/>
  <c r="F28" i="1"/>
  <c r="E28" i="1"/>
  <c r="M35" i="1"/>
  <c r="N46" i="1"/>
  <c r="E35" i="1" l="1"/>
  <c r="F35" i="1"/>
  <c r="O45" i="1"/>
  <c r="U45" i="1"/>
  <c r="U47" i="1" s="1"/>
  <c r="O46" i="1"/>
  <c r="F22" i="1"/>
  <c r="E22" i="1"/>
  <c r="N24" i="1"/>
  <c r="O47" i="1" l="1"/>
  <c r="P46" i="1"/>
  <c r="E24" i="1"/>
  <c r="F24" i="1"/>
  <c r="N31" i="1"/>
  <c r="M40" i="1"/>
  <c r="E31" i="1" l="1"/>
  <c r="N45" i="1"/>
  <c r="N47" i="1" s="1"/>
  <c r="F31" i="1"/>
  <c r="P47" i="1"/>
  <c r="Q46" i="1"/>
  <c r="Q47" i="1" l="1"/>
  <c r="R46" i="1"/>
  <c r="R47" i="1" s="1"/>
  <c r="N49" i="1"/>
  <c r="S46" i="1" l="1"/>
  <c r="O48" i="1"/>
  <c r="O49" i="1" s="1"/>
  <c r="N51" i="1"/>
  <c r="N33" i="1" l="1"/>
  <c r="O51" i="1"/>
  <c r="O33" i="1" s="1"/>
  <c r="P48" i="1"/>
  <c r="P49" i="1" s="1"/>
  <c r="S47" i="1"/>
  <c r="T46" i="1"/>
  <c r="T47" i="1" l="1"/>
  <c r="E47" i="1" s="1"/>
  <c r="E46" i="1"/>
  <c r="F46" i="1"/>
  <c r="P51" i="1"/>
  <c r="Q48" i="1"/>
  <c r="Q49" i="1" s="1"/>
  <c r="F47" i="1" l="1"/>
  <c r="R48" i="1"/>
  <c r="R49" i="1" s="1"/>
  <c r="Q51" i="1"/>
  <c r="Q33" i="1" s="1"/>
  <c r="O40" i="1"/>
  <c r="N40" i="1"/>
  <c r="P33" i="1"/>
  <c r="S48" i="1" l="1"/>
  <c r="S49" i="1" s="1"/>
  <c r="R51" i="1"/>
  <c r="P40" i="1" l="1"/>
  <c r="Q40" i="1"/>
  <c r="R33" i="1"/>
  <c r="T48" i="1"/>
  <c r="T49" i="1" s="1"/>
  <c r="S51" i="1"/>
  <c r="S33" i="1" s="1"/>
  <c r="T51" i="1" l="1"/>
  <c r="T33" i="1" s="1"/>
  <c r="U48" i="1"/>
  <c r="U49" i="1" s="1"/>
  <c r="U51" i="1" s="1"/>
  <c r="F51" i="1" l="1"/>
  <c r="U33" i="1"/>
  <c r="U40" i="1" s="1"/>
  <c r="E40" i="1" s="1"/>
  <c r="E51" i="1"/>
  <c r="C51" i="1" s="1"/>
  <c r="E49" i="1"/>
  <c r="S40" i="1"/>
  <c r="R40" i="1"/>
  <c r="T40" i="1"/>
  <c r="F49" i="1"/>
  <c r="E41" i="1" l="1"/>
  <c r="E33" i="1"/>
  <c r="E39" i="1"/>
  <c r="F39" i="1"/>
  <c r="F33" i="1"/>
</calcChain>
</file>

<file path=xl/sharedStrings.xml><?xml version="1.0" encoding="utf-8"?>
<sst xmlns="http://schemas.openxmlformats.org/spreadsheetml/2006/main" count="76" uniqueCount="67">
  <si>
    <t>Número de personas</t>
  </si>
  <si>
    <t>factor crecimiento</t>
  </si>
  <si>
    <t>Instalaciones</t>
  </si>
  <si>
    <t>Costo construcción</t>
  </si>
  <si>
    <t>UF/m2</t>
  </si>
  <si>
    <t>Construcción anual</t>
  </si>
  <si>
    <t>Ingresos</t>
  </si>
  <si>
    <t>Costos</t>
  </si>
  <si>
    <t>Internet</t>
  </si>
  <si>
    <t>Servicios</t>
  </si>
  <si>
    <t>UF/mes</t>
  </si>
  <si>
    <t>A&amp;V</t>
  </si>
  <si>
    <t>Operación</t>
  </si>
  <si>
    <t>Mantenimiento</t>
  </si>
  <si>
    <t>Subtotal costos</t>
  </si>
  <si>
    <t>suma</t>
  </si>
  <si>
    <t>VAN</t>
  </si>
  <si>
    <t>Flujo Neto</t>
  </si>
  <si>
    <t>Tasa de retorno</t>
  </si>
  <si>
    <t>Margen Operacional</t>
  </si>
  <si>
    <t>Gastos A&amp;V</t>
  </si>
  <si>
    <t>Seguros</t>
  </si>
  <si>
    <t>Inversión</t>
  </si>
  <si>
    <t>Impuestos</t>
  </si>
  <si>
    <t>EBITDA</t>
  </si>
  <si>
    <t>Impuestos proyecto puro</t>
  </si>
  <si>
    <t>Depreciación</t>
  </si>
  <si>
    <t>Utilidad periodo Antes de Impuestos</t>
  </si>
  <si>
    <t>Pérdida Acumulada</t>
  </si>
  <si>
    <t>Base Imponible</t>
  </si>
  <si>
    <t>Tasa impuestos</t>
  </si>
  <si>
    <t>Recuperación de la inversíón</t>
  </si>
  <si>
    <t>proyecto puro</t>
  </si>
  <si>
    <t>años</t>
  </si>
  <si>
    <t>?</t>
  </si>
  <si>
    <t>m2/p</t>
  </si>
  <si>
    <t>UF/p mes</t>
  </si>
  <si>
    <t>(valores en UF)</t>
  </si>
  <si>
    <t>n</t>
  </si>
  <si>
    <t>Tarifa por persona</t>
  </si>
  <si>
    <t>Inv/año</t>
  </si>
  <si>
    <t>Superficie construida</t>
  </si>
  <si>
    <t>PROYECTO TRABAJO REMOTO</t>
  </si>
  <si>
    <t>Pago al MOP ?</t>
  </si>
  <si>
    <t>Costo terrenos</t>
  </si>
  <si>
    <t>Subsidios Fijos</t>
  </si>
  <si>
    <t>OFFICE BUILDINGS</t>
  </si>
  <si>
    <t>2016 Median</t>
  </si>
  <si>
    <t>2015 Median 2016 1st Quartile</t>
  </si>
  <si>
    <t>Space utilization rate 441 GSF per person 448 GSF per person 333 GSF per person</t>
  </si>
  <si>
    <t>Utilities</t>
  </si>
  <si>
    <t>$3.33 per GSF $3.22 per GSF $2.22 per GSF</t>
  </si>
  <si>
    <t>Maintenance</t>
  </si>
  <si>
    <t>$2.36 per GSF $2.32 per GSF $1.73 per GSF</t>
  </si>
  <si>
    <t>Janitorial</t>
  </si>
  <si>
    <t>$1.36 per GSF $1.34 per GSF $1.22 per GSF</t>
  </si>
  <si>
    <t>Security</t>
  </si>
  <si>
    <t>$1.28 per GSF $1.27 per GSF $1.10 per GSF</t>
  </si>
  <si>
    <t>Total operating expenses $8.59 per GSF $8.31 per GSF</t>
  </si>
  <si>
    <t>$7.15 per GSF</t>
  </si>
  <si>
    <t>2015 and 2016 Office Building Utilization Rates and Costs. Data is from FM BENCHMARKING.</t>
  </si>
  <si>
    <t>Note: GSF = Gross Square Feet</t>
  </si>
  <si>
    <t>Note: Total operating expenses also include landscaping, grounds and waste management costs.</t>
  </si>
  <si>
    <t>USD/sqf</t>
  </si>
  <si>
    <t>USD/m2</t>
  </si>
  <si>
    <t>anual</t>
  </si>
  <si>
    <t>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</si>
</sst>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sz val="10"/>
      <name val="Arial"/>
      <family val="2"/>
    </font>
    <font>
      <i/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51">
    <xf numFmtId="0" fontId="0" fillId="0" borderId="0" xfId="0"/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0" fontId="3" fillId="0" borderId="0" xfId="0" applyFont="1"/>
    <xf numFmtId="165" fontId="3" fillId="0" borderId="0" xfId="0" applyNumberFormat="1" applyFont="1"/>
    <xf numFmtId="0" fontId="3" fillId="2" borderId="2" xfId="0" applyFont="1" applyFill="1" applyBorder="1" applyAlignment="1">
      <alignment horizontal="center"/>
    </xf>
    <xf numFmtId="0" fontId="3" fillId="0" borderId="2" xfId="0" applyFont="1" applyBorder="1"/>
    <xf numFmtId="165" fontId="3" fillId="0" borderId="2" xfId="0" applyNumberFormat="1" applyFont="1" applyBorder="1"/>
    <xf numFmtId="0" fontId="2" fillId="0" borderId="0" xfId="0" applyFont="1"/>
    <xf numFmtId="165" fontId="4" fillId="0" borderId="0" xfId="0" applyNumberFormat="1" applyFont="1"/>
    <xf numFmtId="165" fontId="4" fillId="0" borderId="2" xfId="0" applyNumberFormat="1" applyFont="1" applyBorder="1"/>
    <xf numFmtId="165" fontId="2" fillId="0" borderId="0" xfId="0" applyNumberFormat="1" applyFont="1"/>
    <xf numFmtId="0" fontId="2" fillId="2" borderId="0" xfId="0" applyFont="1" applyFill="1"/>
    <xf numFmtId="165" fontId="4" fillId="2" borderId="0" xfId="0" applyNumberFormat="1" applyFont="1" applyFill="1"/>
    <xf numFmtId="165" fontId="4" fillId="2" borderId="2" xfId="0" applyNumberFormat="1" applyFont="1" applyFill="1" applyBorder="1"/>
    <xf numFmtId="165" fontId="2" fillId="2" borderId="0" xfId="0" applyNumberFormat="1" applyFont="1" applyFill="1"/>
    <xf numFmtId="0" fontId="5" fillId="0" borderId="0" xfId="0" applyFont="1"/>
    <xf numFmtId="0" fontId="5" fillId="0" borderId="2" xfId="0" applyFont="1" applyBorder="1"/>
    <xf numFmtId="0" fontId="5" fillId="0" borderId="0" xfId="0" applyFont="1" applyAlignment="1">
      <alignment horizontal="left" indent="1"/>
    </xf>
    <xf numFmtId="165" fontId="5" fillId="0" borderId="0" xfId="1" applyNumberFormat="1" applyFont="1"/>
    <xf numFmtId="164" fontId="5" fillId="0" borderId="0" xfId="1" applyNumberFormat="1" applyFont="1"/>
    <xf numFmtId="165" fontId="5" fillId="0" borderId="0" xfId="0" applyNumberFormat="1" applyFont="1"/>
    <xf numFmtId="0" fontId="0" fillId="0" borderId="0" xfId="0" applyAlignment="1">
      <alignment horizontal="left"/>
    </xf>
    <xf numFmtId="166" fontId="0" fillId="0" borderId="0" xfId="0" applyNumberFormat="1"/>
    <xf numFmtId="0" fontId="2" fillId="0" borderId="0" xfId="0" applyFont="1" applyAlignment="1">
      <alignment horizontal="left"/>
    </xf>
    <xf numFmtId="9" fontId="2" fillId="0" borderId="0" xfId="0" applyNumberFormat="1" applyFont="1"/>
    <xf numFmtId="165" fontId="2" fillId="0" borderId="0" xfId="1" applyNumberFormat="1" applyFont="1"/>
    <xf numFmtId="166" fontId="2" fillId="0" borderId="0" xfId="2" applyNumberFormat="1" applyFont="1"/>
    <xf numFmtId="165" fontId="7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 indent="1"/>
    </xf>
    <xf numFmtId="165" fontId="10" fillId="0" borderId="0" xfId="0" applyNumberFormat="1" applyFont="1"/>
    <xf numFmtId="165" fontId="10" fillId="0" borderId="2" xfId="0" applyNumberFormat="1" applyFont="1" applyBorder="1"/>
    <xf numFmtId="9" fontId="11" fillId="0" borderId="0" xfId="0" applyNumberFormat="1" applyFont="1"/>
    <xf numFmtId="0" fontId="9" fillId="0" borderId="3" xfId="0" applyFont="1" applyBorder="1" applyAlignment="1">
      <alignment horizontal="left" indent="1"/>
    </xf>
    <xf numFmtId="9" fontId="12" fillId="0" borderId="3" xfId="0" applyNumberFormat="1" applyFont="1" applyBorder="1"/>
    <xf numFmtId="0" fontId="9" fillId="0" borderId="3" xfId="0" applyFont="1" applyBorder="1"/>
    <xf numFmtId="165" fontId="9" fillId="0" borderId="3" xfId="0" applyNumberFormat="1" applyFont="1" applyBorder="1"/>
    <xf numFmtId="165" fontId="9" fillId="0" borderId="4" xfId="0" applyNumberFormat="1" applyFont="1" applyBorder="1"/>
    <xf numFmtId="0" fontId="13" fillId="0" borderId="0" xfId="0" applyFont="1"/>
    <xf numFmtId="0" fontId="14" fillId="0" borderId="0" xfId="0" applyFont="1"/>
    <xf numFmtId="43" fontId="0" fillId="0" borderId="0" xfId="1" applyNumberFormat="1" applyFont="1"/>
    <xf numFmtId="43" fontId="0" fillId="0" borderId="0" xfId="0" applyNumberFormat="1"/>
  </cellXfs>
  <cellStyles count="4">
    <cellStyle name="Millares" xfId="1" builtinId="3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1"/>
  <sheetViews>
    <sheetView workbookViewId="0">
      <selection activeCell="H2" sqref="H2"/>
    </sheetView>
  </sheetViews>
  <sheetFormatPr baseColWidth="10" defaultRowHeight="15" x14ac:dyDescent="0.25"/>
  <cols>
    <col min="1" max="1" width="4.42578125" customWidth="1"/>
    <col min="2" max="2" width="26" customWidth="1"/>
    <col min="3" max="3" width="6.85546875" customWidth="1"/>
    <col min="7" max="21" width="9.7109375" customWidth="1"/>
  </cols>
  <sheetData>
    <row r="1" spans="2:21" x14ac:dyDescent="0.25">
      <c r="H1" s="7">
        <f>-(+H18+H19+H21)</f>
        <v>3350</v>
      </c>
      <c r="I1" s="7">
        <f>-(+I18+I19+I21)</f>
        <v>6700</v>
      </c>
      <c r="J1" s="7">
        <f>-(+J18+J19+J21)</f>
        <v>13400</v>
      </c>
      <c r="K1" s="7">
        <f>-(+K18+K19+K21)</f>
        <v>20100</v>
      </c>
    </row>
    <row r="2" spans="2:21" ht="15.75" x14ac:dyDescent="0.25">
      <c r="B2" s="35" t="s">
        <v>42</v>
      </c>
      <c r="H2" s="50">
        <f>-H1/(H7*10)</f>
        <v>-1.34</v>
      </c>
      <c r="I2" s="50">
        <f>-I1/(I7*10)</f>
        <v>-1.34</v>
      </c>
      <c r="J2" s="50">
        <f>-J1/(J7*10)</f>
        <v>-1.34</v>
      </c>
      <c r="K2" s="50">
        <f>-K1/(K7*10)</f>
        <v>-1.34</v>
      </c>
    </row>
    <row r="3" spans="2:21" x14ac:dyDescent="0.25">
      <c r="B3" s="9" t="s">
        <v>37</v>
      </c>
    </row>
    <row r="4" spans="2:21" x14ac:dyDescent="0.25">
      <c r="E4" s="2" t="s">
        <v>15</v>
      </c>
      <c r="F4" s="11" t="s">
        <v>16</v>
      </c>
      <c r="G4" s="2">
        <v>1</v>
      </c>
      <c r="H4" s="2">
        <v>2</v>
      </c>
      <c r="I4" s="2">
        <v>3</v>
      </c>
      <c r="J4" s="2">
        <v>4</v>
      </c>
      <c r="K4" s="2">
        <v>5</v>
      </c>
      <c r="L4" s="2">
        <v>6</v>
      </c>
      <c r="M4" s="2">
        <v>7</v>
      </c>
      <c r="N4" s="2">
        <v>8</v>
      </c>
      <c r="O4" s="2">
        <v>9</v>
      </c>
      <c r="P4" s="2">
        <v>10</v>
      </c>
      <c r="Q4" s="2">
        <v>11</v>
      </c>
      <c r="R4" s="2">
        <v>12</v>
      </c>
      <c r="S4" s="2">
        <v>13</v>
      </c>
      <c r="T4" s="2">
        <v>14</v>
      </c>
      <c r="U4" s="2">
        <v>15</v>
      </c>
    </row>
    <row r="5" spans="2:21" s="22" customFormat="1" x14ac:dyDescent="0.25">
      <c r="F5" s="23"/>
    </row>
    <row r="6" spans="2:21" s="22" customFormat="1" x14ac:dyDescent="0.25">
      <c r="B6" s="24" t="s">
        <v>1</v>
      </c>
      <c r="C6" s="25"/>
      <c r="F6" s="23"/>
      <c r="I6" s="26">
        <f>+I7/H7</f>
        <v>2</v>
      </c>
      <c r="J6" s="26">
        <f t="shared" ref="J6:U6" si="0">+J7/I7</f>
        <v>2</v>
      </c>
      <c r="K6" s="26">
        <f t="shared" si="0"/>
        <v>1.5</v>
      </c>
      <c r="L6" s="26">
        <f t="shared" si="0"/>
        <v>1</v>
      </c>
      <c r="M6" s="26">
        <f t="shared" si="0"/>
        <v>1</v>
      </c>
      <c r="N6" s="26">
        <f t="shared" si="0"/>
        <v>1</v>
      </c>
      <c r="O6" s="26">
        <f t="shared" si="0"/>
        <v>1</v>
      </c>
      <c r="P6" s="26">
        <f t="shared" si="0"/>
        <v>1</v>
      </c>
      <c r="Q6" s="26">
        <f t="shared" si="0"/>
        <v>1</v>
      </c>
      <c r="R6" s="26">
        <f t="shared" si="0"/>
        <v>1</v>
      </c>
      <c r="S6" s="26">
        <f t="shared" si="0"/>
        <v>1</v>
      </c>
      <c r="T6" s="26">
        <f t="shared" si="0"/>
        <v>1</v>
      </c>
      <c r="U6" s="26">
        <f t="shared" si="0"/>
        <v>1</v>
      </c>
    </row>
    <row r="7" spans="2:21" s="22" customFormat="1" x14ac:dyDescent="0.25">
      <c r="B7" s="24" t="s">
        <v>0</v>
      </c>
      <c r="D7" s="22" t="s">
        <v>38</v>
      </c>
      <c r="F7" s="23"/>
      <c r="H7" s="25">
        <v>250</v>
      </c>
      <c r="I7" s="25">
        <v>500</v>
      </c>
      <c r="J7" s="25">
        <v>1000</v>
      </c>
      <c r="K7" s="25">
        <v>1500</v>
      </c>
      <c r="L7" s="25">
        <v>1500</v>
      </c>
      <c r="M7" s="25">
        <v>1500</v>
      </c>
      <c r="N7" s="25">
        <v>1500</v>
      </c>
      <c r="O7" s="25">
        <v>1500</v>
      </c>
      <c r="P7" s="25">
        <v>1500</v>
      </c>
      <c r="Q7" s="25">
        <v>1500</v>
      </c>
      <c r="R7" s="25">
        <v>1500</v>
      </c>
      <c r="S7" s="25">
        <v>1500</v>
      </c>
      <c r="T7" s="25">
        <v>1500</v>
      </c>
      <c r="U7" s="25">
        <v>1500</v>
      </c>
    </row>
    <row r="8" spans="2:21" s="22" customFormat="1" x14ac:dyDescent="0.25">
      <c r="F8" s="23"/>
    </row>
    <row r="9" spans="2:21" s="22" customFormat="1" x14ac:dyDescent="0.25">
      <c r="B9" s="22" t="s">
        <v>2</v>
      </c>
      <c r="F9" s="23"/>
    </row>
    <row r="10" spans="2:21" s="22" customFormat="1" x14ac:dyDescent="0.25">
      <c r="B10" s="24" t="s">
        <v>41</v>
      </c>
      <c r="C10" s="26">
        <v>10</v>
      </c>
      <c r="D10" s="22" t="s">
        <v>35</v>
      </c>
      <c r="F10" s="23"/>
      <c r="H10" s="27">
        <f>+$C10*H$7</f>
        <v>2500</v>
      </c>
      <c r="I10" s="27">
        <f t="shared" ref="I10:U10" si="1">+$C10*I$7</f>
        <v>5000</v>
      </c>
      <c r="J10" s="27">
        <f t="shared" si="1"/>
        <v>10000</v>
      </c>
      <c r="K10" s="27">
        <f t="shared" si="1"/>
        <v>15000</v>
      </c>
      <c r="L10" s="27">
        <f t="shared" si="1"/>
        <v>15000</v>
      </c>
      <c r="M10" s="27">
        <f t="shared" si="1"/>
        <v>15000</v>
      </c>
      <c r="N10" s="27">
        <f t="shared" si="1"/>
        <v>15000</v>
      </c>
      <c r="O10" s="27">
        <f t="shared" si="1"/>
        <v>15000</v>
      </c>
      <c r="P10" s="27">
        <f t="shared" si="1"/>
        <v>15000</v>
      </c>
      <c r="Q10" s="27">
        <f t="shared" si="1"/>
        <v>15000</v>
      </c>
      <c r="R10" s="27">
        <f t="shared" si="1"/>
        <v>15000</v>
      </c>
      <c r="S10" s="27">
        <f t="shared" si="1"/>
        <v>15000</v>
      </c>
      <c r="T10" s="27">
        <f t="shared" si="1"/>
        <v>15000</v>
      </c>
      <c r="U10" s="27">
        <f t="shared" si="1"/>
        <v>15000</v>
      </c>
    </row>
    <row r="11" spans="2:21" s="22" customFormat="1" x14ac:dyDescent="0.25">
      <c r="B11" s="24" t="s">
        <v>5</v>
      </c>
      <c r="C11" s="26"/>
      <c r="D11" s="22" t="s">
        <v>35</v>
      </c>
      <c r="F11" s="23"/>
      <c r="G11" s="27">
        <f>+H10</f>
        <v>2500</v>
      </c>
      <c r="H11" s="27">
        <f t="shared" ref="H11:T11" si="2">MAX(0,+I10-H10)</f>
        <v>2500</v>
      </c>
      <c r="I11" s="27">
        <f t="shared" si="2"/>
        <v>5000</v>
      </c>
      <c r="J11" s="27">
        <f t="shared" si="2"/>
        <v>5000</v>
      </c>
      <c r="K11" s="27">
        <f t="shared" si="2"/>
        <v>0</v>
      </c>
      <c r="L11" s="27">
        <f t="shared" si="2"/>
        <v>0</v>
      </c>
      <c r="M11" s="27">
        <f t="shared" si="2"/>
        <v>0</v>
      </c>
      <c r="N11" s="27">
        <f t="shared" si="2"/>
        <v>0</v>
      </c>
      <c r="O11" s="27">
        <f t="shared" si="2"/>
        <v>0</v>
      </c>
      <c r="P11" s="27">
        <f t="shared" si="2"/>
        <v>0</v>
      </c>
      <c r="Q11" s="27">
        <f t="shared" si="2"/>
        <v>0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/>
    </row>
    <row r="12" spans="2:21" s="22" customFormat="1" x14ac:dyDescent="0.25">
      <c r="B12" s="24" t="s">
        <v>3</v>
      </c>
      <c r="C12" s="26">
        <v>14</v>
      </c>
      <c r="D12" s="22" t="s">
        <v>4</v>
      </c>
      <c r="F12" s="23"/>
      <c r="G12" s="27">
        <f t="shared" ref="G12:T12" si="3">+G11*$C12</f>
        <v>35000</v>
      </c>
      <c r="H12" s="27">
        <f t="shared" si="3"/>
        <v>35000</v>
      </c>
      <c r="I12" s="27">
        <f t="shared" si="3"/>
        <v>70000</v>
      </c>
      <c r="J12" s="27">
        <f t="shared" si="3"/>
        <v>70000</v>
      </c>
      <c r="K12" s="27">
        <f t="shared" si="3"/>
        <v>0</v>
      </c>
      <c r="L12" s="27">
        <f t="shared" si="3"/>
        <v>0</v>
      </c>
      <c r="M12" s="27">
        <f t="shared" si="3"/>
        <v>0</v>
      </c>
      <c r="N12" s="27">
        <f t="shared" si="3"/>
        <v>0</v>
      </c>
      <c r="O12" s="27">
        <f t="shared" si="3"/>
        <v>0</v>
      </c>
      <c r="P12" s="27">
        <f t="shared" si="3"/>
        <v>0</v>
      </c>
      <c r="Q12" s="27">
        <f t="shared" si="3"/>
        <v>0</v>
      </c>
      <c r="R12" s="27">
        <f t="shared" si="3"/>
        <v>0</v>
      </c>
      <c r="S12" s="27">
        <f t="shared" si="3"/>
        <v>0</v>
      </c>
      <c r="T12" s="27">
        <f t="shared" si="3"/>
        <v>0</v>
      </c>
      <c r="U12" s="27"/>
    </row>
    <row r="13" spans="2:21" s="22" customFormat="1" x14ac:dyDescent="0.25">
      <c r="B13" s="24"/>
      <c r="C13" s="26"/>
      <c r="F13" s="23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2:21" x14ac:dyDescent="0.25">
      <c r="B14" s="48" t="s">
        <v>6</v>
      </c>
      <c r="C14" s="4"/>
      <c r="E14" s="9"/>
      <c r="F14" s="12"/>
    </row>
    <row r="15" spans="2:21" x14ac:dyDescent="0.25">
      <c r="B15" s="1" t="s">
        <v>39</v>
      </c>
      <c r="C15" s="4">
        <v>4</v>
      </c>
      <c r="D15" t="s">
        <v>36</v>
      </c>
      <c r="E15" s="10">
        <f>SUM(G15:U15)</f>
        <v>876000</v>
      </c>
      <c r="F15" s="13">
        <f>NPV(10%,G15:U15)</f>
        <v>380140.96876811486</v>
      </c>
      <c r="G15" s="3">
        <v>0</v>
      </c>
      <c r="H15" s="7">
        <f>+$C15*H$7*12</f>
        <v>12000</v>
      </c>
      <c r="I15" s="7">
        <f t="shared" ref="I15:U15" si="4">+$C15*I$7*12</f>
        <v>24000</v>
      </c>
      <c r="J15" s="7">
        <f t="shared" si="4"/>
        <v>48000</v>
      </c>
      <c r="K15" s="7">
        <f t="shared" si="4"/>
        <v>72000</v>
      </c>
      <c r="L15" s="7">
        <f t="shared" si="4"/>
        <v>72000</v>
      </c>
      <c r="M15" s="7">
        <f t="shared" si="4"/>
        <v>72000</v>
      </c>
      <c r="N15" s="7">
        <f t="shared" si="4"/>
        <v>72000</v>
      </c>
      <c r="O15" s="7">
        <f t="shared" si="4"/>
        <v>72000</v>
      </c>
      <c r="P15" s="7">
        <f t="shared" si="4"/>
        <v>72000</v>
      </c>
      <c r="Q15" s="7">
        <f t="shared" si="4"/>
        <v>72000</v>
      </c>
      <c r="R15" s="7">
        <f t="shared" si="4"/>
        <v>72000</v>
      </c>
      <c r="S15" s="7">
        <f t="shared" si="4"/>
        <v>72000</v>
      </c>
      <c r="T15" s="7">
        <f t="shared" si="4"/>
        <v>72000</v>
      </c>
      <c r="U15" s="7">
        <f t="shared" si="4"/>
        <v>72000</v>
      </c>
    </row>
    <row r="16" spans="2:21" x14ac:dyDescent="0.25">
      <c r="C16" s="4"/>
      <c r="E16" s="9"/>
      <c r="F16" s="12"/>
    </row>
    <row r="17" spans="2:21" x14ac:dyDescent="0.25">
      <c r="B17" s="48" t="s">
        <v>7</v>
      </c>
      <c r="E17" s="9"/>
      <c r="F17" s="12"/>
    </row>
    <row r="18" spans="2:21" x14ac:dyDescent="0.25">
      <c r="B18" s="1" t="s">
        <v>13</v>
      </c>
      <c r="C18" s="6">
        <v>0.04</v>
      </c>
      <c r="D18" t="s">
        <v>40</v>
      </c>
      <c r="E18" s="10">
        <f>SUM(G18:U18)</f>
        <v>-102200</v>
      </c>
      <c r="F18" s="13">
        <f>NPV(10%,G18:U18)</f>
        <v>-44349.779689613395</v>
      </c>
      <c r="G18" s="7">
        <v>0</v>
      </c>
      <c r="H18" s="7">
        <f>-$C18*H$10*$C$12</f>
        <v>-1400</v>
      </c>
      <c r="I18" s="7">
        <f t="shared" ref="I18:U18" si="5">-$C18*I$10*$C$12</f>
        <v>-2800</v>
      </c>
      <c r="J18" s="7">
        <f t="shared" si="5"/>
        <v>-5600</v>
      </c>
      <c r="K18" s="7">
        <f t="shared" si="5"/>
        <v>-8400</v>
      </c>
      <c r="L18" s="7">
        <f t="shared" si="5"/>
        <v>-8400</v>
      </c>
      <c r="M18" s="7">
        <f t="shared" si="5"/>
        <v>-8400</v>
      </c>
      <c r="N18" s="7">
        <f t="shared" si="5"/>
        <v>-8400</v>
      </c>
      <c r="O18" s="7">
        <f t="shared" si="5"/>
        <v>-8400</v>
      </c>
      <c r="P18" s="7">
        <f t="shared" si="5"/>
        <v>-8400</v>
      </c>
      <c r="Q18" s="7">
        <f t="shared" si="5"/>
        <v>-8400</v>
      </c>
      <c r="R18" s="7">
        <f t="shared" si="5"/>
        <v>-8400</v>
      </c>
      <c r="S18" s="7">
        <f t="shared" si="5"/>
        <v>-8400</v>
      </c>
      <c r="T18" s="7">
        <f t="shared" si="5"/>
        <v>-8400</v>
      </c>
      <c r="U18" s="7">
        <f t="shared" si="5"/>
        <v>-8400</v>
      </c>
    </row>
    <row r="19" spans="2:21" x14ac:dyDescent="0.25">
      <c r="B19" s="1" t="s">
        <v>12</v>
      </c>
      <c r="C19" s="49">
        <v>0.25</v>
      </c>
      <c r="D19" t="s">
        <v>36</v>
      </c>
      <c r="E19" s="10">
        <f>SUM(G19:U19)</f>
        <v>-54750</v>
      </c>
      <c r="F19" s="13">
        <f>NPV(10%,G19:U19)</f>
        <v>-23758.810548007179</v>
      </c>
      <c r="G19" s="7">
        <v>0</v>
      </c>
      <c r="H19" s="7">
        <f>-$C19*H$7*12</f>
        <v>-750</v>
      </c>
      <c r="I19" s="7">
        <f t="shared" ref="I19:U19" si="6">-$C19*I$7*12</f>
        <v>-1500</v>
      </c>
      <c r="J19" s="7">
        <f t="shared" si="6"/>
        <v>-3000</v>
      </c>
      <c r="K19" s="7">
        <f t="shared" si="6"/>
        <v>-4500</v>
      </c>
      <c r="L19" s="7">
        <f t="shared" si="6"/>
        <v>-4500</v>
      </c>
      <c r="M19" s="7">
        <f t="shared" si="6"/>
        <v>-4500</v>
      </c>
      <c r="N19" s="7">
        <f t="shared" si="6"/>
        <v>-4500</v>
      </c>
      <c r="O19" s="7">
        <f t="shared" si="6"/>
        <v>-4500</v>
      </c>
      <c r="P19" s="7">
        <f t="shared" si="6"/>
        <v>-4500</v>
      </c>
      <c r="Q19" s="7">
        <f t="shared" si="6"/>
        <v>-4500</v>
      </c>
      <c r="R19" s="7">
        <f t="shared" si="6"/>
        <v>-4500</v>
      </c>
      <c r="S19" s="7">
        <f t="shared" si="6"/>
        <v>-4500</v>
      </c>
      <c r="T19" s="7">
        <f t="shared" si="6"/>
        <v>-4500</v>
      </c>
      <c r="U19" s="7">
        <f t="shared" si="6"/>
        <v>-4500</v>
      </c>
    </row>
    <row r="20" spans="2:21" x14ac:dyDescent="0.25">
      <c r="B20" s="1" t="s">
        <v>8</v>
      </c>
      <c r="C20">
        <v>100</v>
      </c>
      <c r="D20" t="s">
        <v>10</v>
      </c>
      <c r="E20" s="10">
        <f>SUM(G20:U20)</f>
        <v>-16800</v>
      </c>
      <c r="F20" s="13">
        <f>NPV(10%,G20:U20)</f>
        <v>-8036.3863166609399</v>
      </c>
      <c r="G20" s="7">
        <v>0</v>
      </c>
      <c r="H20" s="7">
        <f t="shared" ref="H20:U20" si="7">-$C20*12*(H7&gt;0)</f>
        <v>-1200</v>
      </c>
      <c r="I20" s="7">
        <f t="shared" si="7"/>
        <v>-1200</v>
      </c>
      <c r="J20" s="7">
        <f t="shared" si="7"/>
        <v>-1200</v>
      </c>
      <c r="K20" s="7">
        <f t="shared" si="7"/>
        <v>-1200</v>
      </c>
      <c r="L20" s="7">
        <f t="shared" si="7"/>
        <v>-1200</v>
      </c>
      <c r="M20" s="7">
        <f t="shared" si="7"/>
        <v>-1200</v>
      </c>
      <c r="N20" s="7">
        <f t="shared" si="7"/>
        <v>-1200</v>
      </c>
      <c r="O20" s="7">
        <f t="shared" si="7"/>
        <v>-1200</v>
      </c>
      <c r="P20" s="7">
        <f t="shared" si="7"/>
        <v>-1200</v>
      </c>
      <c r="Q20" s="7">
        <f t="shared" si="7"/>
        <v>-1200</v>
      </c>
      <c r="R20" s="7">
        <f t="shared" si="7"/>
        <v>-1200</v>
      </c>
      <c r="S20" s="7">
        <f t="shared" si="7"/>
        <v>-1200</v>
      </c>
      <c r="T20" s="7">
        <f t="shared" si="7"/>
        <v>-1200</v>
      </c>
      <c r="U20" s="7">
        <f t="shared" si="7"/>
        <v>-1200</v>
      </c>
    </row>
    <row r="21" spans="2:21" x14ac:dyDescent="0.25">
      <c r="B21" s="1" t="s">
        <v>9</v>
      </c>
      <c r="C21" s="4">
        <v>0.4</v>
      </c>
      <c r="D21" t="s">
        <v>36</v>
      </c>
      <c r="E21" s="10">
        <f>SUM(G21:U21)</f>
        <v>-87600</v>
      </c>
      <c r="F21" s="13">
        <f>NPV(10%,G21:U21)</f>
        <v>-38014.096876811491</v>
      </c>
      <c r="G21" s="8">
        <v>0</v>
      </c>
      <c r="H21" s="8">
        <f>-$C21*H$7*12</f>
        <v>-1200</v>
      </c>
      <c r="I21" s="8">
        <f t="shared" ref="I21:U21" si="8">-$C21*I$7*12</f>
        <v>-2400</v>
      </c>
      <c r="J21" s="8">
        <f t="shared" si="8"/>
        <v>-4800</v>
      </c>
      <c r="K21" s="8">
        <f t="shared" si="8"/>
        <v>-7200</v>
      </c>
      <c r="L21" s="8">
        <f t="shared" si="8"/>
        <v>-7200</v>
      </c>
      <c r="M21" s="8">
        <f t="shared" si="8"/>
        <v>-7200</v>
      </c>
      <c r="N21" s="8">
        <f t="shared" si="8"/>
        <v>-7200</v>
      </c>
      <c r="O21" s="8">
        <f t="shared" si="8"/>
        <v>-7200</v>
      </c>
      <c r="P21" s="8">
        <f t="shared" si="8"/>
        <v>-7200</v>
      </c>
      <c r="Q21" s="8">
        <f t="shared" si="8"/>
        <v>-7200</v>
      </c>
      <c r="R21" s="8">
        <f t="shared" si="8"/>
        <v>-7200</v>
      </c>
      <c r="S21" s="8">
        <f t="shared" si="8"/>
        <v>-7200</v>
      </c>
      <c r="T21" s="8">
        <f t="shared" si="8"/>
        <v>-7200</v>
      </c>
      <c r="U21" s="8">
        <f t="shared" si="8"/>
        <v>-7200</v>
      </c>
    </row>
    <row r="22" spans="2:21" x14ac:dyDescent="0.25">
      <c r="B22" s="1" t="s">
        <v>14</v>
      </c>
      <c r="E22" s="10">
        <f>SUM(G22:U22)</f>
        <v>-261350</v>
      </c>
      <c r="F22" s="13">
        <f>NPV(10%,G22:U22)</f>
        <v>-114159.07343109301</v>
      </c>
      <c r="G22" s="7">
        <v>0</v>
      </c>
      <c r="H22" s="7">
        <f t="shared" ref="H22:U22" si="9">SUM(H18:H21)</f>
        <v>-4550</v>
      </c>
      <c r="I22" s="7">
        <f t="shared" si="9"/>
        <v>-7900</v>
      </c>
      <c r="J22" s="7">
        <f t="shared" si="9"/>
        <v>-14600</v>
      </c>
      <c r="K22" s="7">
        <f t="shared" si="9"/>
        <v>-21300</v>
      </c>
      <c r="L22" s="7">
        <f t="shared" si="9"/>
        <v>-21300</v>
      </c>
      <c r="M22" s="7">
        <f t="shared" si="9"/>
        <v>-21300</v>
      </c>
      <c r="N22" s="7">
        <f t="shared" si="9"/>
        <v>-21300</v>
      </c>
      <c r="O22" s="7">
        <f t="shared" si="9"/>
        <v>-21300</v>
      </c>
      <c r="P22" s="7">
        <f t="shared" si="9"/>
        <v>-21300</v>
      </c>
      <c r="Q22" s="7">
        <f t="shared" si="9"/>
        <v>-21300</v>
      </c>
      <c r="R22" s="7">
        <f t="shared" si="9"/>
        <v>-21300</v>
      </c>
      <c r="S22" s="7">
        <f t="shared" si="9"/>
        <v>-21300</v>
      </c>
      <c r="T22" s="7">
        <f t="shared" si="9"/>
        <v>-21300</v>
      </c>
      <c r="U22" s="7">
        <f t="shared" si="9"/>
        <v>-21300</v>
      </c>
    </row>
    <row r="23" spans="2:21" x14ac:dyDescent="0.25">
      <c r="B23" s="1"/>
      <c r="E23" s="9"/>
      <c r="F23" s="12"/>
      <c r="H23" s="7"/>
    </row>
    <row r="24" spans="2:21" x14ac:dyDescent="0.25">
      <c r="B24" s="28" t="s">
        <v>19</v>
      </c>
      <c r="E24" s="10">
        <f>SUM(G24:U24)</f>
        <v>614650</v>
      </c>
      <c r="F24" s="13">
        <f>NPV(10%,G24:U24)</f>
        <v>265981.89533702185</v>
      </c>
      <c r="G24" s="5">
        <f>+G15+G22</f>
        <v>0</v>
      </c>
      <c r="H24" s="5">
        <f t="shared" ref="H24:U24" si="10">+H15+H22</f>
        <v>7450</v>
      </c>
      <c r="I24" s="5">
        <f t="shared" si="10"/>
        <v>16100</v>
      </c>
      <c r="J24" s="5">
        <f t="shared" si="10"/>
        <v>33400</v>
      </c>
      <c r="K24" s="5">
        <f t="shared" si="10"/>
        <v>50700</v>
      </c>
      <c r="L24" s="5">
        <f t="shared" si="10"/>
        <v>50700</v>
      </c>
      <c r="M24" s="5">
        <f t="shared" si="10"/>
        <v>50700</v>
      </c>
      <c r="N24" s="5">
        <f t="shared" si="10"/>
        <v>50700</v>
      </c>
      <c r="O24" s="5">
        <f t="shared" si="10"/>
        <v>50700</v>
      </c>
      <c r="P24" s="5">
        <f t="shared" si="10"/>
        <v>50700</v>
      </c>
      <c r="Q24" s="5">
        <f t="shared" si="10"/>
        <v>50700</v>
      </c>
      <c r="R24" s="5">
        <f t="shared" si="10"/>
        <v>50700</v>
      </c>
      <c r="S24" s="5">
        <f t="shared" si="10"/>
        <v>50700</v>
      </c>
      <c r="T24" s="5">
        <f t="shared" si="10"/>
        <v>50700</v>
      </c>
      <c r="U24" s="5">
        <f t="shared" si="10"/>
        <v>50700</v>
      </c>
    </row>
    <row r="25" spans="2:21" x14ac:dyDescent="0.25">
      <c r="B25" s="1"/>
      <c r="E25" s="10"/>
      <c r="F25" s="13"/>
      <c r="G25" s="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2:21" x14ac:dyDescent="0.25">
      <c r="B26" s="48" t="s">
        <v>20</v>
      </c>
      <c r="E26" s="10"/>
      <c r="F26" s="13"/>
      <c r="G26" s="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2:21" x14ac:dyDescent="0.25">
      <c r="B27" s="1" t="s">
        <v>11</v>
      </c>
      <c r="C27" s="4" t="s">
        <v>34</v>
      </c>
      <c r="E27" s="10">
        <f>SUM(G27:U27)</f>
        <v>-112000</v>
      </c>
      <c r="F27" s="13">
        <f>NPV(10%,G27:U27)</f>
        <v>-53575.908777739605</v>
      </c>
      <c r="G27" s="7">
        <v>0</v>
      </c>
      <c r="H27" s="7">
        <f t="shared" ref="H27:U27" si="11">-8000*(H7&gt;0)</f>
        <v>-8000</v>
      </c>
      <c r="I27" s="7">
        <f t="shared" si="11"/>
        <v>-8000</v>
      </c>
      <c r="J27" s="7">
        <f t="shared" si="11"/>
        <v>-8000</v>
      </c>
      <c r="K27" s="7">
        <f t="shared" si="11"/>
        <v>-8000</v>
      </c>
      <c r="L27" s="7">
        <f t="shared" si="11"/>
        <v>-8000</v>
      </c>
      <c r="M27" s="7">
        <f t="shared" si="11"/>
        <v>-8000</v>
      </c>
      <c r="N27" s="7">
        <f t="shared" si="11"/>
        <v>-8000</v>
      </c>
      <c r="O27" s="7">
        <f t="shared" si="11"/>
        <v>-8000</v>
      </c>
      <c r="P27" s="7">
        <f t="shared" si="11"/>
        <v>-8000</v>
      </c>
      <c r="Q27" s="7">
        <f t="shared" si="11"/>
        <v>-8000</v>
      </c>
      <c r="R27" s="7">
        <f t="shared" si="11"/>
        <v>-8000</v>
      </c>
      <c r="S27" s="7">
        <f t="shared" si="11"/>
        <v>-8000</v>
      </c>
      <c r="T27" s="7">
        <f t="shared" si="11"/>
        <v>-8000</v>
      </c>
      <c r="U27" s="7">
        <f t="shared" si="11"/>
        <v>-8000</v>
      </c>
    </row>
    <row r="28" spans="2:21" x14ac:dyDescent="0.25">
      <c r="B28" s="1" t="s">
        <v>21</v>
      </c>
      <c r="C28" s="29">
        <v>0.01</v>
      </c>
      <c r="D28" t="s">
        <v>40</v>
      </c>
      <c r="E28" s="10">
        <f>SUM(G28:U28)</f>
        <v>-25550</v>
      </c>
      <c r="F28" s="13">
        <f>NPV(10%,G28:U28)</f>
        <v>-11087.444922403349</v>
      </c>
      <c r="G28" s="3">
        <v>0</v>
      </c>
      <c r="H28" s="7">
        <f>-$C28*H$10*$C$12</f>
        <v>-350</v>
      </c>
      <c r="I28" s="7">
        <f t="shared" ref="I28:U28" si="12">-$C28*I$10*$C$12</f>
        <v>-700</v>
      </c>
      <c r="J28" s="7">
        <f t="shared" si="12"/>
        <v>-1400</v>
      </c>
      <c r="K28" s="7">
        <f t="shared" si="12"/>
        <v>-2100</v>
      </c>
      <c r="L28" s="7">
        <f t="shared" si="12"/>
        <v>-2100</v>
      </c>
      <c r="M28" s="7">
        <f t="shared" si="12"/>
        <v>-2100</v>
      </c>
      <c r="N28" s="7">
        <f t="shared" si="12"/>
        <v>-2100</v>
      </c>
      <c r="O28" s="7">
        <f t="shared" si="12"/>
        <v>-2100</v>
      </c>
      <c r="P28" s="7">
        <f t="shared" si="12"/>
        <v>-2100</v>
      </c>
      <c r="Q28" s="7">
        <f t="shared" si="12"/>
        <v>-2100</v>
      </c>
      <c r="R28" s="7">
        <f t="shared" si="12"/>
        <v>-2100</v>
      </c>
      <c r="S28" s="7">
        <f t="shared" si="12"/>
        <v>-2100</v>
      </c>
      <c r="T28" s="7">
        <f t="shared" si="12"/>
        <v>-2100</v>
      </c>
      <c r="U28" s="7">
        <f t="shared" si="12"/>
        <v>-2100</v>
      </c>
    </row>
    <row r="29" spans="2:21" x14ac:dyDescent="0.25">
      <c r="B29" s="1" t="s">
        <v>43</v>
      </c>
      <c r="C29" s="6" t="s">
        <v>34</v>
      </c>
      <c r="E29" s="10">
        <f>SUM(G29:U29)</f>
        <v>0</v>
      </c>
      <c r="F29" s="13">
        <f>NPV(10%,G29:U29)</f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5">
      <c r="E30" s="9"/>
      <c r="F30" s="12"/>
    </row>
    <row r="31" spans="2:21" x14ac:dyDescent="0.25">
      <c r="B31" s="30" t="s">
        <v>24</v>
      </c>
      <c r="C31" s="31"/>
      <c r="D31" s="14"/>
      <c r="E31" s="15">
        <f>SUM(G31:U31)</f>
        <v>477100</v>
      </c>
      <c r="F31" s="16">
        <f>NPV(10%,G31:U31)</f>
        <v>201318.54163687889</v>
      </c>
      <c r="G31" s="32">
        <f>+G24+G27+G28+G29</f>
        <v>0</v>
      </c>
      <c r="H31" s="32">
        <f t="shared" ref="H31:U31" si="13">+H24+H27+H28+H29</f>
        <v>-900</v>
      </c>
      <c r="I31" s="32">
        <f t="shared" si="13"/>
        <v>7400</v>
      </c>
      <c r="J31" s="32">
        <f t="shared" si="13"/>
        <v>24000</v>
      </c>
      <c r="K31" s="32">
        <f t="shared" si="13"/>
        <v>40600</v>
      </c>
      <c r="L31" s="32">
        <f t="shared" si="13"/>
        <v>40600</v>
      </c>
      <c r="M31" s="32">
        <f t="shared" si="13"/>
        <v>40600</v>
      </c>
      <c r="N31" s="32">
        <f t="shared" si="13"/>
        <v>40600</v>
      </c>
      <c r="O31" s="32">
        <f t="shared" si="13"/>
        <v>40600</v>
      </c>
      <c r="P31" s="32">
        <f t="shared" si="13"/>
        <v>40600</v>
      </c>
      <c r="Q31" s="32">
        <f t="shared" si="13"/>
        <v>40600</v>
      </c>
      <c r="R31" s="32">
        <f t="shared" si="13"/>
        <v>40600</v>
      </c>
      <c r="S31" s="32">
        <f t="shared" si="13"/>
        <v>40600</v>
      </c>
      <c r="T31" s="32">
        <f t="shared" si="13"/>
        <v>40600</v>
      </c>
      <c r="U31" s="32">
        <f t="shared" si="13"/>
        <v>40600</v>
      </c>
    </row>
    <row r="32" spans="2:21" x14ac:dyDescent="0.25">
      <c r="E32" s="9"/>
      <c r="F32" s="12"/>
    </row>
    <row r="33" spans="2:21" x14ac:dyDescent="0.25">
      <c r="B33" s="14" t="s">
        <v>23</v>
      </c>
      <c r="E33" s="10">
        <f>SUM(G33:U33)</f>
        <v>-72117</v>
      </c>
      <c r="F33" s="13">
        <f>NPV(10%,G33:U33)</f>
        <v>-29016.951134427527</v>
      </c>
      <c r="G33" s="7">
        <f>+G51</f>
        <v>0</v>
      </c>
      <c r="H33" s="7">
        <f t="shared" ref="H33:U33" si="14">+H51</f>
        <v>0</v>
      </c>
      <c r="I33" s="7">
        <f t="shared" si="14"/>
        <v>0</v>
      </c>
      <c r="J33" s="7">
        <f t="shared" si="14"/>
        <v>-2761.048951048951</v>
      </c>
      <c r="K33" s="7">
        <f t="shared" si="14"/>
        <v>-5839.3951048951058</v>
      </c>
      <c r="L33" s="7">
        <f t="shared" si="14"/>
        <v>-5839.3951048951049</v>
      </c>
      <c r="M33" s="7">
        <f t="shared" si="14"/>
        <v>-5839.3951048951049</v>
      </c>
      <c r="N33" s="7">
        <f t="shared" si="14"/>
        <v>-5839.3951048951049</v>
      </c>
      <c r="O33" s="7">
        <f t="shared" si="14"/>
        <v>-5839.3951048951049</v>
      </c>
      <c r="P33" s="7">
        <f t="shared" si="14"/>
        <v>-5839.3951048951058</v>
      </c>
      <c r="Q33" s="7">
        <f t="shared" si="14"/>
        <v>-5839.3951048951058</v>
      </c>
      <c r="R33" s="7">
        <f t="shared" si="14"/>
        <v>-5839.3951048951067</v>
      </c>
      <c r="S33" s="7">
        <f t="shared" si="14"/>
        <v>-5839.3951048951085</v>
      </c>
      <c r="T33" s="7">
        <f t="shared" si="14"/>
        <v>-5839.3951048951039</v>
      </c>
      <c r="U33" s="7">
        <f t="shared" si="14"/>
        <v>-10962</v>
      </c>
    </row>
    <row r="34" spans="2:21" x14ac:dyDescent="0.25">
      <c r="E34" s="9"/>
      <c r="F34" s="12"/>
    </row>
    <row r="35" spans="2:21" x14ac:dyDescent="0.25">
      <c r="B35" t="s">
        <v>22</v>
      </c>
      <c r="E35" s="10">
        <f>SUM(G35:U35)</f>
        <v>-210000</v>
      </c>
      <c r="F35" s="13">
        <f>NPV(10%,G35:U35)</f>
        <v>-161146.77959155792</v>
      </c>
      <c r="G35" s="7">
        <f t="shared" ref="G35:U35" si="15">-G12</f>
        <v>-35000</v>
      </c>
      <c r="H35" s="7">
        <f t="shared" si="15"/>
        <v>-35000</v>
      </c>
      <c r="I35" s="7">
        <f t="shared" si="15"/>
        <v>-70000</v>
      </c>
      <c r="J35" s="7">
        <f t="shared" si="15"/>
        <v>-70000</v>
      </c>
      <c r="K35" s="7">
        <f t="shared" si="15"/>
        <v>0</v>
      </c>
      <c r="L35" s="7">
        <f t="shared" si="15"/>
        <v>0</v>
      </c>
      <c r="M35" s="7">
        <f t="shared" si="15"/>
        <v>0</v>
      </c>
      <c r="N35" s="7">
        <f t="shared" si="15"/>
        <v>0</v>
      </c>
      <c r="O35" s="7">
        <f t="shared" si="15"/>
        <v>0</v>
      </c>
      <c r="P35" s="7">
        <f t="shared" si="15"/>
        <v>0</v>
      </c>
      <c r="Q35" s="7">
        <f t="shared" si="15"/>
        <v>0</v>
      </c>
      <c r="R35" s="7">
        <f t="shared" si="15"/>
        <v>0</v>
      </c>
      <c r="S35" s="7">
        <f t="shared" si="15"/>
        <v>0</v>
      </c>
      <c r="T35" s="7">
        <f t="shared" si="15"/>
        <v>0</v>
      </c>
      <c r="U35" s="7">
        <f t="shared" si="15"/>
        <v>0</v>
      </c>
    </row>
    <row r="36" spans="2:21" x14ac:dyDescent="0.25">
      <c r="B36" t="s">
        <v>44</v>
      </c>
      <c r="E36" s="10">
        <f>SUM(G36:U36)</f>
        <v>0</v>
      </c>
      <c r="F36" s="13">
        <f>NPV(10%,G36:U36)</f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2:21" x14ac:dyDescent="0.25">
      <c r="B37" t="s">
        <v>45</v>
      </c>
      <c r="E37" s="10">
        <f>SUM(G37:U37)</f>
        <v>0</v>
      </c>
      <c r="F37" s="13">
        <f>NPV(10%,G37:U37)</f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</row>
    <row r="38" spans="2:21" x14ac:dyDescent="0.25">
      <c r="F38" s="13"/>
      <c r="G38" s="7"/>
    </row>
    <row r="39" spans="2:21" x14ac:dyDescent="0.25">
      <c r="B39" s="18" t="s">
        <v>17</v>
      </c>
      <c r="C39" s="18"/>
      <c r="D39" s="18"/>
      <c r="E39" s="19">
        <f>SUM(G39:U39)</f>
        <v>194982.99999999994</v>
      </c>
      <c r="F39" s="20">
        <f>NPV(10%,G39:U39)</f>
        <v>11154.810910893455</v>
      </c>
      <c r="G39" s="21">
        <f>+G31+G33+G35+G36+G37</f>
        <v>-35000</v>
      </c>
      <c r="H39" s="21">
        <f t="shared" ref="H39:U39" si="16">+H31+H33+H35+H36+H37</f>
        <v>-35900</v>
      </c>
      <c r="I39" s="21">
        <f t="shared" si="16"/>
        <v>-62600</v>
      </c>
      <c r="J39" s="21">
        <f t="shared" si="16"/>
        <v>-48761.04895104895</v>
      </c>
      <c r="K39" s="21">
        <f t="shared" si="16"/>
        <v>34760.604895104894</v>
      </c>
      <c r="L39" s="21">
        <f t="shared" si="16"/>
        <v>34760.604895104894</v>
      </c>
      <c r="M39" s="21">
        <f t="shared" si="16"/>
        <v>34760.604895104894</v>
      </c>
      <c r="N39" s="21">
        <f t="shared" si="16"/>
        <v>34760.604895104894</v>
      </c>
      <c r="O39" s="21">
        <f t="shared" si="16"/>
        <v>34760.604895104894</v>
      </c>
      <c r="P39" s="21">
        <f t="shared" si="16"/>
        <v>34760.604895104894</v>
      </c>
      <c r="Q39" s="21">
        <f t="shared" si="16"/>
        <v>34760.604895104894</v>
      </c>
      <c r="R39" s="21">
        <f t="shared" si="16"/>
        <v>34760.604895104894</v>
      </c>
      <c r="S39" s="21">
        <f t="shared" si="16"/>
        <v>34760.604895104894</v>
      </c>
      <c r="T39" s="21">
        <f t="shared" si="16"/>
        <v>34760.604895104894</v>
      </c>
      <c r="U39" s="21">
        <f t="shared" si="16"/>
        <v>29638</v>
      </c>
    </row>
    <row r="40" spans="2:21" x14ac:dyDescent="0.25">
      <c r="B40" s="14" t="s">
        <v>31</v>
      </c>
      <c r="C40" s="14"/>
      <c r="D40" s="14"/>
      <c r="E40" s="17">
        <f>COUNTIF(H40:U40,"&lt;0")+1</f>
        <v>9</v>
      </c>
      <c r="F40" t="s">
        <v>33</v>
      </c>
      <c r="G40" s="7"/>
      <c r="H40" s="34">
        <f>SUM($G$39:H39)</f>
        <v>-70900</v>
      </c>
      <c r="I40" s="34">
        <f>SUM($G$39:I39)</f>
        <v>-133500</v>
      </c>
      <c r="J40" s="34">
        <f>SUM($G$39:J39)</f>
        <v>-182261.04895104896</v>
      </c>
      <c r="K40" s="34">
        <f>SUM($G$39:K39)</f>
        <v>-147500.44405594407</v>
      </c>
      <c r="L40" s="34">
        <f>SUM($G$39:L39)</f>
        <v>-112739.83916083918</v>
      </c>
      <c r="M40" s="34">
        <f>SUM($G$39:M39)</f>
        <v>-77979.234265734296</v>
      </c>
      <c r="N40" s="34">
        <f>SUM($G$39:N39)</f>
        <v>-43218.629370629402</v>
      </c>
      <c r="O40" s="34">
        <f>SUM($G$39:O39)</f>
        <v>-8458.0244755245076</v>
      </c>
      <c r="P40" s="34">
        <f>SUM($G$39:P39)</f>
        <v>26302.580419580387</v>
      </c>
      <c r="Q40" s="34">
        <f>SUM($G$39:Q39)</f>
        <v>61063.185314685281</v>
      </c>
      <c r="R40" s="34">
        <f>SUM($G$39:R39)</f>
        <v>95823.790209790168</v>
      </c>
      <c r="S40" s="34">
        <f>SUM($G$39:S39)</f>
        <v>130584.39510489505</v>
      </c>
      <c r="T40" s="34">
        <f>SUM($G$39:T39)</f>
        <v>165344.99999999994</v>
      </c>
      <c r="U40" s="34">
        <f>SUM($G$39:U39)</f>
        <v>194982.99999999994</v>
      </c>
    </row>
    <row r="41" spans="2:21" x14ac:dyDescent="0.25">
      <c r="B41" s="14" t="s">
        <v>18</v>
      </c>
      <c r="C41" s="14"/>
      <c r="D41" s="14"/>
      <c r="E41" s="33">
        <f>IRR(G39:U39,10%)</f>
        <v>0.1131071695254926</v>
      </c>
      <c r="F41" t="s">
        <v>32</v>
      </c>
    </row>
    <row r="44" spans="2:21" s="47" customFormat="1" x14ac:dyDescent="0.25">
      <c r="B44" s="36" t="s">
        <v>25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spans="2:21" s="47" customFormat="1" x14ac:dyDescent="0.25">
      <c r="B45" s="38" t="s">
        <v>24</v>
      </c>
      <c r="C45" s="37"/>
      <c r="D45" s="37"/>
      <c r="E45" s="37"/>
      <c r="F45" s="37"/>
      <c r="G45" s="39">
        <f t="shared" ref="G45:U45" si="17">+G31</f>
        <v>0</v>
      </c>
      <c r="H45" s="39">
        <f t="shared" si="17"/>
        <v>-900</v>
      </c>
      <c r="I45" s="39">
        <f t="shared" si="17"/>
        <v>7400</v>
      </c>
      <c r="J45" s="39">
        <f t="shared" si="17"/>
        <v>24000</v>
      </c>
      <c r="K45" s="39">
        <f t="shared" si="17"/>
        <v>40600</v>
      </c>
      <c r="L45" s="39">
        <f t="shared" si="17"/>
        <v>40600</v>
      </c>
      <c r="M45" s="39">
        <f t="shared" si="17"/>
        <v>40600</v>
      </c>
      <c r="N45" s="39">
        <f t="shared" si="17"/>
        <v>40600</v>
      </c>
      <c r="O45" s="39">
        <f t="shared" si="17"/>
        <v>40600</v>
      </c>
      <c r="P45" s="39">
        <f t="shared" si="17"/>
        <v>40600</v>
      </c>
      <c r="Q45" s="39">
        <f t="shared" si="17"/>
        <v>40600</v>
      </c>
      <c r="R45" s="39">
        <f t="shared" si="17"/>
        <v>40600</v>
      </c>
      <c r="S45" s="39">
        <f t="shared" si="17"/>
        <v>40600</v>
      </c>
      <c r="T45" s="39">
        <f t="shared" si="17"/>
        <v>40600</v>
      </c>
      <c r="U45" s="39">
        <f t="shared" si="17"/>
        <v>40600</v>
      </c>
    </row>
    <row r="46" spans="2:21" s="47" customFormat="1" x14ac:dyDescent="0.25">
      <c r="B46" s="38" t="s">
        <v>26</v>
      </c>
      <c r="C46" s="37"/>
      <c r="D46" s="37"/>
      <c r="E46" s="39">
        <f>SUM(G46:U46)</f>
        <v>-210000</v>
      </c>
      <c r="F46" s="40">
        <f>NPV(10%,G46:U46)</f>
        <v>-94241.27763176593</v>
      </c>
      <c r="G46" s="39">
        <v>0</v>
      </c>
      <c r="H46" s="39">
        <f>(-SUM($G$12:G12)-SUM($G$46:G46))/(15-H4)</f>
        <v>-2692.3076923076924</v>
      </c>
      <c r="I46" s="39">
        <f>(-SUM($G$12:H12)-SUM($G$46:H46))/(15-I4)</f>
        <v>-5608.9743589743593</v>
      </c>
      <c r="J46" s="39">
        <f>(-SUM($G$12:I12)-SUM($G$46:I46))/(15-J4)</f>
        <v>-11972.610722610721</v>
      </c>
      <c r="K46" s="39">
        <f>(-SUM($G$12:J12)-SUM($G$46:J46))/(15-K4)</f>
        <v>-18972.61072261072</v>
      </c>
      <c r="L46" s="39">
        <f>(-SUM($G$12:K12)-SUM($G$46:K46))/(15-L4)</f>
        <v>-18972.610722610723</v>
      </c>
      <c r="M46" s="39">
        <f>(-SUM($G$12:L12)-SUM($G$46:L46))/(15-M4)</f>
        <v>-18972.610722610723</v>
      </c>
      <c r="N46" s="39">
        <f>(-SUM($G$12:M12)-SUM($G$46:M46))/(15-N4)</f>
        <v>-18972.610722610723</v>
      </c>
      <c r="O46" s="39">
        <f>(-SUM($G$12:N12)-SUM($G$46:N46))/(15-O4)</f>
        <v>-18972.610722610723</v>
      </c>
      <c r="P46" s="39">
        <f>(-SUM($G$12:O12)-SUM($G$46:O46))/(15-P4)</f>
        <v>-18972.61072261072</v>
      </c>
      <c r="Q46" s="39">
        <f>(-SUM($G$12:P12)-SUM($G$46:P46))/(15-Q4)</f>
        <v>-18972.61072261072</v>
      </c>
      <c r="R46" s="39">
        <f>(-SUM($G$12:Q12)-SUM($G$46:Q46))/(15-R4)</f>
        <v>-18972.610722610716</v>
      </c>
      <c r="S46" s="39">
        <f>(-SUM($G$12:R12)-SUM($G$46:R46))/(15-S4)</f>
        <v>-18972.610722610712</v>
      </c>
      <c r="T46" s="39">
        <f>(-SUM($G$12:S12)-SUM($G$46:S46))/(15-T4)</f>
        <v>-18972.610722610727</v>
      </c>
      <c r="U46" s="39"/>
    </row>
    <row r="47" spans="2:21" s="47" customFormat="1" x14ac:dyDescent="0.25">
      <c r="B47" s="38" t="s">
        <v>27</v>
      </c>
      <c r="C47" s="37"/>
      <c r="D47" s="37"/>
      <c r="E47" s="39">
        <f>SUM(G47:U47)</f>
        <v>267100</v>
      </c>
      <c r="F47" s="40">
        <f>NPV(10%,G47:U47)</f>
        <v>107077.26400511299</v>
      </c>
      <c r="G47" s="39">
        <f t="shared" ref="G47:H47" si="18">+G45+G46</f>
        <v>0</v>
      </c>
      <c r="H47" s="39">
        <f t="shared" si="18"/>
        <v>-3592.3076923076924</v>
      </c>
      <c r="I47" s="39">
        <f t="shared" ref="I47:U47" si="19">+I45+I46</f>
        <v>1791.0256410256407</v>
      </c>
      <c r="J47" s="39">
        <f t="shared" si="19"/>
        <v>12027.389277389279</v>
      </c>
      <c r="K47" s="39">
        <f t="shared" si="19"/>
        <v>21627.38927738928</v>
      </c>
      <c r="L47" s="39">
        <f t="shared" si="19"/>
        <v>21627.389277389277</v>
      </c>
      <c r="M47" s="39">
        <f t="shared" si="19"/>
        <v>21627.389277389277</v>
      </c>
      <c r="N47" s="39">
        <f t="shared" si="19"/>
        <v>21627.389277389277</v>
      </c>
      <c r="O47" s="39">
        <f t="shared" si="19"/>
        <v>21627.389277389277</v>
      </c>
      <c r="P47" s="39">
        <f t="shared" si="19"/>
        <v>21627.38927738928</v>
      </c>
      <c r="Q47" s="39">
        <f t="shared" si="19"/>
        <v>21627.38927738928</v>
      </c>
      <c r="R47" s="39">
        <f t="shared" si="19"/>
        <v>21627.389277389284</v>
      </c>
      <c r="S47" s="39">
        <f t="shared" si="19"/>
        <v>21627.389277389288</v>
      </c>
      <c r="T47" s="39">
        <f t="shared" si="19"/>
        <v>21627.389277389273</v>
      </c>
      <c r="U47" s="39">
        <f t="shared" si="19"/>
        <v>40600</v>
      </c>
    </row>
    <row r="48" spans="2:21" s="47" customFormat="1" x14ac:dyDescent="0.25">
      <c r="B48" s="38" t="s">
        <v>28</v>
      </c>
      <c r="C48" s="37"/>
      <c r="D48" s="37"/>
      <c r="E48" s="39"/>
      <c r="F48" s="40"/>
      <c r="G48" s="39">
        <v>0</v>
      </c>
      <c r="H48" s="39">
        <f t="shared" ref="H48" si="20">+MIN(G49,0)</f>
        <v>0</v>
      </c>
      <c r="I48" s="39">
        <f t="shared" ref="I48" si="21">+MIN(H49,0)</f>
        <v>-3592.3076923076924</v>
      </c>
      <c r="J48" s="39">
        <f t="shared" ref="J48" si="22">+MIN(I49,0)</f>
        <v>-1801.2820512820517</v>
      </c>
      <c r="K48" s="39">
        <f t="shared" ref="K48" si="23">+MIN(J49,0)</f>
        <v>0</v>
      </c>
      <c r="L48" s="39">
        <f t="shared" ref="L48" si="24">+MIN(K49,0)</f>
        <v>0</v>
      </c>
      <c r="M48" s="39">
        <f t="shared" ref="M48" si="25">+MIN(L49,0)</f>
        <v>0</v>
      </c>
      <c r="N48" s="39">
        <f t="shared" ref="N48" si="26">+MIN(M49,0)</f>
        <v>0</v>
      </c>
      <c r="O48" s="39">
        <f t="shared" ref="O48" si="27">+MIN(N49,0)</f>
        <v>0</v>
      </c>
      <c r="P48" s="39">
        <f t="shared" ref="P48" si="28">+MIN(O49,0)</f>
        <v>0</v>
      </c>
      <c r="Q48" s="39">
        <f t="shared" ref="Q48" si="29">+MIN(P49,0)</f>
        <v>0</v>
      </c>
      <c r="R48" s="39">
        <f t="shared" ref="R48" si="30">+MIN(Q49,0)</f>
        <v>0</v>
      </c>
      <c r="S48" s="39">
        <f t="shared" ref="S48" si="31">+MIN(R49,0)</f>
        <v>0</v>
      </c>
      <c r="T48" s="39">
        <f t="shared" ref="T48" si="32">+MIN(S49,0)</f>
        <v>0</v>
      </c>
      <c r="U48" s="39">
        <f t="shared" ref="U48" si="33">+MIN(T49,0)</f>
        <v>0</v>
      </c>
    </row>
    <row r="49" spans="2:21" s="47" customFormat="1" x14ac:dyDescent="0.25">
      <c r="B49" s="38" t="s">
        <v>29</v>
      </c>
      <c r="C49" s="37"/>
      <c r="D49" s="37"/>
      <c r="E49" s="39">
        <f>SUM(G49:U49)</f>
        <v>261706.41025641025</v>
      </c>
      <c r="F49" s="40">
        <f>NPV(10%,G49:U49)</f>
        <v>103148.01018855636</v>
      </c>
      <c r="G49" s="39">
        <f t="shared" ref="G49:H49" si="34">+G48+G47</f>
        <v>0</v>
      </c>
      <c r="H49" s="39">
        <f t="shared" si="34"/>
        <v>-3592.3076923076924</v>
      </c>
      <c r="I49" s="39">
        <f t="shared" ref="I49:U49" si="35">+I48+I47</f>
        <v>-1801.2820512820517</v>
      </c>
      <c r="J49" s="39">
        <f t="shared" si="35"/>
        <v>10226.107226107226</v>
      </c>
      <c r="K49" s="39">
        <f t="shared" si="35"/>
        <v>21627.38927738928</v>
      </c>
      <c r="L49" s="39">
        <f t="shared" si="35"/>
        <v>21627.389277389277</v>
      </c>
      <c r="M49" s="39">
        <f t="shared" si="35"/>
        <v>21627.389277389277</v>
      </c>
      <c r="N49" s="39">
        <f t="shared" si="35"/>
        <v>21627.389277389277</v>
      </c>
      <c r="O49" s="39">
        <f t="shared" si="35"/>
        <v>21627.389277389277</v>
      </c>
      <c r="P49" s="39">
        <f t="shared" si="35"/>
        <v>21627.38927738928</v>
      </c>
      <c r="Q49" s="39">
        <f t="shared" si="35"/>
        <v>21627.38927738928</v>
      </c>
      <c r="R49" s="39">
        <f t="shared" si="35"/>
        <v>21627.389277389284</v>
      </c>
      <c r="S49" s="39">
        <f t="shared" si="35"/>
        <v>21627.389277389288</v>
      </c>
      <c r="T49" s="39">
        <f t="shared" si="35"/>
        <v>21627.389277389273</v>
      </c>
      <c r="U49" s="39">
        <f t="shared" si="35"/>
        <v>40600</v>
      </c>
    </row>
    <row r="50" spans="2:21" s="47" customFormat="1" x14ac:dyDescent="0.25">
      <c r="B50" s="38" t="s">
        <v>30</v>
      </c>
      <c r="C50" s="37"/>
      <c r="D50" s="37"/>
      <c r="E50" s="39"/>
      <c r="F50" s="40"/>
      <c r="G50" s="41">
        <v>0.27</v>
      </c>
      <c r="H50" s="41">
        <v>0.27</v>
      </c>
      <c r="I50" s="41">
        <v>0.27</v>
      </c>
      <c r="J50" s="41">
        <v>0.27</v>
      </c>
      <c r="K50" s="41">
        <v>0.27</v>
      </c>
      <c r="L50" s="41">
        <v>0.27</v>
      </c>
      <c r="M50" s="41">
        <v>0.27</v>
      </c>
      <c r="N50" s="41">
        <v>0.27</v>
      </c>
      <c r="O50" s="41">
        <v>0.27</v>
      </c>
      <c r="P50" s="41">
        <v>0.27</v>
      </c>
      <c r="Q50" s="41">
        <v>0.27</v>
      </c>
      <c r="R50" s="41">
        <v>0.27</v>
      </c>
      <c r="S50" s="41">
        <v>0.27</v>
      </c>
      <c r="T50" s="41">
        <v>0.27</v>
      </c>
      <c r="U50" s="41">
        <v>0.27</v>
      </c>
    </row>
    <row r="51" spans="2:21" s="47" customFormat="1" x14ac:dyDescent="0.25">
      <c r="B51" s="42" t="s">
        <v>23</v>
      </c>
      <c r="C51" s="43">
        <f>+E51/E47</f>
        <v>-0.27</v>
      </c>
      <c r="D51" s="44"/>
      <c r="E51" s="45">
        <f>SUM(G51:U51)</f>
        <v>-72117</v>
      </c>
      <c r="F51" s="46">
        <f>NPV(10%,G51:U51)</f>
        <v>-29016.951134427527</v>
      </c>
      <c r="G51" s="45">
        <f t="shared" ref="G51:U51" si="36">-G49*G50*(G49&gt;0)</f>
        <v>0</v>
      </c>
      <c r="H51" s="45">
        <f t="shared" si="36"/>
        <v>0</v>
      </c>
      <c r="I51" s="45">
        <f t="shared" si="36"/>
        <v>0</v>
      </c>
      <c r="J51" s="45">
        <f t="shared" si="36"/>
        <v>-2761.048951048951</v>
      </c>
      <c r="K51" s="45">
        <f t="shared" si="36"/>
        <v>-5839.3951048951058</v>
      </c>
      <c r="L51" s="45">
        <f t="shared" si="36"/>
        <v>-5839.3951048951049</v>
      </c>
      <c r="M51" s="45">
        <f t="shared" si="36"/>
        <v>-5839.3951048951049</v>
      </c>
      <c r="N51" s="45">
        <f t="shared" si="36"/>
        <v>-5839.3951048951049</v>
      </c>
      <c r="O51" s="45">
        <f t="shared" si="36"/>
        <v>-5839.3951048951049</v>
      </c>
      <c r="P51" s="45">
        <f t="shared" si="36"/>
        <v>-5839.3951048951058</v>
      </c>
      <c r="Q51" s="45">
        <f t="shared" si="36"/>
        <v>-5839.3951048951058</v>
      </c>
      <c r="R51" s="45">
        <f t="shared" si="36"/>
        <v>-5839.3951048951067</v>
      </c>
      <c r="S51" s="45">
        <f t="shared" si="36"/>
        <v>-5839.3951048951085</v>
      </c>
      <c r="T51" s="45">
        <f t="shared" si="36"/>
        <v>-5839.3951048951039</v>
      </c>
      <c r="U51" s="45">
        <f t="shared" si="36"/>
        <v>-10962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0"/>
  <sheetViews>
    <sheetView tabSelected="1" workbookViewId="0">
      <selection activeCell="C24" sqref="C24"/>
    </sheetView>
  </sheetViews>
  <sheetFormatPr baseColWidth="10" defaultRowHeight="15" x14ac:dyDescent="0.25"/>
  <cols>
    <col min="3" max="3" width="87.7109375" bestFit="1" customWidth="1"/>
  </cols>
  <sheetData>
    <row r="3" spans="3:11" x14ac:dyDescent="0.25">
      <c r="J3">
        <v>800</v>
      </c>
    </row>
    <row r="4" spans="3:11" x14ac:dyDescent="0.25">
      <c r="C4" t="s">
        <v>46</v>
      </c>
      <c r="J4">
        <v>28700</v>
      </c>
    </row>
    <row r="5" spans="3:11" x14ac:dyDescent="0.25">
      <c r="C5" t="s">
        <v>47</v>
      </c>
    </row>
    <row r="6" spans="3:11" x14ac:dyDescent="0.25">
      <c r="C6" t="s">
        <v>48</v>
      </c>
      <c r="H6" t="s">
        <v>65</v>
      </c>
      <c r="K6" t="s">
        <v>66</v>
      </c>
    </row>
    <row r="7" spans="3:11" x14ac:dyDescent="0.25">
      <c r="C7" t="s">
        <v>49</v>
      </c>
      <c r="H7" t="s">
        <v>63</v>
      </c>
      <c r="I7" t="s">
        <v>64</v>
      </c>
      <c r="J7" t="s">
        <v>4</v>
      </c>
      <c r="K7" t="s">
        <v>4</v>
      </c>
    </row>
    <row r="8" spans="3:11" x14ac:dyDescent="0.25">
      <c r="C8" t="s">
        <v>50</v>
      </c>
      <c r="D8" t="s">
        <v>51</v>
      </c>
      <c r="H8" s="3">
        <v>2.5</v>
      </c>
      <c r="I8" s="3">
        <f>+H8/(0.3048)^2</f>
        <v>26.909776041774304</v>
      </c>
      <c r="J8" s="3">
        <f>+I8*$J$3/$J$4</f>
        <v>0.75009828687872626</v>
      </c>
      <c r="K8" s="3">
        <f>+J8/12</f>
        <v>6.2508190573227193E-2</v>
      </c>
    </row>
    <row r="9" spans="3:11" x14ac:dyDescent="0.25">
      <c r="H9" s="3"/>
      <c r="I9" s="3"/>
      <c r="J9" s="3"/>
      <c r="K9" s="3"/>
    </row>
    <row r="10" spans="3:11" x14ac:dyDescent="0.25">
      <c r="C10" t="s">
        <v>52</v>
      </c>
      <c r="D10" t="s">
        <v>53</v>
      </c>
      <c r="H10" s="3">
        <v>2</v>
      </c>
      <c r="I10" s="3">
        <f>+H10/(0.3048)^2</f>
        <v>21.527820833419444</v>
      </c>
      <c r="J10" s="3">
        <f>+I10*$J$3/$J$4</f>
        <v>0.60007862950298108</v>
      </c>
      <c r="K10" s="3">
        <f>+J10/12</f>
        <v>5.0006552458581759E-2</v>
      </c>
    </row>
    <row r="11" spans="3:11" x14ac:dyDescent="0.25">
      <c r="H11" s="3"/>
      <c r="I11" s="3"/>
      <c r="J11" s="3"/>
      <c r="K11" s="3"/>
    </row>
    <row r="12" spans="3:11" x14ac:dyDescent="0.25">
      <c r="C12" t="s">
        <v>54</v>
      </c>
      <c r="D12" t="s">
        <v>55</v>
      </c>
      <c r="H12" s="3">
        <v>1.25</v>
      </c>
      <c r="I12" s="3">
        <f>+H12/(0.3048)^2</f>
        <v>13.454888020887152</v>
      </c>
      <c r="J12" s="3">
        <f>+I12*$J$3/$J$4</f>
        <v>0.37504914343936313</v>
      </c>
      <c r="K12" s="3">
        <f>+J12/12</f>
        <v>3.1254095286613597E-2</v>
      </c>
    </row>
    <row r="13" spans="3:11" x14ac:dyDescent="0.25">
      <c r="H13" s="3"/>
      <c r="I13" s="3"/>
      <c r="J13" s="3"/>
      <c r="K13" s="3"/>
    </row>
    <row r="14" spans="3:11" x14ac:dyDescent="0.25">
      <c r="C14" t="s">
        <v>56</v>
      </c>
      <c r="D14" t="s">
        <v>57</v>
      </c>
      <c r="H14" s="3">
        <v>1.25</v>
      </c>
      <c r="I14" s="3">
        <f>+H14/(0.3048)^2</f>
        <v>13.454888020887152</v>
      </c>
      <c r="J14" s="3">
        <f>+I14*$J$3/$J$4</f>
        <v>0.37504914343936313</v>
      </c>
      <c r="K14" s="3">
        <f>+J14/12</f>
        <v>3.1254095286613597E-2</v>
      </c>
    </row>
    <row r="16" spans="3:11" x14ac:dyDescent="0.25">
      <c r="C16" t="s">
        <v>58</v>
      </c>
      <c r="G16" t="s">
        <v>59</v>
      </c>
      <c r="J16" s="50">
        <f>SUM(J8:J15)</f>
        <v>2.1002752032604337</v>
      </c>
      <c r="K16" s="50">
        <f>SUM(K8:K15)</f>
        <v>0.17502293360503615</v>
      </c>
    </row>
    <row r="18" spans="3:3" x14ac:dyDescent="0.25">
      <c r="C18" t="s">
        <v>60</v>
      </c>
    </row>
    <row r="19" spans="3:3" x14ac:dyDescent="0.25">
      <c r="C19" t="s">
        <v>61</v>
      </c>
    </row>
    <row r="20" spans="3:3" x14ac:dyDescent="0.25">
      <c r="C20" t="s"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ECV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Casas-Cordero</dc:creator>
  <cp:lastModifiedBy>Sergio Casas-Cordero</cp:lastModifiedBy>
  <dcterms:created xsi:type="dcterms:W3CDTF">2019-07-19T13:27:58Z</dcterms:created>
  <dcterms:modified xsi:type="dcterms:W3CDTF">2020-07-09T16:44:17Z</dcterms:modified>
</cp:coreProperties>
</file>