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stets\Desktop\data_projects\Excel-Projects\PersonalProjects\excel-projects\dashboards\retail_dashboard\"/>
    </mc:Choice>
  </mc:AlternateContent>
  <xr:revisionPtr revIDLastSave="0" documentId="13_ncr:1_{0EA8346A-476E-4752-BDAB-2062AAF6E945}" xr6:coauthVersionLast="47" xr6:coauthVersionMax="47" xr10:uidLastSave="{00000000-0000-0000-0000-000000000000}"/>
  <bookViews>
    <workbookView xWindow="28680" yWindow="120" windowWidth="29040" windowHeight="15840" activeTab="2" xr2:uid="{EA944FB1-DE3F-40F9-BBAA-0980B1568DEE}"/>
  </bookViews>
  <sheets>
    <sheet name="Data" sheetId="16" r:id="rId1"/>
    <sheet name="Data Prep" sheetId="22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Data!$A$1:$J$4266</definedName>
    <definedName name="CurrentMonth">'Data Prep'!$B$9</definedName>
    <definedName name="CUrrent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3" l="1"/>
  <c r="B13" i="22"/>
  <c r="V4" i="22"/>
  <c r="V5" i="22"/>
  <c r="V6" i="22"/>
  <c r="V7" i="22"/>
  <c r="V8" i="22"/>
  <c r="V9" i="22"/>
  <c r="V10" i="22"/>
  <c r="V11" i="22"/>
  <c r="V12" i="22"/>
  <c r="V3" i="22"/>
  <c r="N3" i="22"/>
  <c r="N4" i="22"/>
  <c r="N5" i="22"/>
  <c r="N6" i="22"/>
  <c r="N7" i="22"/>
  <c r="N8" i="22"/>
  <c r="N9" i="22"/>
  <c r="N10" i="22"/>
  <c r="N11" i="22"/>
  <c r="N12" i="22"/>
  <c r="B3" i="22"/>
  <c r="B8" i="22"/>
  <c r="B10" i="22" s="1"/>
  <c r="I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Y12" i="22" l="1"/>
  <c r="Y3" i="22"/>
  <c r="Y11" i="22"/>
  <c r="Y10" i="22"/>
  <c r="Y8" i="22"/>
  <c r="Y7" i="22"/>
  <c r="Y9" i="22"/>
  <c r="Y6" i="22"/>
  <c r="Y5" i="22"/>
  <c r="Y4" i="22"/>
  <c r="Z3" i="22"/>
  <c r="Z12" i="22"/>
  <c r="Z11" i="22"/>
  <c r="Z10" i="22"/>
  <c r="Z9" i="22"/>
  <c r="Z8" i="22"/>
  <c r="Z7" i="22"/>
  <c r="Z6" i="22"/>
  <c r="Z5" i="22"/>
  <c r="Z4" i="22"/>
  <c r="I12" i="22"/>
  <c r="I13" i="22"/>
  <c r="I14" i="22"/>
  <c r="I3" i="22"/>
  <c r="I10" i="22"/>
  <c r="I4" i="22"/>
  <c r="I5" i="22"/>
  <c r="I8" i="22"/>
  <c r="I6" i="22"/>
  <c r="I7" i="22"/>
  <c r="I9" i="22"/>
  <c r="I11" i="22"/>
  <c r="J2" i="22"/>
  <c r="B9" i="22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AC24" i="22" l="1"/>
  <c r="K4" i="22"/>
  <c r="K6" i="22"/>
  <c r="K8" i="22"/>
  <c r="K5" i="22"/>
  <c r="K11" i="22"/>
  <c r="K14" i="22"/>
  <c r="K10" i="22"/>
  <c r="K13" i="22"/>
  <c r="K12" i="22"/>
  <c r="K3" i="22"/>
  <c r="K7" i="22"/>
  <c r="AC21" i="22"/>
  <c r="AC27" i="22"/>
  <c r="AC12" i="22"/>
  <c r="AC5" i="22"/>
  <c r="AC13" i="22"/>
  <c r="AC11" i="22"/>
  <c r="AC23" i="22"/>
  <c r="AC17" i="22"/>
  <c r="AC33" i="22"/>
  <c r="AC9" i="22"/>
  <c r="AC6" i="22"/>
  <c r="AC25" i="22"/>
  <c r="AC14" i="22"/>
  <c r="AC18" i="22"/>
  <c r="AC22" i="22"/>
  <c r="AC30" i="22"/>
  <c r="AC3" i="22"/>
  <c r="AC15" i="22"/>
  <c r="AC4" i="22"/>
  <c r="AC7" i="22"/>
  <c r="AC10" i="22"/>
  <c r="AC16" i="22"/>
  <c r="AC20" i="22"/>
  <c r="AC26" i="22"/>
  <c r="AC32" i="22"/>
  <c r="AC36" i="22"/>
  <c r="AC28" i="22"/>
  <c r="AC19" i="22"/>
  <c r="AC29" i="22"/>
  <c r="AC8" i="22"/>
  <c r="AC31" i="22"/>
  <c r="AC35" i="22"/>
  <c r="AC34" i="22"/>
  <c r="O7" i="22"/>
  <c r="O5" i="22"/>
  <c r="O8" i="22"/>
  <c r="O4" i="22"/>
  <c r="J4" i="22"/>
  <c r="J5" i="22"/>
  <c r="J6" i="22"/>
  <c r="J7" i="22"/>
  <c r="J8" i="22"/>
  <c r="J9" i="22"/>
  <c r="K9" i="22" s="1"/>
  <c r="O3" i="22"/>
  <c r="J10" i="22"/>
  <c r="O9" i="22"/>
  <c r="J11" i="22"/>
  <c r="O6" i="22"/>
  <c r="J12" i="22"/>
  <c r="O11" i="22"/>
  <c r="J13" i="22"/>
  <c r="O12" i="22"/>
  <c r="J14" i="22"/>
  <c r="O10" i="22"/>
  <c r="J3" i="22"/>
  <c r="B12" i="22"/>
  <c r="E3" i="22"/>
  <c r="B11" i="22"/>
  <c r="E2" i="22"/>
  <c r="R12" i="22" l="1"/>
  <c r="AD19" i="22"/>
  <c r="AE19" i="22" s="1"/>
  <c r="AD14" i="22"/>
  <c r="AE14" i="22" s="1"/>
  <c r="AD8" i="22"/>
  <c r="AE8" i="22" s="1"/>
  <c r="AD3" i="22"/>
  <c r="AE3" i="22" s="1"/>
  <c r="AD27" i="22"/>
  <c r="AE27" i="22" s="1"/>
  <c r="AD18" i="22"/>
  <c r="AE18" i="22" s="1"/>
  <c r="AD11" i="22"/>
  <c r="AE11" i="22" s="1"/>
  <c r="AD16" i="22"/>
  <c r="AE16" i="22" s="1"/>
  <c r="AD35" i="22"/>
  <c r="AE35" i="22" s="1"/>
  <c r="AD15" i="22"/>
  <c r="AE15" i="22" s="1"/>
  <c r="AD29" i="22"/>
  <c r="AE29" i="22" s="1"/>
  <c r="AD10" i="22"/>
  <c r="AE10" i="22" s="1"/>
  <c r="AD23" i="22"/>
  <c r="AE23" i="22" s="1"/>
  <c r="AD6" i="22"/>
  <c r="AE6" i="22" s="1"/>
  <c r="AD13" i="22"/>
  <c r="AE13" i="22" s="1"/>
  <c r="AD34" i="22"/>
  <c r="AE34" i="22" s="1"/>
  <c r="AD7" i="22"/>
  <c r="AE7" i="22" s="1"/>
  <c r="AD5" i="22"/>
  <c r="AE5" i="22" s="1"/>
  <c r="AD26" i="22"/>
  <c r="AE26" i="22" s="1"/>
  <c r="AD31" i="22"/>
  <c r="AE31" i="22" s="1"/>
  <c r="AD21" i="22"/>
  <c r="AE21" i="22" s="1"/>
  <c r="AD20" i="22"/>
  <c r="AE20" i="22" s="1"/>
  <c r="AD33" i="22"/>
  <c r="AE33" i="22" s="1"/>
  <c r="AD25" i="22"/>
  <c r="AE25" i="22" s="1"/>
  <c r="AD17" i="22"/>
  <c r="AE17" i="22" s="1"/>
  <c r="AD28" i="22"/>
  <c r="AE28" i="22" s="1"/>
  <c r="AD9" i="22"/>
  <c r="AE9" i="22" s="1"/>
  <c r="AD32" i="22"/>
  <c r="AE32" i="22" s="1"/>
  <c r="AD12" i="22"/>
  <c r="AE12" i="22" s="1"/>
  <c r="AD36" i="22"/>
  <c r="AE36" i="22" s="1"/>
  <c r="AD4" i="22"/>
  <c r="AE4" i="22" s="1"/>
  <c r="AD30" i="22"/>
  <c r="AE30" i="22" s="1"/>
  <c r="AD24" i="22"/>
  <c r="AE24" i="22" s="1"/>
  <c r="AD22" i="22"/>
  <c r="AE22" i="22" s="1"/>
  <c r="R6" i="22"/>
  <c r="R10" i="22"/>
  <c r="R9" i="22"/>
  <c r="R11" i="22"/>
  <c r="R3" i="22"/>
  <c r="R4" i="22"/>
  <c r="R8" i="22"/>
  <c r="R5" i="22"/>
  <c r="R7" i="22"/>
  <c r="P3" i="22"/>
  <c r="P9" i="22"/>
  <c r="Q9" i="22" s="1"/>
  <c r="P6" i="22"/>
  <c r="Q6" i="22" s="1"/>
  <c r="P11" i="22"/>
  <c r="P12" i="22"/>
  <c r="Q12" i="22" s="1"/>
  <c r="P10" i="22"/>
  <c r="Q10" i="22" s="1"/>
  <c r="P7" i="22"/>
  <c r="Q7" i="22" s="1"/>
  <c r="P5" i="22"/>
  <c r="Q5" i="22" s="1"/>
  <c r="P8" i="22"/>
  <c r="Q8" i="22" s="1"/>
  <c r="P4" i="22"/>
  <c r="E4" i="22"/>
  <c r="E6" i="22" s="1"/>
  <c r="E5" i="22"/>
  <c r="Q11" i="22" l="1"/>
  <c r="Q3" i="22"/>
  <c r="Q4" i="22"/>
  <c r="AF18" i="22"/>
  <c r="AG12" i="22"/>
  <c r="AF10" i="22"/>
  <c r="AG10" i="22"/>
  <c r="AG25" i="22"/>
  <c r="AF25" i="22"/>
  <c r="AG33" i="22"/>
  <c r="AF33" i="22"/>
  <c r="AG32" i="22"/>
  <c r="AF32" i="22"/>
  <c r="AG28" i="22"/>
  <c r="AF28" i="22"/>
  <c r="AF31" i="22"/>
  <c r="AG31" i="22"/>
  <c r="AF26" i="22"/>
  <c r="AG26" i="22"/>
  <c r="AG24" i="22"/>
  <c r="AF7" i="22"/>
  <c r="AG7" i="22"/>
  <c r="AG19" i="22"/>
  <c r="AF19" i="22"/>
  <c r="AF17" i="22"/>
  <c r="AF11" i="22"/>
  <c r="AF16" i="22"/>
  <c r="AF6" i="22"/>
  <c r="AG23" i="22"/>
  <c r="AG16" i="22"/>
  <c r="AG20" i="22"/>
  <c r="AF21" i="22"/>
  <c r="AF20" i="22"/>
  <c r="AG9" i="22"/>
  <c r="AF3" i="22"/>
  <c r="AF36" i="22"/>
  <c r="AF9" i="22"/>
  <c r="AG8" i="22"/>
  <c r="AG18" i="22"/>
  <c r="AF8" i="22"/>
  <c r="AG36" i="22"/>
  <c r="AG6" i="22"/>
  <c r="AG27" i="22"/>
  <c r="AG21" i="22"/>
  <c r="AF29" i="22"/>
  <c r="AG5" i="22"/>
  <c r="AF35" i="22"/>
  <c r="AG13" i="22"/>
  <c r="AG3" i="22"/>
  <c r="AF14" i="22"/>
  <c r="AG17" i="22"/>
  <c r="AG11" i="22"/>
  <c r="AG15" i="22"/>
  <c r="AF15" i="22"/>
  <c r="AF4" i="22"/>
  <c r="AG22" i="22"/>
  <c r="AF30" i="22"/>
  <c r="AG34" i="22"/>
  <c r="AF34" i="22"/>
  <c r="AF24" i="22"/>
  <c r="AG29" i="22"/>
  <c r="AF22" i="22"/>
  <c r="AG35" i="22"/>
  <c r="AG14" i="22"/>
  <c r="AF5" i="22"/>
  <c r="AG4" i="22"/>
  <c r="AG30" i="22"/>
  <c r="AF13" i="22"/>
  <c r="AF23" i="22"/>
  <c r="AF12" i="22"/>
  <c r="AF27" i="22"/>
  <c r="W4" i="22"/>
  <c r="W12" i="22"/>
  <c r="X4" i="22"/>
  <c r="X12" i="22"/>
  <c r="W5" i="22"/>
  <c r="X3" i="22"/>
  <c r="X5" i="22"/>
  <c r="W3" i="22"/>
  <c r="W6" i="22"/>
  <c r="U4" i="22"/>
  <c r="X6" i="22"/>
  <c r="U5" i="22"/>
  <c r="W7" i="22"/>
  <c r="U6" i="22"/>
  <c r="X7" i="22"/>
  <c r="U7" i="22"/>
  <c r="W8" i="22"/>
  <c r="U8" i="22"/>
  <c r="X8" i="22"/>
  <c r="U9" i="22"/>
  <c r="W9" i="22"/>
  <c r="U10" i="22"/>
  <c r="X10" i="22"/>
  <c r="U3" i="22"/>
  <c r="X9" i="22"/>
  <c r="U11" i="22"/>
  <c r="W10" i="22"/>
  <c r="U12" i="22"/>
  <c r="W11" i="22"/>
  <c r="X11" i="22"/>
  <c r="AK4" i="22" l="1"/>
  <c r="U13" i="23" s="1"/>
  <c r="AM4" i="22"/>
  <c r="W13" i="23" s="1"/>
  <c r="AL4" i="22"/>
  <c r="V13" i="23" s="1"/>
  <c r="AL15" i="22"/>
  <c r="V25" i="23" s="1"/>
  <c r="AL5" i="22"/>
  <c r="V14" i="23" s="1"/>
  <c r="AM14" i="22"/>
  <c r="W24" i="23" s="1"/>
  <c r="AK5" i="22"/>
  <c r="U14" i="23" s="1"/>
  <c r="AM15" i="22"/>
  <c r="W25" i="23" s="1"/>
  <c r="AK14" i="22"/>
  <c r="U24" i="23" s="1"/>
  <c r="AM7" i="22"/>
  <c r="W16" i="23" s="1"/>
  <c r="AK6" i="22"/>
  <c r="U15" i="23" s="1"/>
  <c r="AM13" i="22"/>
  <c r="W23" i="23" s="1"/>
  <c r="AM6" i="22"/>
  <c r="W15" i="23" s="1"/>
  <c r="AK7" i="22"/>
  <c r="U16" i="23" s="1"/>
  <c r="AL3" i="22"/>
  <c r="V12" i="23" s="1"/>
  <c r="AL12" i="22"/>
  <c r="V22" i="23" s="1"/>
  <c r="AK15" i="22"/>
  <c r="U25" i="23" s="1"/>
  <c r="AL14" i="22"/>
  <c r="V24" i="23" s="1"/>
  <c r="AK12" i="22"/>
  <c r="U22" i="23" s="1"/>
  <c r="AL13" i="22"/>
  <c r="V23" i="23" s="1"/>
  <c r="AM5" i="22"/>
  <c r="W14" i="23" s="1"/>
  <c r="AM12" i="22"/>
  <c r="W22" i="23" s="1"/>
  <c r="AM11" i="22"/>
  <c r="W21" i="23" s="1"/>
  <c r="AL11" i="22"/>
  <c r="V21" i="23" s="1"/>
  <c r="AM3" i="22"/>
  <c r="W12" i="23" s="1"/>
  <c r="AL7" i="22"/>
  <c r="V16" i="23" s="1"/>
  <c r="AK11" i="22"/>
  <c r="U21" i="23" s="1"/>
  <c r="AL6" i="22"/>
  <c r="V15" i="23" s="1"/>
  <c r="AK3" i="22"/>
  <c r="U12" i="23" s="1"/>
  <c r="AK13" i="22"/>
  <c r="U23" i="23" s="1"/>
  <c r="W26" i="23" l="1"/>
  <c r="W17" i="23"/>
</calcChain>
</file>

<file path=xl/sharedStrings.xml><?xml version="1.0" encoding="utf-8"?>
<sst xmlns="http://schemas.openxmlformats.org/spreadsheetml/2006/main" count="24218" uniqueCount="134">
  <si>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</si>
  <si>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</si>
  <si>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</si>
  <si>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</si>
  <si>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</si>
  <si>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</si>
  <si>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</si>
  <si>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</si>
  <si>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</si>
  <si>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</si>
  <si>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</si>
  <si>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</si>
  <si>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</si>
  <si>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</si>
  <si>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</si>
  <si>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</si>
  <si>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</si>
  <si>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</si>
  <si>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</si>
  <si>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</si>
  <si>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</si>
  <si>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</si>
  <si>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</si>
  <si>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</si>
  <si>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</si>
  <si>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</si>
  <si>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</si>
  <si>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</si>
  <si>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</si>
  <si>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</si>
  <si>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</si>
  <si>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</si>
  <si>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</si>
  <si>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</si>
  <si>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</si>
  <si>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</si>
  <si>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</si>
  <si>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</si>
  <si>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</si>
  <si>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</si>
  <si>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</si>
  <si>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</si>
  <si>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</si>
  <si>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</si>
  <si>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</si>
  <si>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</si>
  <si>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</si>
  <si>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</si>
  <si>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</si>
  <si>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</si>
  <si>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</si>
  <si>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</si>
  <si>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</si>
  <si>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</si>
  <si>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</si>
  <si>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</si>
  <si>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</si>
  <si>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</si>
  <si>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</si>
  <si>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</si>
  <si>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</si>
  <si>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</si>
  <si>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</si>
  <si>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</si>
  <si>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</si>
  <si>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</si>
  <si>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</si>
  <si>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</si>
  <si>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</si>
  <si>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</si>
  <si>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</si>
  <si>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</si>
  <si>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</si>
  <si>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</si>
  <si>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</si>
  <si>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</si>
  <si>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</si>
  <si>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</si>
  <si>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</si>
  <si>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</si>
  <si>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</si>
  <si>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</si>
  <si>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</si>
  <si>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 (this month):</t>
  </si>
  <si>
    <t>YoY Revenue (this month last year):</t>
  </si>
  <si>
    <t>M-o-M Revenue (total revenue last month):</t>
  </si>
  <si>
    <t>PM Year:</t>
  </si>
  <si>
    <r>
      <t>YoY %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:</t>
    </r>
  </si>
  <si>
    <r>
      <t>MoM%</t>
    </r>
    <r>
      <rPr>
        <sz val="11"/>
        <color theme="1"/>
        <rFont val="Calibri"/>
        <family val="2"/>
      </rPr>
      <t>Δ:</t>
    </r>
  </si>
  <si>
    <t>REVENUE TREND</t>
  </si>
  <si>
    <t>Month #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</si>
  <si>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</si>
  <si>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</si>
  <si>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</si>
  <si>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</si>
  <si>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</si>
  <si>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</si>
  <si>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</si>
  <si>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</si>
  <si>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</si>
  <si>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</si>
  <si>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</si>
  <si>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</si>
  <si>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PERFORMANCE</t>
  </si>
  <si>
    <t xml:space="preserve">Store  </t>
  </si>
  <si>
    <t>PM Revenue</t>
  </si>
  <si>
    <r>
      <t>MoM%</t>
    </r>
    <r>
      <rPr>
        <sz val="11"/>
        <color theme="1"/>
        <rFont val="Calibri"/>
        <family val="2"/>
      </rPr>
      <t>Δ</t>
    </r>
  </si>
  <si>
    <t>Rank</t>
  </si>
  <si>
    <t>STORE PERFORMANCE (SORTED)</t>
  </si>
  <si>
    <t>PRODUCT PERFORMANCE</t>
  </si>
  <si>
    <t>MoM Δ</t>
  </si>
  <si>
    <t>Rank(+)</t>
  </si>
  <si>
    <t>Rank(-)</t>
  </si>
  <si>
    <t>TOP PERFORMING PRODUCTS</t>
  </si>
  <si>
    <r>
      <t xml:space="preserve">MoM </t>
    </r>
    <r>
      <rPr>
        <b/>
        <sz val="11"/>
        <color theme="1"/>
        <rFont val="Calibri"/>
        <family val="2"/>
      </rPr>
      <t>Δ</t>
    </r>
  </si>
  <si>
    <r>
      <t>MoM</t>
    </r>
    <r>
      <rPr>
        <sz val="11"/>
        <color theme="1"/>
        <rFont val="Calibri"/>
        <family val="2"/>
      </rPr>
      <t>Δ</t>
    </r>
  </si>
  <si>
    <t>Product</t>
  </si>
  <si>
    <t>BOTTOM PERFORMING PRODUCTS</t>
  </si>
  <si>
    <r>
      <t xml:space="preserve">MoM Revenue </t>
    </r>
    <r>
      <rPr>
        <b/>
        <sz val="12"/>
        <color theme="1"/>
        <rFont val="Calibri"/>
        <family val="2"/>
      </rPr>
      <t>Δ</t>
    </r>
  </si>
  <si>
    <r>
      <t xml:space="preserve">MoM Revenue </t>
    </r>
    <r>
      <rPr>
        <sz val="12"/>
        <color theme="1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</si>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</sst>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theme="9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5" borderId="0" xfId="0" applyFont="1" applyFill="1" applyAlignment="1">
      <alignment horizontal="centerContinuous"/>
    </xf>
    <xf numFmtId="0" fontId="0" fillId="0" borderId="0" xfId="0" applyAlignment="1">
      <alignment horizontal="left"/>
    </xf>
    <xf numFmtId="0" fontId="1" fillId="4" borderId="0" xfId="0" applyFont="1" applyFill="1" applyAlignment="1">
      <alignment horizontal="right"/>
    </xf>
    <xf numFmtId="9" fontId="0" fillId="0" borderId="0" xfId="2" applyFont="1"/>
    <xf numFmtId="165" fontId="0" fillId="0" borderId="0" xfId="2" applyNumberFormat="1" applyFont="1"/>
    <xf numFmtId="164" fontId="0" fillId="0" borderId="0" xfId="0" applyNumberFormat="1" applyAlignment="1">
      <alignment horizontal="left"/>
    </xf>
    <xf numFmtId="0" fontId="3" fillId="6" borderId="0" xfId="0" applyFont="1" applyFill="1" applyAlignment="1">
      <alignment horizontal="centerContinuous"/>
    </xf>
    <xf numFmtId="0" fontId="1" fillId="7" borderId="0" xfId="0" applyFont="1" applyFill="1" applyAlignment="1">
      <alignment horizontal="right"/>
    </xf>
    <xf numFmtId="165" fontId="1" fillId="8" borderId="0" xfId="2" applyNumberFormat="1" applyFont="1" applyFill="1" applyAlignment="1">
      <alignment horizontal="left"/>
    </xf>
    <xf numFmtId="0" fontId="7" fillId="0" borderId="0" xfId="0" applyFont="1"/>
    <xf numFmtId="164" fontId="7" fillId="0" borderId="0" xfId="1" applyNumberFormat="1" applyFont="1"/>
    <xf numFmtId="0" fontId="7" fillId="0" borderId="0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7" fillId="0" borderId="2" xfId="0" applyFont="1" applyBorder="1"/>
    <xf numFmtId="166" fontId="0" fillId="0" borderId="0" xfId="1" applyNumberFormat="1" applyFont="1"/>
    <xf numFmtId="164" fontId="9" fillId="0" borderId="0" xfId="1" applyNumberFormat="1" applyFont="1"/>
    <xf numFmtId="164" fontId="9" fillId="0" borderId="1" xfId="1" applyNumberFormat="1" applyFont="1" applyBorder="1"/>
    <xf numFmtId="164" fontId="12" fillId="0" borderId="0" xfId="0" applyNumberFormat="1" applyFont="1" applyBorder="1"/>
    <xf numFmtId="164" fontId="13" fillId="0" borderId="0" xfId="0" applyNumberFormat="1" applyFont="1" applyBorder="1"/>
    <xf numFmtId="0" fontId="14" fillId="0" borderId="0" xfId="0" applyFont="1"/>
    <xf numFmtId="0" fontId="1" fillId="4" borderId="0" xfId="0" applyFont="1" applyFill="1" applyAlignment="1">
      <alignment horizontal="center"/>
    </xf>
    <xf numFmtId="0" fontId="15" fillId="8" borderId="0" xfId="0" applyFont="1" applyFill="1"/>
    <xf numFmtId="0" fontId="8" fillId="9" borderId="0" xfId="0" applyFont="1" applyFill="1" applyProtection="1">
      <protection locked="0"/>
    </xf>
    <xf numFmtId="0" fontId="14" fillId="0" borderId="0" xfId="0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8585"/>
      <color rgb="FFFF5757"/>
      <color rgb="FFFF1919"/>
      <color rgb="FFFD5F5F"/>
      <color rgb="FFFE7A7A"/>
      <color rgb="FFFF6565"/>
      <color rgb="FFF98386"/>
      <color rgb="FFF9777A"/>
      <color rgb="FFFF4343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47132047791132"/>
          <c:y val="2.6402632779067039E-2"/>
          <c:w val="0.65857464505443086"/>
          <c:h val="0.947194734441865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Prep'!$U$3:$U$12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Prep'!$W$3:$W$12</c:f>
              <c:numCache>
                <c:formatCode>"$"#,##0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16131.78</c:v>
                </c:pt>
                <c:pt idx="3">
                  <c:v>20890.14</c:v>
                </c:pt>
                <c:pt idx="4">
                  <c:v>21829.790000000008</c:v>
                </c:pt>
                <c:pt idx="5">
                  <c:v>22152.709999999995</c:v>
                </c:pt>
                <c:pt idx="6">
                  <c:v>22817.06</c:v>
                </c:pt>
                <c:pt idx="7">
                  <c:v>24068.03</c:v>
                </c:pt>
                <c:pt idx="8">
                  <c:v>32052.109999999993</c:v>
                </c:pt>
                <c:pt idx="9">
                  <c:v>36101.759999999995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E-4F86-B886-0A7F7FDBD72B}"/>
            </c:ext>
          </c:extLst>
        </c:ser>
        <c:ser>
          <c:idx val="1"/>
          <c:order val="1"/>
          <c:tx>
            <c:v>Selection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Prep'!$U$3:$U$12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Prep'!$Y$3:$Y$12</c:f>
              <c:numCache>
                <c:formatCode>_("$"* #,##0_);_("$"* \(#,##0\);_("$"* "-"??_);_(@_)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32052.109999999993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E-4F86-B886-0A7F7FDBD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3305327"/>
        <c:axId val="913306575"/>
      </c:barChart>
      <c:catAx>
        <c:axId val="91330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6575"/>
        <c:crosses val="autoZero"/>
        <c:auto val="1"/>
        <c:lblAlgn val="ctr"/>
        <c:lblOffset val="100"/>
        <c:noMultiLvlLbl val="0"/>
      </c:catAx>
      <c:valAx>
        <c:axId val="91330657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Revenue</a:t>
                </a:r>
              </a:p>
            </c:rich>
          </c:tx>
          <c:layout>
            <c:manualLayout>
              <c:xMode val="edge"/>
              <c:yMode val="edge"/>
              <c:x val="0.49864471400284038"/>
              <c:y val="0.9575967944835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91330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01-4D7D-B399-6A0BB550DACF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01-4D7D-B399-6A0BB550DACF}"/>
            </c:ext>
          </c:extLst>
        </c:ser>
        <c:ser>
          <c:idx val="2"/>
          <c:order val="2"/>
          <c:tx>
            <c:v>Selection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59782.98000000001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1-4D7D-B399-6A0BB550D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225119"/>
        <c:axId val="813226783"/>
      </c:lineChart>
      <c:catAx>
        <c:axId val="81322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Month</a:t>
                </a:r>
              </a:p>
            </c:rich>
          </c:tx>
          <c:layout>
            <c:manualLayout>
              <c:xMode val="edge"/>
              <c:yMode val="edge"/>
              <c:x val="0.10962932143389603"/>
              <c:y val="0.92380507758222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26783"/>
        <c:crosses val="autoZero"/>
        <c:auto val="1"/>
        <c:lblAlgn val="ctr"/>
        <c:lblOffset val="100"/>
        <c:noMultiLvlLbl val="0"/>
      </c:catAx>
      <c:valAx>
        <c:axId val="813226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Revenue</a:t>
                </a:r>
              </a:p>
            </c:rich>
          </c:tx>
          <c:layout>
            <c:manualLayout>
              <c:xMode val="edge"/>
              <c:yMode val="edge"/>
              <c:x val="1.2329370321444297E-2"/>
              <c:y val="5.44355046663284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\ 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25119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8832747737943"/>
          <c:y val="2.6402646414760284E-2"/>
          <c:w val="0.65857464505443086"/>
          <c:h val="0.947194734441865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A5A5A5"/>
            </a:solidFill>
            <a:ln>
              <a:noFill/>
            </a:ln>
            <a:effectLst/>
          </c:spPr>
          <c:invertIfNegative val="1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Prep'!$X$3:$X$12</c:f>
              <c:numCache>
                <c:formatCode>0.0%</c:formatCode>
                <c:ptCount val="10"/>
                <c:pt idx="0">
                  <c:v>0.38778064659166622</c:v>
                </c:pt>
                <c:pt idx="1">
                  <c:v>0.27062777215864209</c:v>
                </c:pt>
                <c:pt idx="2">
                  <c:v>-0.1788871560156039</c:v>
                </c:pt>
                <c:pt idx="3">
                  <c:v>-0.13320683521372423</c:v>
                </c:pt>
                <c:pt idx="4">
                  <c:v>0.23712440332117013</c:v>
                </c:pt>
                <c:pt idx="5">
                  <c:v>0.1474812113225703</c:v>
                </c:pt>
                <c:pt idx="6">
                  <c:v>0.13137771166480761</c:v>
                </c:pt>
                <c:pt idx="7">
                  <c:v>8.5297768847375277E-2</c:v>
                </c:pt>
                <c:pt idx="8">
                  <c:v>0.27047933357538878</c:v>
                </c:pt>
                <c:pt idx="9">
                  <c:v>0.19364351342585118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5A5A5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EDA-4BD8-AE08-497B69402B46}"/>
            </c:ext>
          </c:extLst>
        </c:ser>
        <c:ser>
          <c:idx val="1"/>
          <c:order val="1"/>
          <c:tx>
            <c:v>Selection</c:v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Prep'!$Z$3:$Z$12</c:f>
              <c:numCache>
                <c:formatCode>0%</c:formatCode>
                <c:ptCount val="10"/>
                <c:pt idx="0">
                  <c:v>0.38778064659166622</c:v>
                </c:pt>
                <c:pt idx="1">
                  <c:v>0.27062777215864209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0.27047933357538878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7EDA-4BD8-AE08-497B6940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3305327"/>
        <c:axId val="913306575"/>
      </c:barChart>
      <c:catAx>
        <c:axId val="913305327"/>
        <c:scaling>
          <c:orientation val="minMax"/>
        </c:scaling>
        <c:delete val="0"/>
        <c:axPos val="l"/>
        <c:numFmt formatCode="\: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6575"/>
        <c:crosses val="autoZero"/>
        <c:auto val="1"/>
        <c:lblAlgn val="ctr"/>
        <c:lblOffset val="100"/>
        <c:noMultiLvlLbl val="0"/>
      </c:catAx>
      <c:valAx>
        <c:axId val="91330657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MoM%</a:t>
                </a:r>
                <a:r>
                  <a:rPr lang="en-US" sz="1100" b="1" baseline="0"/>
                  <a:t> </a:t>
                </a:r>
                <a:r>
                  <a:rPr lang="el-GR" sz="11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1084491568462838"/>
              <c:y val="0.95562440789575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crossAx val="91330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1743075</xdr:colOff>
      <xdr:row>8</xdr:row>
      <xdr:rowOff>333375</xdr:rowOff>
    </xdr:from>
    <xdr:to>
      <xdr:col>10</xdr:col>
      <xdr:colOff>461960</xdr:colOff>
      <xdr:row>26</xdr:row>
      <xdr:rowOff>133350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B38CE86-9881-40C1-AEF1-B5B96F1B0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17</xdr:row>
      <xdr:rowOff>104775</xdr:rowOff>
    </xdr:from>
    <xdr:to>
      <xdr:col>4</xdr:col>
      <xdr:colOff>1428753</xdr:colOff>
      <xdr:row>26</xdr:row>
      <xdr:rowOff>304799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9522BA1-ABBB-4F8D-91F0-760D20E3E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619125</xdr:colOff>
          <xdr:row>12</xdr:row>
          <xdr:rowOff>133350</xdr:rowOff>
        </xdr:from>
        <xdr:to>
          <xdr:col>3</xdr:col>
          <xdr:colOff>1012368</xdr:colOff>
          <xdr:row>14</xdr:row>
          <xdr:rowOff>300037</xdr:rowOff>
        </xdr:to>
        <xdr:pic>
          <xdr:nvPicPr>
            <xdr:cNvPr id="32" name="Picture 31">
              <a:extLst>
                <a:ext uri="{FF2B5EF4-FFF2-40B4-BE49-F238E27FC236}">
                  <a16:creationId xmlns:a16="http://schemas.microsoft.com/office/drawing/2014/main" id="{A2FDD7C6-D17C-4DA0-B72C-711A4CD9379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6" spid="_x0000_s514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885825" y="3143250"/>
              <a:ext cx="2822118" cy="8715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304799</xdr:colOff>
          <xdr:row>12</xdr:row>
          <xdr:rowOff>180975</xdr:rowOff>
        </xdr:from>
        <xdr:to>
          <xdr:col>4</xdr:col>
          <xdr:colOff>1659616</xdr:colOff>
          <xdr:row>14</xdr:row>
          <xdr:rowOff>285750</xdr:rowOff>
        </xdr:to>
        <xdr:pic>
          <xdr:nvPicPr>
            <xdr:cNvPr id="31" name="Picture 30">
              <a:extLst>
                <a:ext uri="{FF2B5EF4-FFF2-40B4-BE49-F238E27FC236}">
                  <a16:creationId xmlns:a16="http://schemas.microsoft.com/office/drawing/2014/main" id="{41F2F2AD-417F-48E7-BEC9-3809E48E5D4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5" spid="_x0000_s514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000374" y="3190875"/>
              <a:ext cx="2621642" cy="809625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  <xdr:twoCellAnchor editAs="absolute">
    <xdr:from>
      <xdr:col>1</xdr:col>
      <xdr:colOff>695325</xdr:colOff>
      <xdr:row>8</xdr:row>
      <xdr:rowOff>238124</xdr:rowOff>
    </xdr:from>
    <xdr:to>
      <xdr:col>4</xdr:col>
      <xdr:colOff>609600</xdr:colOff>
      <xdr:row>12</xdr:row>
      <xdr:rowOff>142874</xdr:rowOff>
    </xdr:to>
    <xdr:sp macro="" textlink="'Data Prep'!$E$2">
      <xdr:nvSpPr>
        <xdr:cNvPr id="30" name="TextBox 29">
          <a:extLst>
            <a:ext uri="{FF2B5EF4-FFF2-40B4-BE49-F238E27FC236}">
              <a16:creationId xmlns:a16="http://schemas.microsoft.com/office/drawing/2014/main" id="{6B3357F7-B75B-4BEA-A2F3-F363FABB9D60}"/>
            </a:ext>
          </a:extLst>
        </xdr:cNvPr>
        <xdr:cNvSpPr txBox="1"/>
      </xdr:nvSpPr>
      <xdr:spPr>
        <a:xfrm>
          <a:off x="962025" y="1904999"/>
          <a:ext cx="3609975" cy="1247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A40F253-3C8E-45E2-A469-B60D7A03F342}" type="TxLink">
            <a:rPr lang="en-US" sz="6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$59,783</a:t>
          </a:fld>
          <a:endParaRPr lang="en-US" sz="3684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19050</xdr:rowOff>
    </xdr:from>
    <xdr:to>
      <xdr:col>5</xdr:col>
      <xdr:colOff>133350</xdr:colOff>
      <xdr:row>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B9DE55-958D-DDE5-E18A-4EEFEF6ECCDE}"/>
            </a:ext>
          </a:extLst>
        </xdr:cNvPr>
        <xdr:cNvSpPr txBox="1"/>
      </xdr:nvSpPr>
      <xdr:spPr>
        <a:xfrm>
          <a:off x="266700" y="209550"/>
          <a:ext cx="5991225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tx1"/>
              </a:solidFill>
            </a:rPr>
            <a:t>REGIONAL</a:t>
          </a:r>
          <a:r>
            <a:rPr lang="en-US" sz="3200" b="1" baseline="0">
              <a:solidFill>
                <a:schemeClr val="tx1"/>
              </a:solidFill>
            </a:rPr>
            <a:t> RETAIL DASHBOARD</a:t>
          </a:r>
          <a:endParaRPr lang="en-US" sz="32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28575</xdr:colOff>
      <xdr:row>6</xdr:row>
      <xdr:rowOff>95250</xdr:rowOff>
    </xdr:from>
    <xdr:to>
      <xdr:col>35</xdr:col>
      <xdr:colOff>114300</xdr:colOff>
      <xdr:row>6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6393290-2D64-33AE-8294-F815EE3B641F}"/>
            </a:ext>
          </a:extLst>
        </xdr:cNvPr>
        <xdr:cNvCxnSpPr/>
      </xdr:nvCxnSpPr>
      <xdr:spPr>
        <a:xfrm>
          <a:off x="28575" y="1381125"/>
          <a:ext cx="21717000" cy="0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590550</xdr:colOff>
      <xdr:row>7</xdr:row>
      <xdr:rowOff>19050</xdr:rowOff>
    </xdr:from>
    <xdr:to>
      <xdr:col>4</xdr:col>
      <xdr:colOff>819150</xdr:colOff>
      <xdr:row>8</xdr:row>
      <xdr:rowOff>171450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0E0AEF9-CD46-FC35-E304-0FA054CD4A2B}"/>
            </a:ext>
          </a:extLst>
        </xdr:cNvPr>
        <xdr:cNvSpPr txBox="1"/>
      </xdr:nvSpPr>
      <xdr:spPr>
        <a:xfrm>
          <a:off x="857250" y="1495425"/>
          <a:ext cx="39243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0">
              <a:solidFill>
                <a:schemeClr val="tx1">
                  <a:lumMod val="75000"/>
                  <a:lumOff val="25000"/>
                </a:schemeClr>
              </a:solidFill>
            </a:rPr>
            <a:t>This was</a:t>
          </a:r>
          <a:r>
            <a:rPr lang="en-US" sz="1800" b="0" baseline="0">
              <a:solidFill>
                <a:schemeClr val="tx1">
                  <a:lumMod val="75000"/>
                  <a:lumOff val="25000"/>
                </a:schemeClr>
              </a:solidFill>
            </a:rPr>
            <a:t> the </a:t>
          </a:r>
          <a:r>
            <a:rPr lang="en-US" sz="1800" b="1" baseline="0">
              <a:solidFill>
                <a:schemeClr val="tx1">
                  <a:lumMod val="75000"/>
                  <a:lumOff val="25000"/>
                </a:schemeClr>
              </a:solidFill>
            </a:rPr>
            <a:t>revenue</a:t>
          </a:r>
          <a:r>
            <a:rPr lang="en-US" sz="1800" b="0" baseline="0">
              <a:solidFill>
                <a:schemeClr val="tx1">
                  <a:lumMod val="75000"/>
                  <a:lumOff val="25000"/>
                </a:schemeClr>
              </a:solidFill>
            </a:rPr>
            <a:t> we brought in...</a:t>
          </a:r>
          <a:endParaRPr lang="en-US" sz="18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771525</xdr:colOff>
      <xdr:row>11</xdr:row>
      <xdr:rowOff>352424</xdr:rowOff>
    </xdr:from>
    <xdr:to>
      <xdr:col>2</xdr:col>
      <xdr:colOff>1295399</xdr:colOff>
      <xdr:row>12</xdr:row>
      <xdr:rowOff>342900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794E15B-709C-6A72-5592-D7471E949C8D}"/>
            </a:ext>
          </a:extLst>
        </xdr:cNvPr>
        <xdr:cNvSpPr txBox="1"/>
      </xdr:nvSpPr>
      <xdr:spPr>
        <a:xfrm>
          <a:off x="1038225" y="3009899"/>
          <a:ext cx="1390649" cy="3429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0</xdr:col>
      <xdr:colOff>219074</xdr:colOff>
      <xdr:row>15</xdr:row>
      <xdr:rowOff>180974</xdr:rowOff>
    </xdr:from>
    <xdr:to>
      <xdr:col>4</xdr:col>
      <xdr:colOff>1400175</xdr:colOff>
      <xdr:row>17</xdr:row>
      <xdr:rowOff>57150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3A5178B-DAF8-585B-49A3-4B996ABD259A}"/>
            </a:ext>
          </a:extLst>
        </xdr:cNvPr>
        <xdr:cNvSpPr txBox="1"/>
      </xdr:nvSpPr>
      <xdr:spPr>
        <a:xfrm>
          <a:off x="219074" y="4248149"/>
          <a:ext cx="5143501" cy="4953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0">
              <a:solidFill>
                <a:schemeClr val="tx1">
                  <a:lumMod val="75000"/>
                  <a:lumOff val="25000"/>
                </a:schemeClr>
              </a:solidFill>
            </a:rPr>
            <a:t>...and the </a:t>
          </a:r>
          <a:r>
            <a:rPr lang="en-US" sz="2000" b="1">
              <a:solidFill>
                <a:schemeClr val="tx1">
                  <a:lumMod val="75000"/>
                  <a:lumOff val="25000"/>
                </a:schemeClr>
              </a:solidFill>
            </a:rPr>
            <a:t>revenue trend</a:t>
          </a:r>
          <a:r>
            <a:rPr lang="en-US" sz="2000" b="1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800" b="1" baseline="0">
              <a:solidFill>
                <a:schemeClr val="accent4"/>
              </a:solidFill>
            </a:rPr>
            <a:t>this year </a:t>
          </a:r>
          <a:r>
            <a:rPr lang="en-US" sz="1800" b="0" baseline="0">
              <a:solidFill>
                <a:schemeClr val="tx1">
                  <a:lumMod val="75000"/>
                  <a:lumOff val="25000"/>
                </a:schemeClr>
              </a:solidFill>
            </a:rPr>
            <a:t>vs. </a:t>
          </a:r>
          <a:r>
            <a:rPr lang="en-US" sz="1800" b="0" baseline="0">
              <a:solidFill>
                <a:schemeClr val="bg1">
                  <a:lumMod val="50000"/>
                </a:schemeClr>
              </a:solidFill>
            </a:rPr>
            <a:t>last year</a:t>
          </a:r>
          <a:r>
            <a:rPr lang="en-US" sz="1800" b="0" baseline="0">
              <a:solidFill>
                <a:schemeClr val="tx1">
                  <a:lumMod val="75000"/>
                  <a:lumOff val="25000"/>
                </a:schemeClr>
              </a:solidFill>
            </a:rPr>
            <a:t>.</a:t>
          </a:r>
          <a:endParaRPr lang="en-US" sz="18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4</xdr:col>
      <xdr:colOff>1943100</xdr:colOff>
      <xdr:row>7</xdr:row>
      <xdr:rowOff>9525</xdr:rowOff>
    </xdr:from>
    <xdr:to>
      <xdr:col>14</xdr:col>
      <xdr:colOff>495300</xdr:colOff>
      <xdr:row>8</xdr:row>
      <xdr:rowOff>304801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FF2F6D8-72ED-C02A-D058-C7A41FD16DB1}"/>
            </a:ext>
          </a:extLst>
        </xdr:cNvPr>
        <xdr:cNvSpPr txBox="1"/>
      </xdr:nvSpPr>
      <xdr:spPr>
        <a:xfrm>
          <a:off x="5905500" y="1485900"/>
          <a:ext cx="6200775" cy="4857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0">
              <a:solidFill>
                <a:schemeClr val="tx1">
                  <a:lumMod val="75000"/>
                  <a:lumOff val="25000"/>
                </a:schemeClr>
              </a:solidFill>
            </a:rPr>
            <a:t>How stores in this </a:t>
          </a:r>
          <a:r>
            <a:rPr lang="en-US" sz="2000" b="1">
              <a:solidFill>
                <a:schemeClr val="accent4"/>
              </a:solidFill>
            </a:rPr>
            <a:t>region</a:t>
          </a:r>
          <a:r>
            <a:rPr lang="en-US" sz="1800" b="0">
              <a:solidFill>
                <a:schemeClr val="tx1">
                  <a:lumMod val="75000"/>
                  <a:lumOff val="25000"/>
                </a:schemeClr>
              </a:solidFill>
            </a:rPr>
            <a:t> compare to </a:t>
          </a:r>
          <a:r>
            <a:rPr lang="en-US" sz="1800" b="0">
              <a:solidFill>
                <a:schemeClr val="bg1">
                  <a:lumMod val="50000"/>
                </a:schemeClr>
              </a:solidFill>
            </a:rPr>
            <a:t>others</a:t>
          </a:r>
          <a:r>
            <a:rPr lang="en-US" sz="1800" b="0">
              <a:solidFill>
                <a:schemeClr val="tx1">
                  <a:lumMod val="75000"/>
                  <a:lumOff val="2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14</xdr:col>
      <xdr:colOff>352425</xdr:colOff>
      <xdr:row>7</xdr:row>
      <xdr:rowOff>28575</xdr:rowOff>
    </xdr:from>
    <xdr:to>
      <xdr:col>22</xdr:col>
      <xdr:colOff>1466850</xdr:colOff>
      <xdr:row>8</xdr:row>
      <xdr:rowOff>352425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922150F-5769-A953-CE70-FC0442EC659F}"/>
            </a:ext>
          </a:extLst>
        </xdr:cNvPr>
        <xdr:cNvSpPr txBox="1"/>
      </xdr:nvSpPr>
      <xdr:spPr>
        <a:xfrm>
          <a:off x="11963400" y="1504950"/>
          <a:ext cx="4962525" cy="51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0">
              <a:solidFill>
                <a:schemeClr val="tx1">
                  <a:lumMod val="75000"/>
                  <a:lumOff val="25000"/>
                </a:schemeClr>
              </a:solidFill>
            </a:rPr>
            <a:t>Which products </a:t>
          </a:r>
          <a:r>
            <a:rPr lang="en-US" sz="1800" b="1">
              <a:solidFill>
                <a:schemeClr val="accent6">
                  <a:lumMod val="75000"/>
                </a:schemeClr>
              </a:solidFill>
            </a:rPr>
            <a:t>drove growth...</a:t>
          </a:r>
        </a:p>
      </xdr:txBody>
    </xdr:sp>
    <xdr:clientData/>
  </xdr:twoCellAnchor>
  <xdr:twoCellAnchor editAs="absolute">
    <xdr:from>
      <xdr:col>14</xdr:col>
      <xdr:colOff>314325</xdr:colOff>
      <xdr:row>18</xdr:row>
      <xdr:rowOff>428625</xdr:rowOff>
    </xdr:from>
    <xdr:to>
      <xdr:col>22</xdr:col>
      <xdr:colOff>1485900</xdr:colOff>
      <xdr:row>18</xdr:row>
      <xdr:rowOff>904875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A3F0A04-7DD4-1314-856B-2307949DAF6D}"/>
            </a:ext>
          </a:extLst>
        </xdr:cNvPr>
        <xdr:cNvSpPr txBox="1"/>
      </xdr:nvSpPr>
      <xdr:spPr>
        <a:xfrm>
          <a:off x="11925300" y="5295900"/>
          <a:ext cx="5019675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r>
            <a:rPr lang="en-US" sz="1800" b="0" baseline="0">
              <a:solidFill>
                <a:schemeClr val="tx1">
                  <a:lumMod val="75000"/>
                  <a:lumOff val="25000"/>
                </a:schemeClr>
              </a:solidFill>
            </a:rPr>
            <a:t>and which products </a:t>
          </a:r>
          <a:r>
            <a:rPr lang="en-US" sz="1800" b="1" baseline="0">
              <a:solidFill>
                <a:srgbClr val="C00000"/>
              </a:solidFill>
            </a:rPr>
            <a:t>casued losses.</a:t>
          </a:r>
          <a:endParaRPr lang="en-US" sz="1800" b="1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3</xdr:col>
      <xdr:colOff>438151</xdr:colOff>
      <xdr:row>11</xdr:row>
      <xdr:rowOff>342899</xdr:rowOff>
    </xdr:from>
    <xdr:to>
      <xdr:col>4</xdr:col>
      <xdr:colOff>552450</xdr:colOff>
      <xdr:row>12</xdr:row>
      <xdr:rowOff>333375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43692F3-E4D3-1FF6-8F6F-D628618454B8}"/>
            </a:ext>
          </a:extLst>
        </xdr:cNvPr>
        <xdr:cNvSpPr txBox="1"/>
      </xdr:nvSpPr>
      <xdr:spPr>
        <a:xfrm>
          <a:off x="3133726" y="3000374"/>
          <a:ext cx="1381124" cy="3429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38100</xdr:colOff>
      <xdr:row>11</xdr:row>
      <xdr:rowOff>266700</xdr:rowOff>
    </xdr:from>
    <xdr:to>
      <xdr:col>4</xdr:col>
      <xdr:colOff>457200</xdr:colOff>
      <xdr:row>11</xdr:row>
      <xdr:rowOff>266700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61E0305D-D622-43E7-86A5-05B418CDC309}"/>
            </a:ext>
          </a:extLst>
        </xdr:cNvPr>
        <xdr:cNvCxnSpPr/>
      </xdr:nvCxnSpPr>
      <xdr:spPr>
        <a:xfrm>
          <a:off x="1171575" y="2924175"/>
          <a:ext cx="3248025" cy="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57150</xdr:colOff>
      <xdr:row>11</xdr:row>
      <xdr:rowOff>276225</xdr:rowOff>
    </xdr:from>
    <xdr:to>
      <xdr:col>3</xdr:col>
      <xdr:colOff>57150</xdr:colOff>
      <xdr:row>14</xdr:row>
      <xdr:rowOff>152400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783497F-0C7A-28DA-1A24-59325F20CC29}"/>
            </a:ext>
          </a:extLst>
        </xdr:cNvPr>
        <xdr:cNvCxnSpPr/>
      </xdr:nvCxnSpPr>
      <xdr:spPr>
        <a:xfrm>
          <a:off x="2752725" y="2933700"/>
          <a:ext cx="0" cy="93345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731456</xdr:colOff>
      <xdr:row>0</xdr:row>
      <xdr:rowOff>76201</xdr:rowOff>
    </xdr:from>
    <xdr:to>
      <xdr:col>23</xdr:col>
      <xdr:colOff>485775</xdr:colOff>
      <xdr:row>7</xdr:row>
      <xdr:rowOff>85726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994E757-BC14-0C88-92B6-BE2F87860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0806" y="76201"/>
          <a:ext cx="2935669" cy="1485900"/>
        </a:xfrm>
        <a:prstGeom prst="rect">
          <a:avLst/>
        </a:prstGeom>
      </xdr:spPr>
    </xdr:pic>
    <xdr:clientData/>
  </xdr:twoCellAnchor>
  <xdr:twoCellAnchor>
    <xdr:from>
      <xdr:col>22</xdr:col>
      <xdr:colOff>533400</xdr:colOff>
      <xdr:row>5</xdr:row>
      <xdr:rowOff>28575</xdr:rowOff>
    </xdr:from>
    <xdr:to>
      <xdr:col>22</xdr:col>
      <xdr:colOff>714375</xdr:colOff>
      <xdr:row>5</xdr:row>
      <xdr:rowOff>276225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265A7B6A-C9A3-6B6C-1E7B-3CA8304736D4}"/>
            </a:ext>
          </a:extLst>
        </xdr:cNvPr>
        <xdr:cNvSpPr/>
      </xdr:nvSpPr>
      <xdr:spPr>
        <a:xfrm>
          <a:off x="15706725" y="981075"/>
          <a:ext cx="180975" cy="2476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9</xdr:col>
      <xdr:colOff>498705</xdr:colOff>
      <xdr:row>8</xdr:row>
      <xdr:rowOff>333375</xdr:rowOff>
    </xdr:from>
    <xdr:to>
      <xdr:col>14</xdr:col>
      <xdr:colOff>533400</xdr:colOff>
      <xdr:row>26</xdr:row>
      <xdr:rowOff>133350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BB152FD-EA26-447B-9606-094225999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A6519-D4ED-4CB0-BDC0-630605D6A226}" name="Data" displayName="Data" ref="A1:J4266" totalsRowShown="0" headerRowDxfId="4">
  <autoFilter ref="A1:J4266" xr:uid="{E58A6519-D4ED-4CB0-BDC0-630605D6A226}"/>
  <tableColumns count="10">
    <tableColumn id="1" xr3:uid="{8FC7DB8F-7C3E-431C-8A8D-DAF35D694F0F}" name="Year"/>
    <tableColumn id="2" xr3:uid="{AF04A490-89BD-4899-88EC-EBA4714DC287}" name="Month"/>
    <tableColumn id="3" xr3:uid="{F4904EED-12CD-448B-829C-FE590067DDBA}" name="Store Name"/>
    <tableColumn id="4" xr3:uid="{78FF97F2-183D-42E8-BAFE-FE95358C5754}" name="Region"/>
    <tableColumn id="5" xr3:uid="{B3BED4A2-51C5-4444-948A-2342268C49E9}" name="Store Type"/>
    <tableColumn id="6" xr3:uid="{27FF2F50-64B0-466B-A201-6455DA14F4CB}" name="Product Name"/>
    <tableColumn id="7" xr3:uid="{10F109FB-D9B1-4071-959B-DBD23E5F8B35}" name="Product Category"/>
    <tableColumn id="8" xr3:uid="{59460275-AA29-43D5-B80A-10EDE655A69D}" name="Units Sold"/>
    <tableColumn id="9" xr3:uid="{EE7279AC-77BB-4BFC-89F4-9DC3EAB9536C}" name="Revenue" dataDxfId="3"/>
    <tableColumn id="10" xr3:uid="{4371A17B-1304-495B-90EF-126889B716DC}" name="Profit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zoomScaleNormal="100" workbookViewId="0">
      <selection activeCell="H4548" sqref="H4548"/>
    </sheetView>
  </sheetViews>
  <sheetFormatPr defaultRowHeight="15" x14ac:dyDescent="0.25"/>
  <cols>
    <col min="1" max="1" width="16.5703125" customWidth="1"/>
    <col min="2" max="2" width="9.140625" customWidth="1"/>
    <col min="3" max="3" width="14.28515625" customWidth="1"/>
    <col min="4" max="4" width="15" customWidth="1"/>
    <col min="5" max="5" width="16.28515625" customWidth="1"/>
    <col min="6" max="6" width="20.42578125" bestFit="1" customWidth="1"/>
    <col min="7" max="7" width="18.85546875" customWidth="1"/>
    <col min="8" max="8" width="12.140625" customWidth="1"/>
    <col min="9" max="9" width="11" customWidth="1"/>
    <col min="12" max="13" width="11.42578125" bestFit="1" customWidth="1"/>
    <col min="16" max="16" width="15.42578125" bestFit="1" customWidth="1"/>
    <col min="18" max="18" width="18.28515625" bestFit="1" customWidth="1"/>
    <col min="27" max="27" width="14.28515625" customWidth="1"/>
    <col min="28" max="28" width="11.42578125" customWidth="1"/>
    <col min="32" max="33" width="14.28515625" customWidth="1"/>
    <col min="34" max="34" width="11.42578125" customWidth="1"/>
    <col min="37" max="37" width="12.28515625" bestFit="1" customWidth="1"/>
    <col min="38" max="38" width="17.7109375" bestFit="1" customWidth="1"/>
    <col min="48" max="49" width="14.28515625" customWidth="1"/>
    <col min="50" max="50" width="17.42578125" bestFit="1" customWidth="1"/>
    <col min="51" max="51" width="11.42578125" customWidth="1"/>
  </cols>
  <sheetData>
    <row r="1" spans="1:51" x14ac:dyDescent="0.2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2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2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2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2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2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2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2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2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2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2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2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2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2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2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2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2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2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2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2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2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2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2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2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2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2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2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2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2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2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2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2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2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66" si="2">_xlfn.XLOOKUP(AW35,C:C,D:D)</f>
        <v>Chicago</v>
      </c>
      <c r="AW35" t="s">
        <v>54</v>
      </c>
      <c r="AX35" t="s">
        <v>21</v>
      </c>
      <c r="AY35" s="3">
        <f t="shared" ref="AY35:AY66" si="3">SUMIFS(I:I,D:D,_xlfn.SINGLE(Region),C:C,AW35,G:G,AX35,A:A,_xlfn.SINGLE(CurYear),B:B,_xlfn.SINGLE(CurMonth))</f>
        <v>0</v>
      </c>
    </row>
    <row r="36" spans="1:51" x14ac:dyDescent="0.2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2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2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2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2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2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2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2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2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2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2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2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2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2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2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2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2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2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078A-F0AA-40B5-8655-3E7C41459EA8}">
  <dimension ref="A1:AM36"/>
  <sheetViews>
    <sheetView workbookViewId="0">
      <selection activeCell="B39" sqref="B39"/>
    </sheetView>
  </sheetViews>
  <sheetFormatPr defaultRowHeight="15" x14ac:dyDescent="0.25"/>
  <cols>
    <col min="1" max="1" width="17.28515625" customWidth="1"/>
    <col min="2" max="2" width="15" customWidth="1"/>
    <col min="4" max="4" width="41.42578125" customWidth="1"/>
    <col min="5" max="5" width="9.5703125" bestFit="1" customWidth="1"/>
    <col min="7" max="8" width="11" customWidth="1"/>
    <col min="9" max="9" width="11.7109375" customWidth="1"/>
    <col min="10" max="11" width="11.85546875" customWidth="1"/>
    <col min="13" max="14" width="14" customWidth="1"/>
    <col min="15" max="15" width="14.28515625" customWidth="1"/>
    <col min="16" max="16" width="13" customWidth="1"/>
    <col min="17" max="17" width="10.85546875" customWidth="1"/>
    <col min="21" max="22" width="15.42578125" customWidth="1"/>
    <col min="23" max="23" width="11.85546875" customWidth="1"/>
    <col min="24" max="26" width="11.7109375" customWidth="1"/>
    <col min="27" max="27" width="7.28515625" customWidth="1"/>
    <col min="28" max="28" width="19.140625" customWidth="1"/>
    <col min="29" max="29" width="12" customWidth="1"/>
    <col min="30" max="30" width="14.5703125" customWidth="1"/>
    <col min="31" max="31" width="13.5703125" customWidth="1"/>
    <col min="37" max="37" width="16.42578125" customWidth="1"/>
    <col min="38" max="38" width="11.140625" customWidth="1"/>
    <col min="39" max="39" width="10" customWidth="1"/>
  </cols>
  <sheetData>
    <row r="1" spans="1:39" x14ac:dyDescent="0.25">
      <c r="A1" s="6" t="s">
        <v>75</v>
      </c>
      <c r="B1" s="7"/>
      <c r="D1" s="13" t="s">
        <v>82</v>
      </c>
      <c r="E1" s="13"/>
      <c r="G1" s="13" t="s">
        <v>89</v>
      </c>
      <c r="H1" s="13"/>
      <c r="I1" s="13"/>
      <c r="J1" s="13"/>
      <c r="K1" s="13"/>
      <c r="M1" s="13" t="s">
        <v>103</v>
      </c>
      <c r="N1" s="13"/>
      <c r="O1" s="13"/>
      <c r="P1" s="13"/>
      <c r="Q1" s="13"/>
      <c r="R1" s="13"/>
      <c r="T1" s="13" t="s">
        <v>108</v>
      </c>
      <c r="U1" s="13"/>
      <c r="V1" s="13"/>
      <c r="W1" s="13"/>
      <c r="X1" s="13"/>
      <c r="Y1" s="13"/>
      <c r="Z1" s="13"/>
      <c r="AB1" s="13" t="s">
        <v>109</v>
      </c>
      <c r="AC1" s="13"/>
      <c r="AD1" s="13"/>
      <c r="AE1" s="13"/>
      <c r="AF1" s="13"/>
      <c r="AG1" s="13"/>
      <c r="AJ1" s="13" t="s">
        <v>113</v>
      </c>
      <c r="AK1" s="13"/>
      <c r="AL1" s="13"/>
      <c r="AM1" s="13"/>
    </row>
    <row r="2" spans="1:39" x14ac:dyDescent="0.25">
      <c r="A2" s="5" t="s">
        <v>52</v>
      </c>
      <c r="B2" s="5" t="s">
        <v>76</v>
      </c>
      <c r="D2" s="14" t="s">
        <v>83</v>
      </c>
      <c r="E2" s="12">
        <f>SUMIFS(Data[Revenue], Data[Region], Region, Data[Month], CurrentMonth, Data[Year], CUrrentYear)</f>
        <v>59782.98000000001</v>
      </c>
      <c r="G2" s="14" t="s">
        <v>90</v>
      </c>
      <c r="H2" s="14"/>
      <c r="I2" s="14">
        <f>PrevYear</f>
        <v>2020</v>
      </c>
      <c r="J2" s="14">
        <f>CUrrentYear</f>
        <v>2021</v>
      </c>
      <c r="K2" s="14" t="s">
        <v>76</v>
      </c>
      <c r="M2" s="14" t="s">
        <v>104</v>
      </c>
      <c r="N2" s="14" t="s">
        <v>52</v>
      </c>
      <c r="O2" s="14" t="s">
        <v>46</v>
      </c>
      <c r="P2" s="14" t="s">
        <v>105</v>
      </c>
      <c r="Q2" s="14" t="s">
        <v>106</v>
      </c>
      <c r="R2" s="14" t="s">
        <v>107</v>
      </c>
      <c r="T2" s="14" t="s">
        <v>107</v>
      </c>
      <c r="U2" s="14" t="s">
        <v>104</v>
      </c>
      <c r="V2" s="14" t="s">
        <v>52</v>
      </c>
      <c r="W2" s="14" t="s">
        <v>46</v>
      </c>
      <c r="X2" s="14" t="s">
        <v>106</v>
      </c>
      <c r="Y2" s="14" t="s">
        <v>76</v>
      </c>
      <c r="Z2" s="14" t="s">
        <v>76</v>
      </c>
      <c r="AB2" s="14" t="s">
        <v>116</v>
      </c>
      <c r="AC2" s="14" t="s">
        <v>46</v>
      </c>
      <c r="AD2" s="14" t="s">
        <v>105</v>
      </c>
      <c r="AE2" s="14" t="s">
        <v>110</v>
      </c>
      <c r="AF2" s="14" t="s">
        <v>111</v>
      </c>
      <c r="AG2" s="14" t="s">
        <v>112</v>
      </c>
      <c r="AJ2" s="14" t="s">
        <v>107</v>
      </c>
      <c r="AK2" s="14" t="s">
        <v>116</v>
      </c>
      <c r="AL2" s="14" t="s">
        <v>46</v>
      </c>
      <c r="AM2" s="14" t="s">
        <v>114</v>
      </c>
    </row>
    <row r="3" spans="1:39" x14ac:dyDescent="0.25">
      <c r="A3" t="s">
        <v>4</v>
      </c>
      <c r="B3" t="str">
        <f>Dashboard!$C$6</f>
        <v>Los Angeles</v>
      </c>
      <c r="D3" s="14" t="s">
        <v>84</v>
      </c>
      <c r="E3" s="12">
        <f>SUMIFS(Data[Revenue], Data[Region], Region, Data[Month], CurrentMonth, Data[Year], PrevYear)</f>
        <v>44643.76</v>
      </c>
      <c r="G3">
        <v>1</v>
      </c>
      <c r="H3" t="s">
        <v>91</v>
      </c>
      <c r="I3" s="12">
        <f>SUMIFS(Data[[Revenue]:[Revenue]], Data[[Region]:[Region]], Region, Data[[Month]:[Month]], $G3, Data[[Year]:[Year]], I$2)</f>
        <v>37135.47</v>
      </c>
      <c r="J3" s="12">
        <f>IF(G3&gt;CurrentMonth,NA(),SUMIFS(Data[[Revenue]:[Revenue]], Data[[Region]:[Region]], Region, Data[[Month]:[Month]], $G3, Data[[Year]:[Year]], J$2))</f>
        <v>51959.660000000011</v>
      </c>
      <c r="K3" s="12" t="e">
        <f t="shared" ref="K3:K14" si="0">IF(G3=CurrentMonth,J3,NA())</f>
        <v>#N/A</v>
      </c>
      <c r="M3" t="s">
        <v>59</v>
      </c>
      <c r="N3" t="str">
        <f>VLOOKUP(M3,Data[[Store Name]:[Region]], 2,0)</f>
        <v>Los Angeles</v>
      </c>
      <c r="O3" s="12">
        <f>SUMIFS(Data[Revenue],Data[Store Name], M3, Data[Month], CurrentMonth, Data[Year], CUrrentYear)</f>
        <v>12894.550000000001</v>
      </c>
      <c r="P3" s="12">
        <f>SUMIFS(Data[Revenue], Data[Store Name],M3, Data[Month],PrevMonth, Data[Year], CUrrentYear)</f>
        <v>9291.49</v>
      </c>
      <c r="Q3" s="11">
        <f t="shared" ref="Q3:Q12" si="1">O3/P3-1</f>
        <v>0.38778064659166622</v>
      </c>
      <c r="R3">
        <f>_xlfn.RANK.AVG(O3,$O$3:$O$12,1)</f>
        <v>1</v>
      </c>
      <c r="T3">
        <v>1</v>
      </c>
      <c r="U3" t="str">
        <f t="shared" ref="U3:U12" si="2">INDEX($M$3:$Q$12, MATCH($T3,$R$3:$R$12,0),1)</f>
        <v>Hollywood</v>
      </c>
      <c r="V3" t="str">
        <f>VLOOKUP('Data Prep'!U3,Data[[Store Name]:[Region]],2,0)</f>
        <v>Los Angeles</v>
      </c>
      <c r="W3" s="12">
        <f t="shared" ref="W3:X12" si="3">INDEX($M$3:$Q$12,MATCH($T3,$R$3:$R$12,0),MATCH(W$2,$M$2:$Q$2,0))</f>
        <v>12894.550000000001</v>
      </c>
      <c r="X3" s="11">
        <f t="shared" si="3"/>
        <v>0.38778064659166622</v>
      </c>
      <c r="Y3" s="22">
        <f t="shared" ref="Y3:Y12" si="4">IF($V3=Region,$W3,0)</f>
        <v>12894.550000000001</v>
      </c>
      <c r="Z3" s="10">
        <f t="shared" ref="Z3:Z12" si="5">IF($V3=Region,X3,0)</f>
        <v>0.38778064659166622</v>
      </c>
      <c r="AB3" t="s">
        <v>13</v>
      </c>
      <c r="AC3" s="12">
        <f>SUMIFS(Data[Revenue], Data[Region], Region, Data[Month], CurrentMonth, Data[Year], CUrrentYear, Data[Product Name], AB3)</f>
        <v>1630.98</v>
      </c>
      <c r="AD3" s="12">
        <f>SUMIFS(Data[Revenue], Data[Region], Region, Data[Month], PrevMonth, Data[Year], PMYear, Data[Product Name], AB3)</f>
        <v>3517.8</v>
      </c>
      <c r="AE3" s="2">
        <f>AC3-AD3</f>
        <v>-1886.8200000000002</v>
      </c>
      <c r="AF3">
        <f>_xlfn.RANK.AVG(AE3,$AE$3:$AE$36,0)</f>
        <v>34</v>
      </c>
      <c r="AG3">
        <f>_xlfn.RANK.AVG(AE3,$AE$3:$AE$36,1)</f>
        <v>1</v>
      </c>
      <c r="AJ3">
        <v>1</v>
      </c>
      <c r="AK3" t="str">
        <f>INDEX($AB$3:$AE$36,MATCH($AJ3,$AF$3:$AF$36,0),MATCH(AK$2,$AB$2:$AE$2,0))</f>
        <v>Etch A Sketch</v>
      </c>
      <c r="AL3" s="12">
        <f t="shared" ref="AL3:AM3" si="6">INDEX($AB$3:$AE$36,MATCH($AJ3,$AF$3:$AF$36,0),MATCH(AL$2,$AB$2:$AE$2,0))</f>
        <v>3442.3599999999997</v>
      </c>
      <c r="AM3" s="12">
        <f t="shared" si="6"/>
        <v>2938.6</v>
      </c>
    </row>
    <row r="4" spans="1:39" x14ac:dyDescent="0.25">
      <c r="A4" t="s">
        <v>5</v>
      </c>
      <c r="D4" s="14" t="s">
        <v>85</v>
      </c>
      <c r="E4" s="12">
        <f>SUMIFS(Data[Revenue], Data[Region], Region, Data[Month], PrevMonth, Data[Year],PMYear)</f>
        <v>46196.220000000008</v>
      </c>
      <c r="G4">
        <v>2</v>
      </c>
      <c r="H4" t="s">
        <v>92</v>
      </c>
      <c r="I4" s="12">
        <f>SUMIFS(Data[[Revenue]:[Revenue]], Data[[Region]:[Region]], Region, Data[[Month]:[Month]], $G4, Data[[Year]:[Year]], I$2)</f>
        <v>31324.390000000007</v>
      </c>
      <c r="J4" s="12">
        <f>IF(G4&gt;CurrentMonth,NA(),SUMIFS(Data[[Revenue]:[Revenue]], Data[[Region]:[Region]], Region, Data[[Month]:[Month]], $G4, Data[[Year]:[Year]], J$2))</f>
        <v>53726.850000000006</v>
      </c>
      <c r="K4" s="12" t="e">
        <f t="shared" si="0"/>
        <v>#N/A</v>
      </c>
      <c r="M4" t="s">
        <v>56</v>
      </c>
      <c r="N4" t="str">
        <f>VLOOKUP(M4,Data[[Store Name]:[Region]], 2,0)</f>
        <v>Los Angeles</v>
      </c>
      <c r="O4" s="12">
        <f>SUMIFS(Data[Revenue],Data[Store Name], M4, Data[Month], CurrentMonth, Data[Year], CUrrentYear)</f>
        <v>14836.320000000002</v>
      </c>
      <c r="P4" s="12">
        <f>SUMIFS(Data[Revenue], Data[Store Name],M4, Data[Month],PrevMonth, Data[Year], CUrrentYear)</f>
        <v>11676.369999999999</v>
      </c>
      <c r="Q4" s="11">
        <f t="shared" si="1"/>
        <v>0.27062777215864209</v>
      </c>
      <c r="R4">
        <f t="shared" ref="R4:R12" si="7">_xlfn.RANK.AVG(O4,$O$3:$O$12,1)</f>
        <v>2</v>
      </c>
      <c r="T4">
        <v>2</v>
      </c>
      <c r="U4" t="str">
        <f t="shared" si="2"/>
        <v>Beverly Hills</v>
      </c>
      <c r="V4" t="str">
        <f>VLOOKUP('Data Prep'!U4,Data[[Store Name]:[Region]],2,0)</f>
        <v>Los Angeles</v>
      </c>
      <c r="W4" s="12">
        <f t="shared" si="3"/>
        <v>14836.320000000002</v>
      </c>
      <c r="X4" s="11">
        <f t="shared" si="3"/>
        <v>0.27062777215864209</v>
      </c>
      <c r="Y4" s="22">
        <f t="shared" si="4"/>
        <v>14836.320000000002</v>
      </c>
      <c r="Z4" s="10">
        <f t="shared" si="5"/>
        <v>0.27062777215864209</v>
      </c>
      <c r="AB4" t="s">
        <v>24</v>
      </c>
      <c r="AC4" s="12">
        <f>SUMIFS(Data[Revenue], Data[Region], Region, Data[Month], CurrentMonth, Data[Year], CUrrentYear, Data[Product Name], AB4)</f>
        <v>2403.1499999999996</v>
      </c>
      <c r="AD4" s="12">
        <f>SUMIFS(Data[Revenue], Data[Region], Region, Data[Month], PrevMonth, Data[Year], PMYear, Data[Product Name], AB4)</f>
        <v>1337.97</v>
      </c>
      <c r="AE4" s="2">
        <f t="shared" ref="AE4:AE36" si="8">AC4-AD4</f>
        <v>1065.1799999999996</v>
      </c>
      <c r="AF4">
        <f t="shared" ref="AF4:AF36" si="9">_xlfn.RANK.AVG(AE4,$AE$3:$AE$36,0)</f>
        <v>9</v>
      </c>
      <c r="AG4">
        <f t="shared" ref="AG4:AG36" si="10">_xlfn.RANK.AVG(AE4,$AE$3:$AE$36,1)</f>
        <v>26</v>
      </c>
      <c r="AJ4">
        <v>2</v>
      </c>
      <c r="AK4" t="str">
        <f t="shared" ref="AK4:AM7" si="11">INDEX($AB$3:$AE$36,MATCH($AJ4,$AF$3:$AF$36,0),MATCH(AK$2,$AB$2:$AE$2,0))</f>
        <v>Rubik's Cube</v>
      </c>
      <c r="AL4" s="12">
        <f t="shared" si="11"/>
        <v>5037.4799999999996</v>
      </c>
      <c r="AM4" s="12">
        <f t="shared" si="11"/>
        <v>2798.5999999999995</v>
      </c>
    </row>
    <row r="5" spans="1:39" x14ac:dyDescent="0.25">
      <c r="A5" t="s">
        <v>48</v>
      </c>
      <c r="D5" s="14" t="s">
        <v>87</v>
      </c>
      <c r="E5" s="15">
        <f>E2/E3-1</f>
        <v>0.33911166980559004</v>
      </c>
      <c r="G5">
        <v>3</v>
      </c>
      <c r="H5" t="s">
        <v>93</v>
      </c>
      <c r="I5" s="12">
        <f>SUMIFS(Data[[Revenue]:[Revenue]], Data[[Region]:[Region]], Region, Data[[Month]:[Month]], $G5, Data[[Year]:[Year]], I$2)</f>
        <v>38310.149999999987</v>
      </c>
      <c r="J5" s="12">
        <f>IF(G5&gt;CurrentMonth,NA(),SUMIFS(Data[[Revenue]:[Revenue]], Data[[Region]:[Region]], Region, Data[[Month]:[Month]], $G5, Data[[Year]:[Year]], J$2))</f>
        <v>53604.229999999989</v>
      </c>
      <c r="K5" s="12" t="e">
        <f t="shared" si="0"/>
        <v>#N/A</v>
      </c>
      <c r="M5" t="s">
        <v>54</v>
      </c>
      <c r="N5" t="str">
        <f>VLOOKUP(M5,Data[[Store Name]:[Region]], 2,0)</f>
        <v>Chicago</v>
      </c>
      <c r="O5" s="12">
        <f>SUMIFS(Data[Revenue],Data[Store Name], M5, Data[Month], CurrentMonth, Data[Year], CUrrentYear)</f>
        <v>16131.78</v>
      </c>
      <c r="P5" s="12">
        <f>SUMIFS(Data[Revenue], Data[Store Name],M5, Data[Month],PrevMonth, Data[Year], CUrrentYear)</f>
        <v>19646.239999999998</v>
      </c>
      <c r="Q5" s="11">
        <f t="shared" si="1"/>
        <v>-0.1788871560156039</v>
      </c>
      <c r="R5">
        <f t="shared" si="7"/>
        <v>3</v>
      </c>
      <c r="T5">
        <v>3</v>
      </c>
      <c r="U5" t="str">
        <f t="shared" si="2"/>
        <v>Michigan Ave</v>
      </c>
      <c r="V5" t="str">
        <f>VLOOKUP('Data Prep'!U5,Data[[Store Name]:[Region]],2,0)</f>
        <v>Chicago</v>
      </c>
      <c r="W5" s="12">
        <f t="shared" si="3"/>
        <v>16131.78</v>
      </c>
      <c r="X5" s="11">
        <f t="shared" si="3"/>
        <v>-0.1788871560156039</v>
      </c>
      <c r="Y5" s="22">
        <f t="shared" si="4"/>
        <v>0</v>
      </c>
      <c r="Z5" s="10">
        <f t="shared" si="5"/>
        <v>0</v>
      </c>
      <c r="AB5" t="s">
        <v>18</v>
      </c>
      <c r="AC5" s="12">
        <f>SUMIFS(Data[Revenue], Data[Region], Region, Data[Month], CurrentMonth, Data[Year], CUrrentYear, Data[Product Name], AB5)</f>
        <v>116.91</v>
      </c>
      <c r="AD5" s="12">
        <f>SUMIFS(Data[Revenue], Data[Region], Region, Data[Month], PrevMonth, Data[Year], PMYear, Data[Product Name], AB5)</f>
        <v>0</v>
      </c>
      <c r="AE5" s="2">
        <f t="shared" si="8"/>
        <v>116.91</v>
      </c>
      <c r="AF5">
        <f t="shared" si="9"/>
        <v>19</v>
      </c>
      <c r="AG5">
        <f t="shared" si="10"/>
        <v>16</v>
      </c>
      <c r="AJ5">
        <v>3</v>
      </c>
      <c r="AK5" t="str">
        <f t="shared" si="11"/>
        <v>Colorbuds</v>
      </c>
      <c r="AL5" s="12">
        <f t="shared" si="11"/>
        <v>5291.47</v>
      </c>
      <c r="AM5" s="12">
        <f t="shared" si="11"/>
        <v>2248.5000000000005</v>
      </c>
    </row>
    <row r="6" spans="1:39" x14ac:dyDescent="0.25">
      <c r="D6" s="14" t="s">
        <v>88</v>
      </c>
      <c r="E6" s="15">
        <f>E2/E4-1</f>
        <v>0.29410977781298997</v>
      </c>
      <c r="G6">
        <v>4</v>
      </c>
      <c r="H6" t="s">
        <v>94</v>
      </c>
      <c r="I6" s="12">
        <f>SUMIFS(Data[[Revenue]:[Revenue]], Data[[Region]:[Region]], Region, Data[[Month]:[Month]], $G6, Data[[Year]:[Year]], I$2)</f>
        <v>43124.819999999992</v>
      </c>
      <c r="J6" s="12">
        <f>IF(G6&gt;CurrentMonth,NA(),SUMIFS(Data[[Revenue]:[Revenue]], Data[[Region]:[Region]], Region, Data[[Month]:[Month]], $G6, Data[[Year]:[Year]], J$2))</f>
        <v>50597.080000000009</v>
      </c>
      <c r="K6" s="12" t="e">
        <f t="shared" si="0"/>
        <v>#N/A</v>
      </c>
      <c r="M6" t="s">
        <v>55</v>
      </c>
      <c r="N6" t="str">
        <f>VLOOKUP(M6,Data[[Store Name]:[Region]], 2,0)</f>
        <v>Chicago</v>
      </c>
      <c r="O6" s="12">
        <f>SUMIFS(Data[Revenue],Data[Store Name], M6, Data[Month], CurrentMonth, Data[Year], CUrrentYear)</f>
        <v>20890.14</v>
      </c>
      <c r="P6" s="12">
        <f>SUMIFS(Data[Revenue], Data[Store Name],M6, Data[Month],PrevMonth, Data[Year], CUrrentYear)</f>
        <v>24100.490000000009</v>
      </c>
      <c r="Q6" s="11">
        <f t="shared" si="1"/>
        <v>-0.13320683521372423</v>
      </c>
      <c r="R6">
        <f t="shared" si="7"/>
        <v>4</v>
      </c>
      <c r="T6">
        <v>4</v>
      </c>
      <c r="U6" t="str">
        <f t="shared" si="2"/>
        <v>Millenium</v>
      </c>
      <c r="V6" t="str">
        <f>VLOOKUP('Data Prep'!U6,Data[[Store Name]:[Region]],2,0)</f>
        <v>Chicago</v>
      </c>
      <c r="W6" s="12">
        <f t="shared" si="3"/>
        <v>20890.14</v>
      </c>
      <c r="X6" s="11">
        <f t="shared" si="3"/>
        <v>-0.13320683521372423</v>
      </c>
      <c r="Y6" s="22">
        <f t="shared" si="4"/>
        <v>0</v>
      </c>
      <c r="Z6" s="10">
        <f t="shared" si="5"/>
        <v>0</v>
      </c>
      <c r="AB6" t="s">
        <v>30</v>
      </c>
      <c r="AC6" s="12">
        <f>SUMIFS(Data[Revenue], Data[Region], Region, Data[Month], CurrentMonth, Data[Year], CUrrentYear, Data[Product Name], AB6)</f>
        <v>0</v>
      </c>
      <c r="AD6" s="12">
        <f>SUMIFS(Data[Revenue], Data[Region], Region, Data[Month], PrevMonth, Data[Year], PMYear, Data[Product Name], AB6)</f>
        <v>229.77</v>
      </c>
      <c r="AE6" s="2">
        <f t="shared" si="8"/>
        <v>-229.77</v>
      </c>
      <c r="AF6">
        <f t="shared" si="9"/>
        <v>28</v>
      </c>
      <c r="AG6">
        <f t="shared" si="10"/>
        <v>7</v>
      </c>
      <c r="AJ6">
        <v>4</v>
      </c>
      <c r="AK6" t="str">
        <f t="shared" si="11"/>
        <v>Kids Makeup Kit</v>
      </c>
      <c r="AL6" s="12">
        <f t="shared" si="11"/>
        <v>2878.5599999999995</v>
      </c>
      <c r="AM6" s="12">
        <f t="shared" si="11"/>
        <v>1579.2099999999996</v>
      </c>
    </row>
    <row r="7" spans="1:39" x14ac:dyDescent="0.25">
      <c r="A7" s="6" t="s">
        <v>77</v>
      </c>
      <c r="B7" s="6"/>
      <c r="G7">
        <v>5</v>
      </c>
      <c r="H7" t="s">
        <v>95</v>
      </c>
      <c r="I7" s="12">
        <f>SUMIFS(Data[[Revenue]:[Revenue]], Data[[Region]:[Region]], Region, Data[[Month]:[Month]], $G7, Data[[Year]:[Year]], I$2)</f>
        <v>48602.219999999994</v>
      </c>
      <c r="J7" s="12">
        <f>IF(G7&gt;CurrentMonth,NA(),SUMIFS(Data[[Revenue]:[Revenue]], Data[[Region]:[Region]], Region, Data[[Month]:[Month]], $G7, Data[[Year]:[Year]], J$2))</f>
        <v>66944.169999999984</v>
      </c>
      <c r="K7" s="12" t="e">
        <f t="shared" si="0"/>
        <v>#N/A</v>
      </c>
      <c r="M7" t="s">
        <v>53</v>
      </c>
      <c r="N7" t="str">
        <f>VLOOKUP(M7,Data[[Store Name]:[Region]], 2,0)</f>
        <v>Chicago</v>
      </c>
      <c r="O7" s="12">
        <f>SUMIFS(Data[Revenue],Data[Store Name], M7, Data[Month], CurrentMonth, Data[Year], CUrrentYear)</f>
        <v>21829.790000000008</v>
      </c>
      <c r="P7" s="12">
        <f>SUMIFS(Data[Revenue], Data[Store Name],M7, Data[Month],PrevMonth, Data[Year], CUrrentYear)</f>
        <v>17645.59</v>
      </c>
      <c r="Q7" s="11">
        <f t="shared" si="1"/>
        <v>0.23712440332117013</v>
      </c>
      <c r="R7">
        <f t="shared" si="7"/>
        <v>5</v>
      </c>
      <c r="T7">
        <v>5</v>
      </c>
      <c r="U7" t="str">
        <f t="shared" si="2"/>
        <v>Lincoln Park</v>
      </c>
      <c r="V7" t="str">
        <f>VLOOKUP('Data Prep'!U7,Data[[Store Name]:[Region]],2,0)</f>
        <v>Chicago</v>
      </c>
      <c r="W7" s="12">
        <f t="shared" si="3"/>
        <v>21829.790000000008</v>
      </c>
      <c r="X7" s="11">
        <f t="shared" si="3"/>
        <v>0.23712440332117013</v>
      </c>
      <c r="Y7" s="22">
        <f t="shared" si="4"/>
        <v>0</v>
      </c>
      <c r="Z7" s="10">
        <f t="shared" si="5"/>
        <v>0</v>
      </c>
      <c r="AB7" t="s">
        <v>20</v>
      </c>
      <c r="AC7" s="12">
        <f>SUMIFS(Data[Revenue], Data[Region], Region, Data[Month], CurrentMonth, Data[Year], CUrrentYear, Data[Product Name], AB7)</f>
        <v>5291.47</v>
      </c>
      <c r="AD7" s="12">
        <f>SUMIFS(Data[Revenue], Data[Region], Region, Data[Month], PrevMonth, Data[Year], PMYear, Data[Product Name], AB7)</f>
        <v>3042.97</v>
      </c>
      <c r="AE7" s="2">
        <f t="shared" si="8"/>
        <v>2248.5000000000005</v>
      </c>
      <c r="AF7">
        <f t="shared" si="9"/>
        <v>3</v>
      </c>
      <c r="AG7">
        <f t="shared" si="10"/>
        <v>32</v>
      </c>
      <c r="AJ7">
        <v>5</v>
      </c>
      <c r="AK7" t="str">
        <f t="shared" si="11"/>
        <v>Nerf Gun</v>
      </c>
      <c r="AL7" s="12">
        <f t="shared" si="11"/>
        <v>2338.83</v>
      </c>
      <c r="AM7" s="12">
        <f t="shared" si="11"/>
        <v>1339.33</v>
      </c>
    </row>
    <row r="8" spans="1:39" x14ac:dyDescent="0.25">
      <c r="A8" s="9" t="s">
        <v>78</v>
      </c>
      <c r="B8" s="8">
        <f>MAX(Data[Year])</f>
        <v>2021</v>
      </c>
      <c r="G8">
        <v>6</v>
      </c>
      <c r="H8" t="s">
        <v>96</v>
      </c>
      <c r="I8" s="12">
        <f>SUMIFS(Data[[Revenue]:[Revenue]], Data[[Region]:[Region]], Region, Data[[Month]:[Month]], $G8, Data[[Year]:[Year]], I$2)</f>
        <v>42487.139999999992</v>
      </c>
      <c r="J8" s="12">
        <f>IF(G8&gt;CurrentMonth,NA(),SUMIFS(Data[[Revenue]:[Revenue]], Data[[Region]:[Region]], Region, Data[[Month]:[Month]], $G8, Data[[Year]:[Year]], J$2))</f>
        <v>46196.220000000008</v>
      </c>
      <c r="K8" s="12" t="e">
        <f t="shared" si="0"/>
        <v>#N/A</v>
      </c>
      <c r="M8" t="s">
        <v>58</v>
      </c>
      <c r="N8" t="str">
        <f>VLOOKUP(M8,Data[[Store Name]:[Region]], 2,0)</f>
        <v>New York</v>
      </c>
      <c r="O8" s="12">
        <f>SUMIFS(Data[Revenue],Data[Store Name], M8, Data[Month], CurrentMonth, Data[Year], CUrrentYear)</f>
        <v>22152.709999999995</v>
      </c>
      <c r="P8" s="12">
        <f>SUMIFS(Data[Revenue], Data[Store Name],M8, Data[Month],PrevMonth, Data[Year], CUrrentYear)</f>
        <v>19305.510000000002</v>
      </c>
      <c r="Q8" s="11">
        <f t="shared" si="1"/>
        <v>0.1474812113225703</v>
      </c>
      <c r="R8">
        <f t="shared" si="7"/>
        <v>6</v>
      </c>
      <c r="T8">
        <v>6</v>
      </c>
      <c r="U8" t="str">
        <f t="shared" si="2"/>
        <v>Fifth Avenue</v>
      </c>
      <c r="V8" t="str">
        <f>VLOOKUP('Data Prep'!U8,Data[[Store Name]:[Region]],2,0)</f>
        <v>New York</v>
      </c>
      <c r="W8" s="12">
        <f t="shared" si="3"/>
        <v>22152.709999999995</v>
      </c>
      <c r="X8" s="11">
        <f t="shared" si="3"/>
        <v>0.1474812113225703</v>
      </c>
      <c r="Y8" s="22">
        <f t="shared" si="4"/>
        <v>0</v>
      </c>
      <c r="Z8" s="10">
        <f t="shared" si="5"/>
        <v>0</v>
      </c>
      <c r="AB8" t="s">
        <v>25</v>
      </c>
      <c r="AC8" s="12">
        <f>SUMIFS(Data[Revenue], Data[Region], Region, Data[Month], CurrentMonth, Data[Year], CUrrentYear, Data[Product Name], AB8)</f>
        <v>1295.19</v>
      </c>
      <c r="AD8" s="12">
        <f>SUMIFS(Data[Revenue], Data[Region], Region, Data[Month], PrevMonth, Data[Year], PMYear, Data[Product Name], AB8)</f>
        <v>655.58999999999992</v>
      </c>
      <c r="AE8" s="2">
        <f t="shared" si="8"/>
        <v>639.60000000000014</v>
      </c>
      <c r="AF8">
        <f t="shared" si="9"/>
        <v>12</v>
      </c>
      <c r="AG8">
        <f t="shared" si="10"/>
        <v>23</v>
      </c>
    </row>
    <row r="9" spans="1:39" x14ac:dyDescent="0.25">
      <c r="A9" s="9" t="s">
        <v>79</v>
      </c>
      <c r="B9" s="8">
        <f>_xlfn.MAXIFS(Data[Month], Data[Year], $B$8)</f>
        <v>7</v>
      </c>
      <c r="G9">
        <v>7</v>
      </c>
      <c r="H9" t="s">
        <v>97</v>
      </c>
      <c r="I9" s="12">
        <f>SUMIFS(Data[[Revenue]:[Revenue]], Data[[Region]:[Region]], Region, Data[[Month]:[Month]], $G9, Data[[Year]:[Year]], I$2)</f>
        <v>44643.76</v>
      </c>
      <c r="J9" s="12">
        <f>IF(G9&gt;CurrentMonth,NA(),SUMIFS(Data[[Revenue]:[Revenue]], Data[[Region]:[Region]], Region, Data[[Month]:[Month]], $G9, Data[[Year]:[Year]], J$2))</f>
        <v>59782.98000000001</v>
      </c>
      <c r="K9" s="12">
        <f t="shared" si="0"/>
        <v>59782.98000000001</v>
      </c>
      <c r="M9" t="s">
        <v>62</v>
      </c>
      <c r="N9" t="str">
        <f>VLOOKUP(M9,Data[[Store Name]:[Region]], 2,0)</f>
        <v>New York</v>
      </c>
      <c r="O9" s="12">
        <f>SUMIFS(Data[Revenue],Data[Store Name], M9, Data[Month], CurrentMonth, Data[Year], CUrrentYear)</f>
        <v>22817.06</v>
      </c>
      <c r="P9" s="12">
        <f>SUMIFS(Data[Revenue], Data[Store Name],M9, Data[Month],PrevMonth, Data[Year], CUrrentYear)</f>
        <v>20167.499999999996</v>
      </c>
      <c r="Q9" s="11">
        <f t="shared" si="1"/>
        <v>0.13137771166480761</v>
      </c>
      <c r="R9">
        <f t="shared" si="7"/>
        <v>7</v>
      </c>
      <c r="T9">
        <v>7</v>
      </c>
      <c r="U9" t="str">
        <f t="shared" si="2"/>
        <v>Times Square</v>
      </c>
      <c r="V9" t="str">
        <f>VLOOKUP('Data Prep'!U9,Data[[Store Name]:[Region]],2,0)</f>
        <v>New York</v>
      </c>
      <c r="W9" s="12">
        <f t="shared" si="3"/>
        <v>22817.06</v>
      </c>
      <c r="X9" s="11">
        <f t="shared" si="3"/>
        <v>0.13137771166480761</v>
      </c>
      <c r="Y9" s="22">
        <f t="shared" si="4"/>
        <v>0</v>
      </c>
      <c r="Z9" s="10">
        <f t="shared" si="5"/>
        <v>0</v>
      </c>
      <c r="AB9" t="s">
        <v>8</v>
      </c>
      <c r="AC9" s="12">
        <f>SUMIFS(Data[Revenue], Data[Region], Region, Data[Month], CurrentMonth, Data[Year], CUrrentYear, Data[Product Name], AB9)</f>
        <v>1502.85</v>
      </c>
      <c r="AD9" s="12">
        <f>SUMIFS(Data[Revenue], Data[Region], Region, Data[Month], PrevMonth, Data[Year], PMYear, Data[Product Name], AB9)</f>
        <v>1209.27</v>
      </c>
      <c r="AE9" s="2">
        <f t="shared" si="8"/>
        <v>293.57999999999993</v>
      </c>
      <c r="AF9">
        <f t="shared" si="9"/>
        <v>17</v>
      </c>
      <c r="AG9">
        <f t="shared" si="10"/>
        <v>18</v>
      </c>
      <c r="AJ9" s="13" t="s">
        <v>117</v>
      </c>
      <c r="AK9" s="13"/>
      <c r="AL9" s="13"/>
      <c r="AM9" s="13"/>
    </row>
    <row r="10" spans="1:39" x14ac:dyDescent="0.25">
      <c r="A10" s="9" t="s">
        <v>80</v>
      </c>
      <c r="B10" s="8">
        <f>CUrrentYear-1</f>
        <v>2020</v>
      </c>
      <c r="G10">
        <v>8</v>
      </c>
      <c r="H10" t="s">
        <v>98</v>
      </c>
      <c r="I10" s="12">
        <f>SUMIFS(Data[[Revenue]:[Revenue]], Data[[Region]:[Region]], Region, Data[[Month]:[Month]], $G10, Data[[Year]:[Year]], I$2)</f>
        <v>36202.770000000004</v>
      </c>
      <c r="J10" s="12" t="e">
        <f>IF(G10&gt;CurrentMonth,NA(),SUMIFS(Data[[Revenue]:[Revenue]], Data[[Region]:[Region]], Region, Data[[Month]:[Month]], $G10, Data[[Year]:[Year]], J$2))</f>
        <v>#N/A</v>
      </c>
      <c r="K10" s="12" t="e">
        <f t="shared" si="0"/>
        <v>#N/A</v>
      </c>
      <c r="M10" t="s">
        <v>60</v>
      </c>
      <c r="N10" t="str">
        <f>VLOOKUP(M10,Data[[Store Name]:[Region]], 2,0)</f>
        <v>New York</v>
      </c>
      <c r="O10" s="12">
        <f>SUMIFS(Data[Revenue],Data[Store Name], M10, Data[Month], CurrentMonth, Data[Year], CUrrentYear)</f>
        <v>24068.03</v>
      </c>
      <c r="P10" s="12">
        <f>SUMIFS(Data[Revenue], Data[Store Name],M10, Data[Month],PrevMonth, Data[Year], CUrrentYear)</f>
        <v>22176.43</v>
      </c>
      <c r="Q10" s="11">
        <f t="shared" si="1"/>
        <v>8.5297768847375277E-2</v>
      </c>
      <c r="R10">
        <f t="shared" si="7"/>
        <v>8</v>
      </c>
      <c r="T10">
        <v>8</v>
      </c>
      <c r="U10" t="str">
        <f t="shared" si="2"/>
        <v>JFK</v>
      </c>
      <c r="V10" t="str">
        <f>VLOOKUP('Data Prep'!U10,Data[[Store Name]:[Region]],2,0)</f>
        <v>New York</v>
      </c>
      <c r="W10" s="12">
        <f t="shared" si="3"/>
        <v>24068.03</v>
      </c>
      <c r="X10" s="11">
        <f t="shared" si="3"/>
        <v>8.5297768847375277E-2</v>
      </c>
      <c r="Y10" s="22">
        <f t="shared" si="4"/>
        <v>0</v>
      </c>
      <c r="Z10" s="10">
        <f t="shared" si="5"/>
        <v>0</v>
      </c>
      <c r="AB10" t="s">
        <v>17</v>
      </c>
      <c r="AC10" s="12">
        <f>SUMIFS(Data[Revenue], Data[Region], Region, Data[Month], CurrentMonth, Data[Year], CUrrentYear, Data[Product Name], AB10)</f>
        <v>3868.48</v>
      </c>
      <c r="AD10" s="12">
        <f>SUMIFS(Data[Revenue], Data[Region], Region, Data[Month], PrevMonth, Data[Year], PMYear, Data[Product Name], AB10)</f>
        <v>2758.4900000000002</v>
      </c>
      <c r="AE10" s="2">
        <f t="shared" si="8"/>
        <v>1109.9899999999998</v>
      </c>
      <c r="AF10">
        <f t="shared" si="9"/>
        <v>8</v>
      </c>
      <c r="AG10">
        <f t="shared" si="10"/>
        <v>27</v>
      </c>
      <c r="AJ10" s="14" t="s">
        <v>107</v>
      </c>
      <c r="AK10" s="14" t="s">
        <v>74</v>
      </c>
      <c r="AL10" s="14" t="s">
        <v>46</v>
      </c>
      <c r="AM10" s="14" t="s">
        <v>115</v>
      </c>
    </row>
    <row r="11" spans="1:39" x14ac:dyDescent="0.25">
      <c r="A11" s="9" t="s">
        <v>81</v>
      </c>
      <c r="B11" s="8">
        <f>IF(CurrentMonth=1, 12, CurrentMonth-1)</f>
        <v>6</v>
      </c>
      <c r="G11">
        <v>9</v>
      </c>
      <c r="H11" t="s">
        <v>99</v>
      </c>
      <c r="I11" s="12">
        <f>SUMIFS(Data[[Revenue]:[Revenue]], Data[[Region]:[Region]], Region, Data[[Month]:[Month]], $G11, Data[[Year]:[Year]], I$2)</f>
        <v>34881.53</v>
      </c>
      <c r="J11" s="12" t="e">
        <f>IF(G11&gt;CurrentMonth,NA(),SUMIFS(Data[[Revenue]:[Revenue]], Data[[Region]:[Region]], Region, Data[[Month]:[Month]], $G11, Data[[Year]:[Year]], J$2))</f>
        <v>#N/A</v>
      </c>
      <c r="K11" s="12" t="e">
        <f t="shared" si="0"/>
        <v>#N/A</v>
      </c>
      <c r="M11" t="s">
        <v>61</v>
      </c>
      <c r="N11" t="str">
        <f>VLOOKUP(M11,Data[[Store Name]:[Region]], 2,0)</f>
        <v>Los Angeles</v>
      </c>
      <c r="O11" s="12">
        <f>SUMIFS(Data[Revenue],Data[Store Name], M11, Data[Month], CurrentMonth, Data[Year], CUrrentYear)</f>
        <v>32052.109999999993</v>
      </c>
      <c r="P11" s="12">
        <f>SUMIFS(Data[Revenue], Data[Store Name],M11, Data[Month],PrevMonth, Data[Year], CUrrentYear)</f>
        <v>25228.359999999997</v>
      </c>
      <c r="Q11" s="11">
        <f t="shared" si="1"/>
        <v>0.27047933357538878</v>
      </c>
      <c r="R11">
        <f t="shared" si="7"/>
        <v>9</v>
      </c>
      <c r="T11">
        <v>9</v>
      </c>
      <c r="U11" t="str">
        <f t="shared" si="2"/>
        <v>LAX</v>
      </c>
      <c r="V11" t="str">
        <f>VLOOKUP('Data Prep'!U11,Data[[Store Name]:[Region]],2,0)</f>
        <v>Los Angeles</v>
      </c>
      <c r="W11" s="12">
        <f t="shared" si="3"/>
        <v>32052.109999999993</v>
      </c>
      <c r="X11" s="11">
        <f t="shared" si="3"/>
        <v>0.27047933357538878</v>
      </c>
      <c r="Y11" s="22">
        <f t="shared" si="4"/>
        <v>32052.109999999993</v>
      </c>
      <c r="Z11" s="10">
        <f t="shared" si="5"/>
        <v>0.27047933357538878</v>
      </c>
      <c r="AB11" t="s">
        <v>28</v>
      </c>
      <c r="AC11" s="12">
        <f>SUMIFS(Data[Revenue], Data[Region], Region, Data[Month], CurrentMonth, Data[Year], CUrrentYear, Data[Product Name], AB11)</f>
        <v>2623.25</v>
      </c>
      <c r="AD11" s="12">
        <f>SUMIFS(Data[Revenue], Data[Region], Region, Data[Month], PrevMonth, Data[Year], PMYear, Data[Product Name], AB11)</f>
        <v>1783.81</v>
      </c>
      <c r="AE11" s="2">
        <f t="shared" si="8"/>
        <v>839.44</v>
      </c>
      <c r="AF11">
        <f t="shared" si="9"/>
        <v>10</v>
      </c>
      <c r="AG11">
        <f t="shared" si="10"/>
        <v>25</v>
      </c>
      <c r="AJ11">
        <v>1</v>
      </c>
      <c r="AK11" t="str">
        <f>INDEX($AB$3:$AE$36,MATCH($AJ3,$AG$3:$AG$36,0),MATCH(AK$2,$AB$2:$AE$2,0))</f>
        <v>Action Figure</v>
      </c>
      <c r="AL11" s="12">
        <f t="shared" ref="AL11:AM11" si="12">INDEX($AB$3:$AE$36,MATCH($AJ3,$AG$3:$AG$36,0),MATCH(AL$2,$AB$2:$AE$2,0))</f>
        <v>1630.98</v>
      </c>
      <c r="AM11" s="12">
        <f t="shared" si="12"/>
        <v>-1886.8200000000002</v>
      </c>
    </row>
    <row r="12" spans="1:39" x14ac:dyDescent="0.25">
      <c r="A12" s="9" t="s">
        <v>86</v>
      </c>
      <c r="B12" s="8">
        <f>IF(CurrentMonth=1, PrevYear, CUrrentYear)</f>
        <v>2021</v>
      </c>
      <c r="G12">
        <v>10</v>
      </c>
      <c r="H12" t="s">
        <v>100</v>
      </c>
      <c r="I12" s="12">
        <f>SUMIFS(Data[[Revenue]:[Revenue]], Data[[Region]:[Region]], Region, Data[[Month]:[Month]], $G12, Data[[Year]:[Year]], I$2)</f>
        <v>43505.939999999995</v>
      </c>
      <c r="J12" s="12" t="e">
        <f>IF(G12&gt;CurrentMonth,NA(),SUMIFS(Data[[Revenue]:[Revenue]], Data[[Region]:[Region]], Region, Data[[Month]:[Month]], $G12, Data[[Year]:[Year]], J$2))</f>
        <v>#N/A</v>
      </c>
      <c r="K12" s="12" t="e">
        <f t="shared" si="0"/>
        <v>#N/A</v>
      </c>
      <c r="M12" t="s">
        <v>57</v>
      </c>
      <c r="N12" t="str">
        <f>VLOOKUP(M12,Data[[Store Name]:[Region]], 2,0)</f>
        <v>Chicago</v>
      </c>
      <c r="O12" s="12">
        <f>SUMIFS(Data[Revenue],Data[Store Name], M12, Data[Month], CurrentMonth, Data[Year], CUrrentYear)</f>
        <v>36101.759999999995</v>
      </c>
      <c r="P12" s="12">
        <f>SUMIFS(Data[Revenue], Data[Store Name],M12, Data[Month],PrevMonth, Data[Year], CUrrentYear)</f>
        <v>30245.009999999995</v>
      </c>
      <c r="Q12" s="11">
        <f t="shared" si="1"/>
        <v>0.19364351342585118</v>
      </c>
      <c r="R12">
        <f t="shared" si="7"/>
        <v>10</v>
      </c>
      <c r="T12">
        <v>10</v>
      </c>
      <c r="U12" t="str">
        <f t="shared" si="2"/>
        <v>O'Hare</v>
      </c>
      <c r="V12" t="str">
        <f>VLOOKUP('Data Prep'!U12,Data[[Store Name]:[Region]],2,0)</f>
        <v>Chicago</v>
      </c>
      <c r="W12" s="12">
        <f t="shared" si="3"/>
        <v>36101.759999999995</v>
      </c>
      <c r="X12" s="11">
        <f t="shared" si="3"/>
        <v>0.19364351342585118</v>
      </c>
      <c r="Y12" s="22">
        <f t="shared" si="4"/>
        <v>0</v>
      </c>
      <c r="Z12" s="10">
        <f t="shared" si="5"/>
        <v>0</v>
      </c>
      <c r="AB12" t="s">
        <v>32</v>
      </c>
      <c r="AC12" s="12">
        <f>SUMIFS(Data[Revenue], Data[Region], Region, Data[Month], CurrentMonth, Data[Year], CUrrentYear, Data[Product Name], AB12)</f>
        <v>857.22</v>
      </c>
      <c r="AD12" s="12">
        <f>SUMIFS(Data[Revenue], Data[Region], Region, Data[Month], PrevMonth, Data[Year], PMYear, Data[Product Name], AB12)</f>
        <v>538.51</v>
      </c>
      <c r="AE12" s="2">
        <f t="shared" si="8"/>
        <v>318.71000000000004</v>
      </c>
      <c r="AF12">
        <f t="shared" si="9"/>
        <v>15</v>
      </c>
      <c r="AG12">
        <f t="shared" si="10"/>
        <v>20</v>
      </c>
      <c r="AJ12">
        <v>2</v>
      </c>
      <c r="AK12" t="str">
        <f t="shared" ref="AK12:AM15" si="13">INDEX($AB$3:$AE$36,MATCH($AJ4,$AG$3:$AG$36,0),MATCH(AK$2,$AB$2:$AE$2,0))</f>
        <v>Lego Bricks</v>
      </c>
      <c r="AL12" s="12">
        <f t="shared" si="13"/>
        <v>8517.8700000000008</v>
      </c>
      <c r="AM12" s="12">
        <f t="shared" si="13"/>
        <v>-1639.5900000000001</v>
      </c>
    </row>
    <row r="13" spans="1:39" x14ac:dyDescent="0.25">
      <c r="A13" s="9" t="s">
        <v>121</v>
      </c>
      <c r="B13" t="str">
        <f>VLOOKUP(CurrentMonth,A16:B27,2,0)&amp;" "&amp;CUrrentYear</f>
        <v>July 2021</v>
      </c>
      <c r="G13">
        <v>11</v>
      </c>
      <c r="H13" t="s">
        <v>101</v>
      </c>
      <c r="I13" s="12">
        <f>SUMIFS(Data[[Revenue]:[Revenue]], Data[[Region]:[Region]], Region, Data[[Month]:[Month]], $G13, Data[[Year]:[Year]], I$2)</f>
        <v>43677.41</v>
      </c>
      <c r="J13" s="12" t="e">
        <f>IF(G13&gt;CurrentMonth,NA(),SUMIFS(Data[[Revenue]:[Revenue]], Data[[Region]:[Region]], Region, Data[[Month]:[Month]], $G13, Data[[Year]:[Year]], J$2))</f>
        <v>#N/A</v>
      </c>
      <c r="K13" s="12" t="e">
        <f t="shared" si="0"/>
        <v>#N/A</v>
      </c>
      <c r="AB13" t="s">
        <v>31</v>
      </c>
      <c r="AC13" s="12">
        <f>SUMIFS(Data[Revenue], Data[Region], Region, Data[Month], CurrentMonth, Data[Year], CUrrentYear, Data[Product Name], AB13)</f>
        <v>2878.5599999999995</v>
      </c>
      <c r="AD13" s="12">
        <f>SUMIFS(Data[Revenue], Data[Region], Region, Data[Month], PrevMonth, Data[Year], PMYear, Data[Product Name], AB13)</f>
        <v>1299.3499999999999</v>
      </c>
      <c r="AE13" s="2">
        <f t="shared" si="8"/>
        <v>1579.2099999999996</v>
      </c>
      <c r="AF13">
        <f t="shared" si="9"/>
        <v>4</v>
      </c>
      <c r="AG13">
        <f t="shared" si="10"/>
        <v>31</v>
      </c>
      <c r="AJ13">
        <v>3</v>
      </c>
      <c r="AK13" t="str">
        <f t="shared" si="13"/>
        <v>Gamer Headset</v>
      </c>
      <c r="AL13" s="12">
        <f t="shared" si="13"/>
        <v>776.62999999999988</v>
      </c>
      <c r="AM13" s="12">
        <f t="shared" si="13"/>
        <v>-944.55</v>
      </c>
    </row>
    <row r="14" spans="1:39" x14ac:dyDescent="0.25">
      <c r="G14">
        <v>12</v>
      </c>
      <c r="H14" t="s">
        <v>102</v>
      </c>
      <c r="I14" s="12">
        <f>SUMIFS(Data[[Revenue]:[Revenue]], Data[[Region]:[Region]], Region, Data[[Month]:[Month]], $G14, Data[[Year]:[Year]], I$2)</f>
        <v>61614.720000000001</v>
      </c>
      <c r="J14" s="12" t="e">
        <f>IF(G14&gt;CurrentMonth,NA(),SUMIFS(Data[[Revenue]:[Revenue]], Data[[Region]:[Region]], Region, Data[[Month]:[Month]], $G14, Data[[Year]:[Year]], J$2))</f>
        <v>#N/A</v>
      </c>
      <c r="K14" s="12" t="e">
        <f t="shared" si="0"/>
        <v>#N/A</v>
      </c>
      <c r="AB14" t="s">
        <v>15</v>
      </c>
      <c r="AC14" s="12">
        <f>SUMIFS(Data[Revenue], Data[Region], Region, Data[Month], CurrentMonth, Data[Year], CUrrentYear, Data[Product Name], AB14)</f>
        <v>8517.8700000000008</v>
      </c>
      <c r="AD14" s="12">
        <f>SUMIFS(Data[Revenue], Data[Region], Region, Data[Month], PrevMonth, Data[Year], PMYear, Data[Product Name], AB14)</f>
        <v>10157.460000000001</v>
      </c>
      <c r="AE14" s="2">
        <f t="shared" si="8"/>
        <v>-1639.5900000000001</v>
      </c>
      <c r="AF14">
        <f t="shared" si="9"/>
        <v>33</v>
      </c>
      <c r="AG14">
        <f t="shared" si="10"/>
        <v>2</v>
      </c>
      <c r="AJ14">
        <v>4</v>
      </c>
      <c r="AK14" t="str">
        <f t="shared" si="13"/>
        <v>Magic Sand</v>
      </c>
      <c r="AL14" s="12">
        <f t="shared" si="13"/>
        <v>4924.92</v>
      </c>
      <c r="AM14" s="12">
        <f t="shared" si="13"/>
        <v>-591.6299999999992</v>
      </c>
    </row>
    <row r="15" spans="1:39" x14ac:dyDescent="0.25">
      <c r="A15" s="28" t="s">
        <v>90</v>
      </c>
      <c r="B15" s="28" t="s">
        <v>49</v>
      </c>
      <c r="AB15" t="s">
        <v>71</v>
      </c>
      <c r="AC15" s="12">
        <f>SUMIFS(Data[Revenue], Data[Region], Region, Data[Month], CurrentMonth, Data[Year], CUrrentYear, Data[Product Name], AB15)</f>
        <v>369.63</v>
      </c>
      <c r="AD15" s="12">
        <f>SUMIFS(Data[Revenue], Data[Region], Region, Data[Month], PrevMonth, Data[Year], PMYear, Data[Product Name], AB15)</f>
        <v>699.3</v>
      </c>
      <c r="AE15" s="2">
        <f t="shared" si="8"/>
        <v>-329.66999999999996</v>
      </c>
      <c r="AF15">
        <f t="shared" si="9"/>
        <v>30</v>
      </c>
      <c r="AG15">
        <f t="shared" si="10"/>
        <v>5</v>
      </c>
      <c r="AJ15">
        <v>5</v>
      </c>
      <c r="AK15" t="str">
        <f t="shared" si="13"/>
        <v>Mini Ping Pong</v>
      </c>
      <c r="AL15" s="12">
        <f t="shared" si="13"/>
        <v>369.63</v>
      </c>
      <c r="AM15" s="12">
        <f t="shared" si="13"/>
        <v>-329.66999999999996</v>
      </c>
    </row>
    <row r="16" spans="1:39" x14ac:dyDescent="0.25">
      <c r="A16">
        <v>1</v>
      </c>
      <c r="B16" t="s">
        <v>122</v>
      </c>
      <c r="AB16" t="s">
        <v>19</v>
      </c>
      <c r="AC16" s="12">
        <f>SUMIFS(Data[Revenue], Data[Region], Region, Data[Month], CurrentMonth, Data[Year], CUrrentYear, Data[Product Name], AB16)</f>
        <v>0</v>
      </c>
      <c r="AD16" s="12">
        <f>SUMIFS(Data[Revenue], Data[Region], Region, Data[Month], PrevMonth, Data[Year], PMYear, Data[Product Name], AB16)</f>
        <v>119.94</v>
      </c>
      <c r="AE16" s="2">
        <f t="shared" si="8"/>
        <v>-119.94</v>
      </c>
      <c r="AF16">
        <f t="shared" si="9"/>
        <v>24</v>
      </c>
      <c r="AG16">
        <f t="shared" si="10"/>
        <v>11</v>
      </c>
    </row>
    <row r="17" spans="1:33" x14ac:dyDescent="0.25">
      <c r="A17">
        <v>2</v>
      </c>
      <c r="B17" t="s">
        <v>123</v>
      </c>
      <c r="AB17" t="s">
        <v>27</v>
      </c>
      <c r="AC17" s="12">
        <f>SUMIFS(Data[Revenue], Data[Region], Region, Data[Month], CurrentMonth, Data[Year], CUrrentYear, Data[Product Name], AB17)</f>
        <v>1034.5400000000002</v>
      </c>
      <c r="AD17" s="12">
        <f>SUMIFS(Data[Revenue], Data[Region], Region, Data[Month], PrevMonth, Data[Year], PMYear, Data[Product Name], AB17)</f>
        <v>1043.5100000000002</v>
      </c>
      <c r="AE17" s="2">
        <f t="shared" si="8"/>
        <v>-8.9700000000000273</v>
      </c>
      <c r="AF17">
        <f t="shared" si="9"/>
        <v>21</v>
      </c>
      <c r="AG17">
        <f t="shared" si="10"/>
        <v>14</v>
      </c>
    </row>
    <row r="18" spans="1:33" x14ac:dyDescent="0.25">
      <c r="A18">
        <v>3</v>
      </c>
      <c r="B18" t="s">
        <v>124</v>
      </c>
      <c r="AB18" t="s">
        <v>11</v>
      </c>
      <c r="AC18" s="12">
        <f>SUMIFS(Data[Revenue], Data[Region], Region, Data[Month], CurrentMonth, Data[Year], CUrrentYear, Data[Product Name], AB18)</f>
        <v>494.01</v>
      </c>
      <c r="AD18" s="12">
        <f>SUMIFS(Data[Revenue], Data[Region], Region, Data[Month], PrevMonth, Data[Year], PMYear, Data[Product Name], AB18)</f>
        <v>404.19</v>
      </c>
      <c r="AE18" s="2">
        <f t="shared" si="8"/>
        <v>89.82</v>
      </c>
      <c r="AF18">
        <f t="shared" si="9"/>
        <v>20</v>
      </c>
      <c r="AG18">
        <f t="shared" si="10"/>
        <v>15</v>
      </c>
    </row>
    <row r="19" spans="1:33" x14ac:dyDescent="0.25">
      <c r="A19">
        <v>4</v>
      </c>
      <c r="B19" t="s">
        <v>125</v>
      </c>
      <c r="AB19" t="s">
        <v>26</v>
      </c>
      <c r="AC19" s="12">
        <f>SUMIFS(Data[Revenue], Data[Region], Region, Data[Month], CurrentMonth, Data[Year], CUrrentYear, Data[Product Name], AB19)</f>
        <v>5037.4799999999996</v>
      </c>
      <c r="AD19" s="12">
        <f>SUMIFS(Data[Revenue], Data[Region], Region, Data[Month], PrevMonth, Data[Year], PMYear, Data[Product Name], AB19)</f>
        <v>2238.88</v>
      </c>
      <c r="AE19" s="2">
        <f t="shared" si="8"/>
        <v>2798.5999999999995</v>
      </c>
      <c r="AF19">
        <f t="shared" si="9"/>
        <v>2</v>
      </c>
      <c r="AG19">
        <f t="shared" si="10"/>
        <v>33</v>
      </c>
    </row>
    <row r="20" spans="1:33" x14ac:dyDescent="0.25">
      <c r="A20">
        <v>5</v>
      </c>
      <c r="B20" t="s">
        <v>95</v>
      </c>
      <c r="AB20" t="s">
        <v>6</v>
      </c>
      <c r="AC20" s="12">
        <f>SUMIFS(Data[Revenue], Data[Region], Region, Data[Month], CurrentMonth, Data[Year], CUrrentYear, Data[Product Name], AB20)</f>
        <v>2238.5100000000002</v>
      </c>
      <c r="AD20" s="12">
        <f>SUMIFS(Data[Revenue], Data[Region], Region, Data[Month], PrevMonth, Data[Year], PMYear, Data[Product Name], AB20)</f>
        <v>952.94</v>
      </c>
      <c r="AE20" s="2">
        <f t="shared" si="8"/>
        <v>1285.5700000000002</v>
      </c>
      <c r="AF20">
        <f t="shared" si="9"/>
        <v>7</v>
      </c>
      <c r="AG20">
        <f t="shared" si="10"/>
        <v>28</v>
      </c>
    </row>
    <row r="21" spans="1:33" x14ac:dyDescent="0.25">
      <c r="A21">
        <v>6</v>
      </c>
      <c r="B21" t="s">
        <v>126</v>
      </c>
      <c r="AB21" t="s">
        <v>16</v>
      </c>
      <c r="AC21" s="12">
        <f>SUMIFS(Data[Revenue], Data[Region], Region, Data[Month], CurrentMonth, Data[Year], CUrrentYear, Data[Product Name], AB21)</f>
        <v>545.57999999999993</v>
      </c>
      <c r="AD21" s="12">
        <f>SUMIFS(Data[Revenue], Data[Region], Region, Data[Month], PrevMonth, Data[Year], PMYear, Data[Product Name], AB21)</f>
        <v>233.82000000000002</v>
      </c>
      <c r="AE21" s="2">
        <f t="shared" si="8"/>
        <v>311.75999999999988</v>
      </c>
      <c r="AF21">
        <f t="shared" si="9"/>
        <v>16</v>
      </c>
      <c r="AG21">
        <f t="shared" si="10"/>
        <v>19</v>
      </c>
    </row>
    <row r="22" spans="1:33" x14ac:dyDescent="0.25">
      <c r="A22">
        <v>7</v>
      </c>
      <c r="B22" t="s">
        <v>127</v>
      </c>
      <c r="AB22" t="s">
        <v>23</v>
      </c>
      <c r="AC22" s="12">
        <f>SUMIFS(Data[Revenue], Data[Region], Region, Data[Month], CurrentMonth, Data[Year], CUrrentYear, Data[Product Name], AB22)</f>
        <v>1663.3599999999997</v>
      </c>
      <c r="AD22" s="12">
        <f>SUMIFS(Data[Revenue], Data[Region], Region, Data[Month], PrevMonth, Data[Year], PMYear, Data[Product Name], AB22)</f>
        <v>337.87</v>
      </c>
      <c r="AE22" s="2">
        <f t="shared" si="8"/>
        <v>1325.4899999999998</v>
      </c>
      <c r="AF22">
        <f t="shared" si="9"/>
        <v>6</v>
      </c>
      <c r="AG22">
        <f t="shared" si="10"/>
        <v>29</v>
      </c>
    </row>
    <row r="23" spans="1:33" x14ac:dyDescent="0.25">
      <c r="A23">
        <v>8</v>
      </c>
      <c r="B23" t="s">
        <v>128</v>
      </c>
      <c r="AB23" t="s">
        <v>10</v>
      </c>
      <c r="AC23" s="12">
        <f>SUMIFS(Data[Revenue], Data[Region], Region, Data[Month], CurrentMonth, Data[Year], CUrrentYear, Data[Product Name], AB23)</f>
        <v>2338.83</v>
      </c>
      <c r="AD23" s="12">
        <f>SUMIFS(Data[Revenue], Data[Region], Region, Data[Month], PrevMonth, Data[Year], PMYear, Data[Product Name], AB23)</f>
        <v>999.5</v>
      </c>
      <c r="AE23" s="2">
        <f t="shared" si="8"/>
        <v>1339.33</v>
      </c>
      <c r="AF23">
        <f t="shared" si="9"/>
        <v>5</v>
      </c>
      <c r="AG23">
        <f t="shared" si="10"/>
        <v>30</v>
      </c>
    </row>
    <row r="24" spans="1:33" x14ac:dyDescent="0.25">
      <c r="A24">
        <v>9</v>
      </c>
      <c r="B24" t="s">
        <v>129</v>
      </c>
      <c r="AB24" t="s">
        <v>66</v>
      </c>
      <c r="AC24" s="12">
        <f>SUMIFS(Data[Revenue], Data[Region], Region, Data[Month], CurrentMonth, Data[Year], CUrrentYear, Data[Product Name], AB24)</f>
        <v>0</v>
      </c>
      <c r="AD24" s="12">
        <f>SUMIFS(Data[Revenue], Data[Region], Region, Data[Month], PrevMonth, Data[Year], PMYear, Data[Product Name], AB24)</f>
        <v>124.94999999999999</v>
      </c>
      <c r="AE24" s="2">
        <f t="shared" si="8"/>
        <v>-124.94999999999999</v>
      </c>
      <c r="AF24">
        <f t="shared" si="9"/>
        <v>25</v>
      </c>
      <c r="AG24">
        <f t="shared" si="10"/>
        <v>10</v>
      </c>
    </row>
    <row r="25" spans="1:33" x14ac:dyDescent="0.25">
      <c r="A25">
        <v>10</v>
      </c>
      <c r="B25" t="s">
        <v>130</v>
      </c>
      <c r="AB25" t="s">
        <v>29</v>
      </c>
      <c r="AC25" s="12">
        <f>SUMIFS(Data[Revenue], Data[Region], Region, Data[Month], CurrentMonth, Data[Year], CUrrentYear, Data[Product Name], AB25)</f>
        <v>0</v>
      </c>
      <c r="AD25" s="12">
        <f>SUMIFS(Data[Revenue], Data[Region], Region, Data[Month], PrevMonth, Data[Year], PMYear, Data[Product Name], AB25)</f>
        <v>87.89</v>
      </c>
      <c r="AE25" s="2">
        <f t="shared" si="8"/>
        <v>-87.89</v>
      </c>
      <c r="AF25">
        <f t="shared" si="9"/>
        <v>22</v>
      </c>
      <c r="AG25">
        <f t="shared" si="10"/>
        <v>13</v>
      </c>
    </row>
    <row r="26" spans="1:33" x14ac:dyDescent="0.25">
      <c r="A26">
        <v>11</v>
      </c>
      <c r="B26" t="s">
        <v>131</v>
      </c>
      <c r="AB26" t="s">
        <v>34</v>
      </c>
      <c r="AC26" s="12">
        <f>SUMIFS(Data[Revenue], Data[Region], Region, Data[Month], CurrentMonth, Data[Year], CUrrentYear, Data[Product Name], AB26)</f>
        <v>1181.04</v>
      </c>
      <c r="AD26" s="12">
        <f>SUMIFS(Data[Revenue], Data[Region], Region, Data[Month], PrevMonth, Data[Year], PMYear, Data[Product Name], AB26)</f>
        <v>1500.2400000000002</v>
      </c>
      <c r="AE26" s="2">
        <f t="shared" si="8"/>
        <v>-319.20000000000027</v>
      </c>
      <c r="AF26">
        <f t="shared" si="9"/>
        <v>29</v>
      </c>
      <c r="AG26">
        <f t="shared" si="10"/>
        <v>6</v>
      </c>
    </row>
    <row r="27" spans="1:33" x14ac:dyDescent="0.25">
      <c r="A27">
        <v>12</v>
      </c>
      <c r="B27" t="s">
        <v>132</v>
      </c>
      <c r="AB27" t="s">
        <v>70</v>
      </c>
      <c r="AC27" s="12">
        <f>SUMIFS(Data[Revenue], Data[Region], Region, Data[Month], CurrentMonth, Data[Year], CUrrentYear, Data[Product Name], AB27)</f>
        <v>814.6400000000001</v>
      </c>
      <c r="AD27" s="12">
        <f>SUMIFS(Data[Revenue], Data[Region], Region, Data[Month], PrevMonth, Data[Year], PMYear, Data[Product Name], AB27)</f>
        <v>173.71</v>
      </c>
      <c r="AE27" s="2">
        <f t="shared" si="8"/>
        <v>640.93000000000006</v>
      </c>
      <c r="AF27">
        <f t="shared" si="9"/>
        <v>11</v>
      </c>
      <c r="AG27">
        <f t="shared" si="10"/>
        <v>24</v>
      </c>
    </row>
    <row r="28" spans="1:33" x14ac:dyDescent="0.25">
      <c r="AB28" t="s">
        <v>67</v>
      </c>
      <c r="AC28" s="12">
        <f>SUMIFS(Data[Revenue], Data[Region], Region, Data[Month], CurrentMonth, Data[Year], CUrrentYear, Data[Product Name], AB28)</f>
        <v>59.96</v>
      </c>
      <c r="AD28" s="12">
        <f>SUMIFS(Data[Revenue], Data[Region], Region, Data[Month], PrevMonth, Data[Year], PMYear, Data[Product Name], AB28)</f>
        <v>209.86</v>
      </c>
      <c r="AE28" s="2">
        <f t="shared" si="8"/>
        <v>-149.9</v>
      </c>
      <c r="AF28">
        <f t="shared" si="9"/>
        <v>27</v>
      </c>
      <c r="AG28">
        <f t="shared" si="10"/>
        <v>8</v>
      </c>
    </row>
    <row r="29" spans="1:33" x14ac:dyDescent="0.25">
      <c r="AB29" t="s">
        <v>37</v>
      </c>
      <c r="AC29" s="12">
        <f>SUMIFS(Data[Revenue], Data[Region], Region, Data[Month], CurrentMonth, Data[Year], CUrrentYear, Data[Product Name], AB29)</f>
        <v>949.61999999999989</v>
      </c>
      <c r="AD29" s="12">
        <f>SUMIFS(Data[Revenue], Data[Region], Region, Data[Month], PrevMonth, Data[Year], PMYear, Data[Product Name], AB29)</f>
        <v>724.70999999999992</v>
      </c>
      <c r="AE29" s="2">
        <f t="shared" si="8"/>
        <v>224.90999999999997</v>
      </c>
      <c r="AF29">
        <f t="shared" si="9"/>
        <v>18</v>
      </c>
      <c r="AG29">
        <f t="shared" si="10"/>
        <v>17</v>
      </c>
    </row>
    <row r="30" spans="1:33" x14ac:dyDescent="0.25">
      <c r="AB30" t="s">
        <v>38</v>
      </c>
      <c r="AC30" s="12">
        <f>SUMIFS(Data[Revenue], Data[Region], Region, Data[Month], CurrentMonth, Data[Year], CUrrentYear, Data[Product Name], AB30)</f>
        <v>189.81</v>
      </c>
      <c r="AD30" s="12">
        <f>SUMIFS(Data[Revenue], Data[Region], Region, Data[Month], PrevMonth, Data[Year], PMYear, Data[Product Name], AB30)</f>
        <v>329.66999999999996</v>
      </c>
      <c r="AE30" s="2">
        <f t="shared" si="8"/>
        <v>-139.85999999999996</v>
      </c>
      <c r="AF30">
        <f t="shared" si="9"/>
        <v>26</v>
      </c>
      <c r="AG30">
        <f t="shared" si="10"/>
        <v>9</v>
      </c>
    </row>
    <row r="31" spans="1:33" x14ac:dyDescent="0.25">
      <c r="AB31" t="s">
        <v>39</v>
      </c>
      <c r="AC31" s="12">
        <f>SUMIFS(Data[Revenue], Data[Region], Region, Data[Month], CurrentMonth, Data[Year], CUrrentYear, Data[Product Name], AB31)</f>
        <v>1439.2799999999997</v>
      </c>
      <c r="AD31" s="12">
        <f>SUMIFS(Data[Revenue], Data[Region], Region, Data[Month], PrevMonth, Data[Year], PMYear, Data[Product Name], AB31)</f>
        <v>899.55</v>
      </c>
      <c r="AE31" s="2">
        <f t="shared" si="8"/>
        <v>539.72999999999979</v>
      </c>
      <c r="AF31">
        <f t="shared" si="9"/>
        <v>14</v>
      </c>
      <c r="AG31">
        <f t="shared" si="10"/>
        <v>21</v>
      </c>
    </row>
    <row r="32" spans="1:33" x14ac:dyDescent="0.25">
      <c r="AB32" t="s">
        <v>68</v>
      </c>
      <c r="AC32" s="12">
        <f>SUMIFS(Data[Revenue], Data[Region], Region, Data[Month], CurrentMonth, Data[Year], CUrrentYear, Data[Product Name], AB32)</f>
        <v>776.62999999999988</v>
      </c>
      <c r="AD32" s="12">
        <f>SUMIFS(Data[Revenue], Data[Region], Region, Data[Month], PrevMonth, Data[Year], PMYear, Data[Product Name], AB32)</f>
        <v>1721.1799999999998</v>
      </c>
      <c r="AE32" s="2">
        <f t="shared" si="8"/>
        <v>-944.55</v>
      </c>
      <c r="AF32">
        <f t="shared" si="9"/>
        <v>32</v>
      </c>
      <c r="AG32">
        <f t="shared" si="10"/>
        <v>3</v>
      </c>
    </row>
    <row r="33" spans="28:33" x14ac:dyDescent="0.25">
      <c r="AB33" t="s">
        <v>42</v>
      </c>
      <c r="AC33" s="12">
        <f>SUMIFS(Data[Revenue], Data[Region], Region, Data[Month], CurrentMonth, Data[Year], CUrrentYear, Data[Product Name], AB33)</f>
        <v>4924.92</v>
      </c>
      <c r="AD33" s="12">
        <f>SUMIFS(Data[Revenue], Data[Region], Region, Data[Month], PrevMonth, Data[Year], PMYear, Data[Product Name], AB33)</f>
        <v>5516.5499999999993</v>
      </c>
      <c r="AE33" s="2">
        <f t="shared" si="8"/>
        <v>-591.6299999999992</v>
      </c>
      <c r="AF33">
        <f t="shared" si="9"/>
        <v>31</v>
      </c>
      <c r="AG33">
        <f t="shared" si="10"/>
        <v>4</v>
      </c>
    </row>
    <row r="34" spans="28:33" x14ac:dyDescent="0.25">
      <c r="AB34" t="s">
        <v>41</v>
      </c>
      <c r="AC34" s="12">
        <f>SUMIFS(Data[Revenue], Data[Region], Region, Data[Month], CurrentMonth, Data[Year], CUrrentYear, Data[Product Name], AB34)</f>
        <v>409.59</v>
      </c>
      <c r="AD34" s="12">
        <f>SUMIFS(Data[Revenue], Data[Region], Region, Data[Month], PrevMonth, Data[Year], PMYear, Data[Product Name], AB34)</f>
        <v>519.48</v>
      </c>
      <c r="AE34" s="2">
        <f t="shared" si="8"/>
        <v>-109.89000000000004</v>
      </c>
      <c r="AF34">
        <f t="shared" si="9"/>
        <v>23</v>
      </c>
      <c r="AG34">
        <f t="shared" si="10"/>
        <v>12</v>
      </c>
    </row>
    <row r="35" spans="28:33" x14ac:dyDescent="0.25">
      <c r="AB35" t="s">
        <v>43</v>
      </c>
      <c r="AC35" s="12">
        <f>SUMIFS(Data[Revenue], Data[Region], Region, Data[Month], CurrentMonth, Data[Year], CUrrentYear, Data[Product Name], AB35)</f>
        <v>3442.3599999999997</v>
      </c>
      <c r="AD35" s="12">
        <f>SUMIFS(Data[Revenue], Data[Region], Region, Data[Month], PrevMonth, Data[Year], PMYear, Data[Product Name], AB35)</f>
        <v>503.75999999999993</v>
      </c>
      <c r="AE35" s="2">
        <f t="shared" si="8"/>
        <v>2938.6</v>
      </c>
      <c r="AF35">
        <f t="shared" si="9"/>
        <v>1</v>
      </c>
      <c r="AG35">
        <f t="shared" si="10"/>
        <v>34</v>
      </c>
    </row>
    <row r="36" spans="28:33" x14ac:dyDescent="0.25">
      <c r="AB36" t="s">
        <v>69</v>
      </c>
      <c r="AC36" s="12">
        <f>SUMIFS(Data[Revenue], Data[Region], Region, Data[Month], CurrentMonth, Data[Year], CUrrentYear, Data[Product Name], AB36)</f>
        <v>887.26</v>
      </c>
      <c r="AD36" s="12">
        <f>SUMIFS(Data[Revenue], Data[Region], Region, Data[Month], PrevMonth, Data[Year], PMYear, Data[Product Name], AB36)</f>
        <v>323.73</v>
      </c>
      <c r="AE36" s="2">
        <f t="shared" si="8"/>
        <v>563.53</v>
      </c>
      <c r="AF36">
        <f t="shared" si="9"/>
        <v>13</v>
      </c>
      <c r="AG36">
        <f t="shared" si="10"/>
        <v>22</v>
      </c>
    </row>
  </sheetData>
  <sortState xmlns:xlrd2="http://schemas.microsoft.com/office/spreadsheetml/2017/richdata2" ref="M3:Q12">
    <sortCondition ref="O2:O12"/>
  </sortState>
  <phoneticPr fontId="2" type="noConversion"/>
  <conditionalFormatting sqref="E5:E6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1">
    <dataValidation type="list" allowBlank="1" showInputMessage="1" showErrorMessage="1" sqref="B2:B3" xr:uid="{F07CD618-6FC8-4F96-9661-6DDB79D16117}">
      <formula1>$A$3:$A$5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5A51-6009-4A89-B662-598511878FCF}">
  <dimension ref="A6:AC44"/>
  <sheetViews>
    <sheetView showGridLines="0" showRowColHeaders="0" tabSelected="1" zoomScaleNormal="100" workbookViewId="0">
      <selection activeCell="U6" sqref="U6"/>
    </sheetView>
  </sheetViews>
  <sheetFormatPr defaultColWidth="0" defaultRowHeight="15" x14ac:dyDescent="0.25"/>
  <cols>
    <col min="1" max="1" width="4" customWidth="1"/>
    <col min="2" max="2" width="13" customWidth="1"/>
    <col min="3" max="3" width="23.42578125" customWidth="1"/>
    <col min="4" max="4" width="19" customWidth="1"/>
    <col min="5" max="5" width="32.42578125" customWidth="1"/>
    <col min="6" max="15" width="9.140625" customWidth="1"/>
    <col min="16" max="16" width="0.28515625" customWidth="1"/>
    <col min="17" max="17" width="0.5703125" customWidth="1"/>
    <col min="18" max="18" width="9.140625" hidden="1" customWidth="1"/>
    <col min="19" max="19" width="7.85546875" hidden="1" customWidth="1"/>
    <col min="20" max="20" width="0.140625" hidden="1" customWidth="1"/>
    <col min="21" max="23" width="23.85546875" customWidth="1"/>
    <col min="24" max="27" width="9.140625" customWidth="1"/>
    <col min="28" max="28" width="13.85546875" customWidth="1"/>
    <col min="29" max="29" width="0" hidden="1" customWidth="1"/>
    <col min="30" max="16384" width="9.140625" hidden="1"/>
  </cols>
  <sheetData>
    <row r="6" spans="2:23" ht="26.25" x14ac:dyDescent="0.4">
      <c r="B6" s="27" t="s">
        <v>120</v>
      </c>
      <c r="C6" s="30" t="s">
        <v>4</v>
      </c>
      <c r="D6" s="31" t="s">
        <v>133</v>
      </c>
      <c r="E6" s="29" t="str">
        <f>'Data Prep'!$B$13&amp;"?"</f>
        <v>July 2021?</v>
      </c>
    </row>
    <row r="9" spans="2:23" ht="35.25" customHeight="1" x14ac:dyDescent="0.25"/>
    <row r="11" spans="2:23" ht="27.75" customHeight="1" x14ac:dyDescent="0.25">
      <c r="U11" s="19" t="s">
        <v>116</v>
      </c>
      <c r="V11" s="20" t="s">
        <v>46</v>
      </c>
      <c r="W11" s="20" t="s">
        <v>118</v>
      </c>
    </row>
    <row r="12" spans="2:23" ht="27.75" customHeight="1" x14ac:dyDescent="0.25">
      <c r="U12" s="16" t="str">
        <f>'Data Prep'!AK3</f>
        <v>Etch A Sketch</v>
      </c>
      <c r="V12" s="17">
        <f>'Data Prep'!AL3</f>
        <v>3442.3599999999997</v>
      </c>
      <c r="W12" s="23">
        <f>'Data Prep'!AM3</f>
        <v>2938.6</v>
      </c>
    </row>
    <row r="13" spans="2:23" ht="27.75" customHeight="1" x14ac:dyDescent="0.25">
      <c r="U13" s="16" t="str">
        <f>'Data Prep'!AK4</f>
        <v>Rubik's Cube</v>
      </c>
      <c r="V13" s="17">
        <f>'Data Prep'!AL4</f>
        <v>5037.4799999999996</v>
      </c>
      <c r="W13" s="23">
        <f>'Data Prep'!AM4</f>
        <v>2798.5999999999995</v>
      </c>
    </row>
    <row r="14" spans="2:23" ht="27.75" customHeight="1" x14ac:dyDescent="0.25">
      <c r="U14" s="16" t="str">
        <f>'Data Prep'!AK5</f>
        <v>Colorbuds</v>
      </c>
      <c r="V14" s="17">
        <f>'Data Prep'!AL5</f>
        <v>5291.47</v>
      </c>
      <c r="W14" s="23">
        <f>'Data Prep'!AM5</f>
        <v>2248.5000000000005</v>
      </c>
    </row>
    <row r="15" spans="2:23" ht="27.75" customHeight="1" x14ac:dyDescent="0.25">
      <c r="U15" s="16" t="str">
        <f>'Data Prep'!AK6</f>
        <v>Kids Makeup Kit</v>
      </c>
      <c r="V15" s="17">
        <f>'Data Prep'!AL6</f>
        <v>2878.5599999999995</v>
      </c>
      <c r="W15" s="23">
        <f>'Data Prep'!AM6</f>
        <v>1579.2099999999996</v>
      </c>
    </row>
    <row r="16" spans="2:23" ht="27.75" customHeight="1" x14ac:dyDescent="0.25">
      <c r="U16" s="16" t="str">
        <f>'Data Prep'!AK7</f>
        <v>Nerf Gun</v>
      </c>
      <c r="V16" s="17">
        <f>'Data Prep'!AL7</f>
        <v>2338.83</v>
      </c>
      <c r="W16" s="24">
        <f>'Data Prep'!AM7</f>
        <v>1339.33</v>
      </c>
    </row>
    <row r="17" spans="21:23" ht="21" customHeight="1" x14ac:dyDescent="0.3">
      <c r="U17" s="16"/>
      <c r="V17" s="16"/>
      <c r="W17" s="25">
        <f>SUM(W12:W16)</f>
        <v>10904.239999999998</v>
      </c>
    </row>
    <row r="18" spans="21:23" ht="14.25" customHeight="1" x14ac:dyDescent="0.25">
      <c r="U18" s="16"/>
      <c r="V18" s="16"/>
      <c r="W18" s="16"/>
    </row>
    <row r="19" spans="21:23" ht="76.5" customHeight="1" x14ac:dyDescent="0.25">
      <c r="U19" s="18"/>
      <c r="V19" s="16"/>
      <c r="W19" s="16"/>
    </row>
    <row r="20" spans="21:23" ht="27.75" customHeight="1" x14ac:dyDescent="0.25">
      <c r="U20" s="21" t="s">
        <v>116</v>
      </c>
      <c r="V20" s="21" t="s">
        <v>46</v>
      </c>
      <c r="W20" s="21" t="s">
        <v>119</v>
      </c>
    </row>
    <row r="21" spans="21:23" ht="27.75" customHeight="1" x14ac:dyDescent="0.25">
      <c r="U21" s="16" t="str">
        <f>'Data Prep'!AK11</f>
        <v>Action Figure</v>
      </c>
      <c r="V21" s="17">
        <f>'Data Prep'!AL11</f>
        <v>1630.98</v>
      </c>
      <c r="W21" s="23">
        <f>'Data Prep'!AM11</f>
        <v>-1886.8200000000002</v>
      </c>
    </row>
    <row r="22" spans="21:23" ht="27.75" customHeight="1" x14ac:dyDescent="0.25">
      <c r="U22" s="16" t="str">
        <f>'Data Prep'!AK12</f>
        <v>Lego Bricks</v>
      </c>
      <c r="V22" s="17">
        <f>'Data Prep'!AL12</f>
        <v>8517.8700000000008</v>
      </c>
      <c r="W22" s="23">
        <f>'Data Prep'!AM12</f>
        <v>-1639.5900000000001</v>
      </c>
    </row>
    <row r="23" spans="21:23" ht="27.75" customHeight="1" x14ac:dyDescent="0.25">
      <c r="U23" s="16" t="str">
        <f>'Data Prep'!AK13</f>
        <v>Gamer Headset</v>
      </c>
      <c r="V23" s="17">
        <f>'Data Prep'!AL13</f>
        <v>776.62999999999988</v>
      </c>
      <c r="W23" s="23">
        <f>'Data Prep'!AM13</f>
        <v>-944.55</v>
      </c>
    </row>
    <row r="24" spans="21:23" ht="27.75" customHeight="1" x14ac:dyDescent="0.25">
      <c r="U24" s="16" t="str">
        <f>'Data Prep'!AK14</f>
        <v>Magic Sand</v>
      </c>
      <c r="V24" s="17">
        <f>'Data Prep'!AL14</f>
        <v>4924.92</v>
      </c>
      <c r="W24" s="23">
        <f>'Data Prep'!AM14</f>
        <v>-591.6299999999992</v>
      </c>
    </row>
    <row r="25" spans="21:23" ht="27.75" customHeight="1" x14ac:dyDescent="0.25">
      <c r="U25" s="16" t="str">
        <f>'Data Prep'!AK15</f>
        <v>Mini Ping Pong</v>
      </c>
      <c r="V25" s="17">
        <f>'Data Prep'!AL15</f>
        <v>369.63</v>
      </c>
      <c r="W25" s="24">
        <f>'Data Prep'!AM15</f>
        <v>-329.66999999999996</v>
      </c>
    </row>
    <row r="26" spans="21:23" ht="27.75" customHeight="1" x14ac:dyDescent="0.3">
      <c r="U26" s="16"/>
      <c r="V26" s="16"/>
      <c r="W26" s="26">
        <f>SUM(W21:W25)</f>
        <v>-5392.2599999999993</v>
      </c>
    </row>
    <row r="27" spans="21:23" ht="27.75" customHeight="1" x14ac:dyDescent="0.25">
      <c r="U27" s="16"/>
      <c r="V27" s="16"/>
      <c r="W27" s="16"/>
    </row>
    <row r="28" spans="21:23" ht="27.75" customHeight="1" x14ac:dyDescent="0.25">
      <c r="U28" s="16"/>
      <c r="V28" s="16"/>
      <c r="W28" s="16"/>
    </row>
    <row r="29" spans="21:23" ht="27.75" customHeight="1" x14ac:dyDescent="0.25">
      <c r="U29" s="16"/>
      <c r="V29" s="16"/>
      <c r="W29" s="16"/>
    </row>
    <row r="30" spans="21:23" ht="27.75" customHeight="1" x14ac:dyDescent="0.25">
      <c r="U30" s="16"/>
      <c r="V30" s="16"/>
      <c r="W30" s="16"/>
    </row>
    <row r="31" spans="21:23" ht="27.75" customHeight="1" x14ac:dyDescent="0.25">
      <c r="U31" s="16"/>
      <c r="V31" s="16"/>
      <c r="W31" s="16"/>
    </row>
    <row r="32" spans="21:23" ht="27.75" customHeight="1" x14ac:dyDescent="0.25">
      <c r="U32" s="16"/>
      <c r="V32" s="16"/>
      <c r="W32" s="16"/>
    </row>
    <row r="33" spans="21:23" ht="27.75" customHeight="1" x14ac:dyDescent="0.25">
      <c r="U33" s="16"/>
      <c r="V33" s="16"/>
      <c r="W33" s="16"/>
    </row>
    <row r="34" spans="21:23" ht="27.75" customHeight="1" x14ac:dyDescent="0.25">
      <c r="U34" s="16"/>
      <c r="V34" s="16"/>
      <c r="W34" s="16"/>
    </row>
    <row r="35" spans="21:23" ht="27.75" customHeight="1" x14ac:dyDescent="0.25">
      <c r="U35" s="16"/>
      <c r="V35" s="16"/>
      <c r="W35" s="16"/>
    </row>
    <row r="36" spans="21:23" ht="27.75" customHeight="1" x14ac:dyDescent="0.25">
      <c r="U36" s="16"/>
      <c r="V36" s="16"/>
      <c r="W36" s="16"/>
    </row>
    <row r="37" spans="21:23" ht="27.75" customHeight="1" x14ac:dyDescent="0.25">
      <c r="U37" s="16"/>
      <c r="V37" s="16"/>
      <c r="W37" s="16"/>
    </row>
    <row r="38" spans="21:23" ht="27.75" customHeight="1" x14ac:dyDescent="0.25">
      <c r="U38" s="16"/>
      <c r="V38" s="16"/>
      <c r="W38" s="16"/>
    </row>
    <row r="39" spans="21:23" ht="27.75" customHeight="1" x14ac:dyDescent="0.25"/>
    <row r="40" spans="21:23" ht="27.75" customHeight="1" x14ac:dyDescent="0.25"/>
    <row r="41" spans="21:23" ht="27.75" customHeight="1" x14ac:dyDescent="0.25"/>
    <row r="42" spans="21:23" ht="27.75" customHeight="1" x14ac:dyDescent="0.25"/>
    <row r="43" spans="21:23" ht="27.75" customHeight="1" x14ac:dyDescent="0.25"/>
    <row r="44" spans="21:23" ht="27.75" customHeight="1" x14ac:dyDescent="0.25"/>
  </sheetData>
  <sheetProtection selectLockedCells="1"/>
  <conditionalFormatting sqref="W12:W16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W21:W25">
    <cfRule type="colorScale" priority="1">
      <colorScale>
        <cfvo type="min"/>
        <cfvo type="max"/>
        <color rgb="FFFF8585"/>
        <color rgb="FFFCFCFF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17658D-C33D-4168-A454-6514FFA09626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24" workbookViewId="0">
      <selection sqref="A1:J269"/>
    </sheetView>
  </sheetViews>
  <sheetFormatPr defaultRowHeight="15" x14ac:dyDescent="0.25"/>
  <sheetData>
    <row r="1" spans="1:10" x14ac:dyDescent="0.2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5" x14ac:dyDescent="0.25"/>
  <sheetData>
    <row r="1" spans="1:10" x14ac:dyDescent="0.2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CurrentMonth</vt:lpstr>
      <vt:lpstr>CUrrentYear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Stetson Done</cp:lastModifiedBy>
  <dcterms:created xsi:type="dcterms:W3CDTF">2021-07-16T18:17:37Z</dcterms:created>
  <dcterms:modified xsi:type="dcterms:W3CDTF">2022-11-20T23:17:08Z</dcterms:modified>
</cp:coreProperties>
</file>