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 activeTab="6"/>
  </bookViews>
  <sheets>
    <sheet name="PLC" sheetId="1" r:id="rId1"/>
    <sheet name="Hoja3" sheetId="6" r:id="rId2"/>
    <sheet name="Analisis por f" sheetId="3" r:id="rId3"/>
    <sheet name="Analisis por densidad" sheetId="5" state="hidden" r:id="rId4"/>
    <sheet name="Mesh Log" sheetId="7" r:id="rId5"/>
    <sheet name="Hoja2" sheetId="8" r:id="rId6"/>
    <sheet name="ANALISIS PLC VS PLC 1M" sheetId="9" r:id="rId7"/>
    <sheet name="Analisis mesh" sheetId="10" r:id="rId8"/>
  </sheets>
  <calcPr calcId="145621"/>
</workbook>
</file>

<file path=xl/calcChain.xml><?xml version="1.0" encoding="utf-8"?>
<calcChain xmlns="http://schemas.openxmlformats.org/spreadsheetml/2006/main">
  <c r="P25" i="1" l="1"/>
  <c r="M25" i="1"/>
  <c r="J25" i="1"/>
  <c r="P3" i="10"/>
  <c r="U4" i="1" l="1"/>
  <c r="P6" i="1"/>
  <c r="P7" i="1"/>
  <c r="M8" i="1"/>
  <c r="M11" i="1"/>
  <c r="M7" i="1"/>
  <c r="J7" i="1"/>
  <c r="M5" i="7"/>
  <c r="P5" i="7"/>
  <c r="J5" i="7"/>
  <c r="H5" i="7"/>
  <c r="Q18" i="7"/>
  <c r="Q17" i="7"/>
  <c r="Q19" i="7"/>
  <c r="P19" i="7"/>
  <c r="R19" i="7"/>
  <c r="R18" i="7"/>
  <c r="H8" i="6"/>
  <c r="P4" i="7"/>
  <c r="M4" i="7"/>
  <c r="J4" i="7"/>
  <c r="P14" i="1" l="1"/>
  <c r="M14" i="1"/>
  <c r="J14" i="1"/>
  <c r="P13" i="1"/>
  <c r="M13" i="1"/>
  <c r="J13" i="1"/>
  <c r="U12" i="1"/>
  <c r="U6" i="1"/>
  <c r="D88" i="1"/>
  <c r="L17" i="7" l="1"/>
  <c r="K25" i="7"/>
  <c r="H3" i="7"/>
  <c r="I20" i="7"/>
  <c r="C22" i="7"/>
  <c r="H6" i="7"/>
  <c r="L27" i="8" l="1"/>
  <c r="I18" i="8"/>
  <c r="L12" i="8"/>
  <c r="J12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G18" i="8"/>
  <c r="G69" i="8"/>
  <c r="G70" i="8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61" i="8"/>
  <c r="G62" i="8" s="1"/>
  <c r="G63" i="8" s="1"/>
  <c r="G64" i="8" s="1"/>
  <c r="G65" i="8" s="1"/>
  <c r="G66" i="8" s="1"/>
  <c r="G67" i="8" s="1"/>
  <c r="G68" i="8" s="1"/>
  <c r="G22" i="8"/>
  <c r="G23" i="8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21" i="8"/>
  <c r="G20" i="8"/>
  <c r="G19" i="8"/>
  <c r="J15" i="8"/>
  <c r="L13" i="8"/>
  <c r="J11" i="8"/>
  <c r="J10" i="8"/>
  <c r="J8" i="8"/>
  <c r="J7" i="8"/>
  <c r="G14" i="8"/>
  <c r="G13" i="8"/>
  <c r="G12" i="8"/>
  <c r="F5" i="8"/>
  <c r="J6" i="7"/>
  <c r="M6" i="7"/>
  <c r="P6" i="7"/>
  <c r="N76" i="7"/>
  <c r="K68" i="7"/>
  <c r="Q55" i="7"/>
  <c r="S52" i="7"/>
  <c r="P51" i="7"/>
  <c r="S44" i="7"/>
  <c r="N43" i="7"/>
  <c r="M41" i="7"/>
  <c r="P29" i="7"/>
  <c r="H23" i="7"/>
  <c r="Q22" i="7"/>
  <c r="G21" i="7"/>
  <c r="P20" i="7"/>
  <c r="H19" i="7"/>
  <c r="C19" i="7"/>
  <c r="U18" i="7"/>
  <c r="N18" i="7"/>
  <c r="H18" i="7"/>
  <c r="P17" i="7"/>
  <c r="N17" i="7"/>
  <c r="H17" i="7"/>
  <c r="B17" i="7"/>
  <c r="B18" i="7" s="1"/>
  <c r="C16" i="7" s="1"/>
  <c r="T16" i="7"/>
  <c r="K16" i="7"/>
  <c r="I16" i="7"/>
  <c r="D16" i="7"/>
  <c r="D17" i="7" s="1"/>
  <c r="Q15" i="7"/>
  <c r="O15" i="7"/>
  <c r="M15" i="7"/>
  <c r="K15" i="7"/>
  <c r="I15" i="7"/>
  <c r="P13" i="7"/>
  <c r="M13" i="7"/>
  <c r="J13" i="7"/>
  <c r="P12" i="7"/>
  <c r="M12" i="7"/>
  <c r="J12" i="7"/>
  <c r="P11" i="7"/>
  <c r="M11" i="7"/>
  <c r="J11" i="7"/>
  <c r="P10" i="7"/>
  <c r="M10" i="7"/>
  <c r="J10" i="7"/>
  <c r="P9" i="7"/>
  <c r="M9" i="7"/>
  <c r="J9" i="7"/>
  <c r="P7" i="7"/>
  <c r="M7" i="7"/>
  <c r="J7" i="7"/>
  <c r="P3" i="7"/>
  <c r="M3" i="7"/>
  <c r="J3" i="7"/>
  <c r="F16" i="7" l="1"/>
  <c r="B30" i="1"/>
  <c r="B31" i="1" s="1"/>
  <c r="C29" i="1" s="1"/>
  <c r="D29" i="1"/>
  <c r="D30" i="1" s="1"/>
  <c r="N31" i="1" l="1"/>
  <c r="N30" i="1"/>
  <c r="I29" i="1"/>
  <c r="Q28" i="1"/>
  <c r="H31" i="1"/>
  <c r="H30" i="1"/>
  <c r="K29" i="1"/>
  <c r="I28" i="1"/>
  <c r="O28" i="1"/>
  <c r="M28" i="1"/>
  <c r="M26" i="3"/>
  <c r="C25" i="3"/>
  <c r="N89" i="1"/>
  <c r="K81" i="1"/>
  <c r="S65" i="1"/>
  <c r="M5" i="1"/>
  <c r="M25" i="3" s="1"/>
  <c r="Q68" i="1"/>
  <c r="J5" i="1"/>
  <c r="C24" i="3" s="1"/>
  <c r="J6" i="1"/>
  <c r="J8" i="1"/>
  <c r="C26" i="3" s="1"/>
  <c r="M6" i="1"/>
  <c r="M27" i="3"/>
  <c r="P5" i="1"/>
  <c r="W27" i="3" s="1"/>
  <c r="W28" i="3"/>
  <c r="P8" i="1"/>
  <c r="W29" i="3" s="1"/>
  <c r="P64" i="1" l="1"/>
  <c r="K28" i="1" l="1"/>
  <c r="L30" i="1" s="1"/>
  <c r="H36" i="1"/>
  <c r="B60" i="1"/>
  <c r="J26" i="1"/>
  <c r="C33" i="3" s="1"/>
  <c r="J24" i="1"/>
  <c r="C32" i="3" s="1"/>
  <c r="P4" i="1"/>
  <c r="W26" i="3" s="1"/>
  <c r="M4" i="1"/>
  <c r="M24" i="3" s="1"/>
  <c r="J4" i="1"/>
  <c r="C23" i="3" s="1"/>
  <c r="M54" i="1"/>
  <c r="N56" i="1" l="1"/>
  <c r="J17" i="1"/>
  <c r="P11" i="1"/>
  <c r="W20" i="3" s="1"/>
  <c r="P12" i="1"/>
  <c r="W21" i="3" s="1"/>
  <c r="M18" i="3"/>
  <c r="M12" i="1"/>
  <c r="M19" i="3" s="1"/>
  <c r="J11" i="1"/>
  <c r="C17" i="3" s="1"/>
  <c r="J12" i="1"/>
  <c r="C18" i="3" s="1"/>
  <c r="P42" i="1"/>
  <c r="S57" i="1"/>
  <c r="T29" i="1"/>
  <c r="P33" i="1"/>
  <c r="G34" i="1"/>
  <c r="U31" i="1"/>
  <c r="M10" i="1"/>
  <c r="M17" i="3" s="1"/>
  <c r="M20" i="3"/>
  <c r="J10" i="1"/>
  <c r="C16" i="3" s="1"/>
  <c r="P10" i="1"/>
  <c r="W19" i="3" s="1"/>
  <c r="W22" i="3"/>
  <c r="C19" i="3" l="1"/>
  <c r="P22" i="1"/>
  <c r="W33" i="3" s="1"/>
  <c r="P23" i="1"/>
  <c r="W34" i="3" s="1"/>
  <c r="P24" i="1"/>
  <c r="W35" i="3" s="1"/>
  <c r="P26" i="1"/>
  <c r="W36" i="3" s="1"/>
  <c r="M22" i="1"/>
  <c r="M31" i="3" s="1"/>
  <c r="M23" i="1"/>
  <c r="M32" i="3" s="1"/>
  <c r="M24" i="1"/>
  <c r="M33" i="3" s="1"/>
  <c r="M26" i="1"/>
  <c r="M34" i="3" s="1"/>
  <c r="J22" i="1"/>
  <c r="C30" i="3" s="1"/>
  <c r="J23" i="1"/>
  <c r="C31" i="3" s="1"/>
  <c r="J21" i="1"/>
  <c r="C29" i="3" s="1"/>
  <c r="C34" i="3" l="1"/>
  <c r="D9" i="3" s="1"/>
  <c r="W4" i="1"/>
  <c r="C32" i="1"/>
  <c r="H9" i="1"/>
  <c r="H3" i="1" l="1"/>
  <c r="P30" i="1"/>
  <c r="Q35" i="1" l="1"/>
  <c r="H32" i="1"/>
  <c r="M21" i="1" l="1"/>
  <c r="M30" i="3" s="1"/>
  <c r="M35" i="3" s="1"/>
  <c r="M9" i="3" s="1"/>
  <c r="P21" i="1"/>
  <c r="W32" i="3" s="1"/>
  <c r="W37" i="3" s="1"/>
  <c r="W11" i="3" s="1"/>
  <c r="K19" i="1" l="1"/>
  <c r="K20" i="1"/>
  <c r="M20" i="1" s="1"/>
  <c r="K18" i="1"/>
  <c r="M18" i="1" s="1"/>
  <c r="P17" i="1"/>
  <c r="P18" i="1"/>
  <c r="P19" i="1"/>
  <c r="P20" i="1"/>
  <c r="M17" i="1"/>
  <c r="M19" i="1"/>
  <c r="H20" i="1"/>
  <c r="J20" i="1" s="1"/>
  <c r="H19" i="1"/>
  <c r="J19" i="1" s="1"/>
  <c r="H18" i="1"/>
  <c r="J18" i="1" s="1"/>
  <c r="P9" i="1" l="1"/>
  <c r="W18" i="3" s="1"/>
  <c r="W23" i="3" s="1"/>
  <c r="W9" i="3" s="1"/>
  <c r="P15" i="1"/>
  <c r="M9" i="1"/>
  <c r="M16" i="3" s="1"/>
  <c r="M21" i="3" s="1"/>
  <c r="M7" i="3" s="1"/>
  <c r="M15" i="1"/>
  <c r="J9" i="1"/>
  <c r="J15" i="1"/>
  <c r="P3" i="1"/>
  <c r="W25" i="3" s="1"/>
  <c r="W30" i="3" s="1"/>
  <c r="W10" i="3" s="1"/>
  <c r="M3" i="1"/>
  <c r="M23" i="3" s="1"/>
  <c r="M28" i="3" s="1"/>
  <c r="M8" i="3" s="1"/>
  <c r="J3" i="1"/>
  <c r="C22" i="3" s="1"/>
  <c r="C15" i="3" l="1"/>
  <c r="C20" i="3" s="1"/>
  <c r="D7" i="3" s="1"/>
  <c r="F29" i="1"/>
  <c r="C27" i="3"/>
  <c r="D8" i="3" s="1"/>
</calcChain>
</file>

<file path=xl/sharedStrings.xml><?xml version="1.0" encoding="utf-8"?>
<sst xmlns="http://schemas.openxmlformats.org/spreadsheetml/2006/main" count="350" uniqueCount="76">
  <si>
    <t>PDR AMR</t>
  </si>
  <si>
    <t>PDR WAM</t>
  </si>
  <si>
    <t>PDR RTP</t>
  </si>
  <si>
    <t>Sim-time-limit (s)</t>
  </si>
  <si>
    <t>Run #</t>
  </si>
  <si>
    <t>Data rate</t>
  </si>
  <si>
    <t>128kbps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</si>
  <si>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</si>
  <si>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</si>
  <si>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</si>
  <si>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</si>
  <si>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</si>
  <si>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</si>
  <si>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</si>
  <si>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</si>
  <si>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</si>
  <si>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</si>
  <si>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</si>
  <si>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</si>
  <si>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e-e-d AMR (s)</t>
  </si>
  <si>
    <t>e-e-d WAM (s)</t>
  </si>
  <si>
    <t>e-e-d RTP (s)</t>
  </si>
  <si>
    <t>MEJOR CASO, 3 buses Simulación aborta antes de completar sim time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</si>
  <si>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</si>
  <si>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</si>
  <si>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</si>
  <si>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</si>
  <si>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</si>
  <si>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</si>
  <si>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</si>
  <si>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</si>
  <si>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</si>
  <si>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</si>
  <si>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</si>
  <si>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</si>
  <si>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</si>
  <si>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</si>
  <si>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</si>
  <si>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</si>
  <si>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</si>
  <si>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</si>
  <si>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</si>
  <si>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</si>
  <si>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</si>
  <si>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</si>
  <si>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</si>
  <si>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</si>
  <si>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</si>
  <si>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</si>
  <si>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</si>
  <si>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</si>
  <si>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</si>
  <si>
    <t>EED AMR</t>
  </si>
  <si>
    <t>EED WAM</t>
  </si>
  <si>
    <t>EED RTP</t>
  </si>
  <si>
    <t>BEST CASE</t>
  </si>
  <si>
    <t>PLd0</t>
  </si>
  <si>
    <t>path loss exponent</t>
  </si>
  <si>
    <t>d0</t>
  </si>
  <si>
    <t>atenuación=</t>
  </si>
  <si>
    <t>distancia</t>
  </si>
  <si>
    <t xml:space="preserve">min </t>
  </si>
  <si>
    <t>sim</t>
  </si>
  <si>
    <t>dia y</t>
  </si>
  <si>
    <t>minutos</t>
  </si>
  <si>
    <t>h</t>
  </si>
  <si>
    <t>%</t>
  </si>
  <si>
    <t>0 - 1Mbps</t>
  </si>
  <si>
    <t>1Mbps</t>
  </si>
  <si>
    <t xml:space="preserve">Current PLC </t>
  </si>
  <si>
    <t>Enhanced PLC</t>
  </si>
  <si>
    <t xml:space="preserve">EED </t>
  </si>
  <si>
    <t>WORST CASE - Ajuste parametro distancia 60 nodos</t>
  </si>
  <si>
    <t>WORST CASE - Ajuste parametro distancia - 20 nodos</t>
  </si>
  <si>
    <t>PDR WC</t>
  </si>
  <si>
    <t>PDR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</si>
</sst>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0"/>
    <numFmt numFmtId="166" formatCode="0.00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3" xfId="0" applyBorder="1"/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9" fontId="7" fillId="9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9" fontId="7" fillId="9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0" fontId="7" fillId="11" borderId="1" xfId="1" applyNumberFormat="1" applyFont="1" applyFill="1" applyBorder="1" applyAlignment="1">
      <alignment horizontal="center" vertical="center"/>
    </xf>
    <xf numFmtId="10" fontId="8" fillId="11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65" fontId="0" fillId="11" borderId="1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 vertical="center"/>
    </xf>
    <xf numFmtId="165" fontId="0" fillId="11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0" fontId="7" fillId="11" borderId="7" xfId="1" applyNumberFormat="1" applyFont="1" applyFill="1" applyBorder="1" applyAlignment="1">
      <alignment horizontal="center" vertical="center"/>
    </xf>
    <xf numFmtId="10" fontId="8" fillId="11" borderId="7" xfId="1" applyNumberFormat="1" applyFont="1" applyFill="1" applyBorder="1" applyAlignment="1">
      <alignment horizontal="center" vertical="center"/>
    </xf>
    <xf numFmtId="165" fontId="0" fillId="11" borderId="7" xfId="0" applyNumberFormat="1" applyFill="1" applyBorder="1" applyAlignment="1">
      <alignment horizontal="center" vertical="center"/>
    </xf>
    <xf numFmtId="165" fontId="0" fillId="11" borderId="16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0" fontId="7" fillId="11" borderId="6" xfId="1" applyNumberFormat="1" applyFont="1" applyFill="1" applyBorder="1" applyAlignment="1">
      <alignment horizontal="center" vertical="center"/>
    </xf>
    <xf numFmtId="10" fontId="8" fillId="11" borderId="6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0" fontId="7" fillId="10" borderId="7" xfId="1" applyNumberFormat="1" applyFont="1" applyFill="1" applyBorder="1" applyAlignment="1">
      <alignment horizontal="center" vertical="center"/>
    </xf>
    <xf numFmtId="10" fontId="8" fillId="10" borderId="7" xfId="1" applyNumberFormat="1" applyFont="1" applyFill="1" applyBorder="1" applyAlignment="1">
      <alignment horizontal="center" vertical="center"/>
    </xf>
    <xf numFmtId="165" fontId="0" fillId="10" borderId="7" xfId="0" applyNumberFormat="1" applyFill="1" applyBorder="1" applyAlignment="1">
      <alignment horizontal="center" vertical="center"/>
    </xf>
    <xf numFmtId="165" fontId="0" fillId="10" borderId="1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7" fillId="10" borderId="1" xfId="1" applyNumberFormat="1" applyFont="1" applyFill="1" applyBorder="1" applyAlignment="1">
      <alignment horizontal="center" vertical="center"/>
    </xf>
    <xf numFmtId="10" fontId="8" fillId="10" borderId="1" xfId="1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165" fontId="0" fillId="10" borderId="11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165" fontId="0" fillId="10" borderId="6" xfId="0" applyNumberFormat="1" applyFill="1" applyBorder="1" applyAlignment="1">
      <alignment horizontal="center" vertical="center"/>
    </xf>
    <xf numFmtId="165" fontId="0" fillId="10" borderId="14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2" borderId="11" xfId="1" applyNumberFormat="1" applyFont="1" applyFill="1" applyBorder="1"/>
    <xf numFmtId="9" fontId="0" fillId="12" borderId="11" xfId="1" applyFont="1" applyFill="1" applyBorder="1"/>
    <xf numFmtId="9" fontId="0" fillId="12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0" borderId="0" xfId="0" applyFill="1"/>
    <xf numFmtId="164" fontId="0" fillId="0" borderId="0" xfId="0" applyNumberFormat="1"/>
    <xf numFmtId="2" fontId="0" fillId="12" borderId="11" xfId="1" applyNumberFormat="1" applyFont="1" applyFill="1" applyBorder="1"/>
    <xf numFmtId="2" fontId="0" fillId="12" borderId="14" xfId="1" applyNumberFormat="1" applyFont="1" applyFill="1" applyBorder="1"/>
    <xf numFmtId="165" fontId="0" fillId="0" borderId="0" xfId="0" applyNumberFormat="1"/>
    <xf numFmtId="166" fontId="0" fillId="0" borderId="1" xfId="1" applyNumberFormat="1" applyFont="1" applyBorder="1"/>
    <xf numFmtId="166" fontId="0" fillId="0" borderId="6" xfId="1" applyNumberFormat="1" applyFont="1" applyBorder="1"/>
    <xf numFmtId="0" fontId="0" fillId="11" borderId="0" xfId="0" applyFill="1" applyBorder="1" applyAlignment="1">
      <alignment horizontal="center" vertic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0" fontId="7" fillId="11" borderId="30" xfId="1" applyNumberFormat="1" applyFont="1" applyFill="1" applyBorder="1" applyAlignment="1">
      <alignment horizontal="center" vertical="center"/>
    </xf>
    <xf numFmtId="10" fontId="8" fillId="11" borderId="30" xfId="1" applyNumberFormat="1" applyFont="1" applyFill="1" applyBorder="1" applyAlignment="1">
      <alignment horizontal="center" vertical="center"/>
    </xf>
    <xf numFmtId="165" fontId="0" fillId="11" borderId="30" xfId="0" applyNumberFormat="1" applyFill="1" applyBorder="1" applyAlignment="1">
      <alignment horizontal="center" vertical="center"/>
    </xf>
    <xf numFmtId="165" fontId="0" fillId="11" borderId="31" xfId="0" applyNumberFormat="1" applyFill="1" applyBorder="1" applyAlignment="1">
      <alignment horizontal="center" vertical="center"/>
    </xf>
    <xf numFmtId="9" fontId="0" fillId="0" borderId="0" xfId="0" applyNumberFormat="1"/>
    <xf numFmtId="0" fontId="2" fillId="4" borderId="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65" fontId="4" fillId="4" borderId="25" xfId="0" applyNumberFormat="1" applyFont="1" applyFill="1" applyBorder="1" applyAlignment="1">
      <alignment horizontal="center" vertical="center"/>
    </xf>
    <xf numFmtId="165" fontId="4" fillId="4" borderId="2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0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0" fontId="3" fillId="10" borderId="8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165" fontId="0" fillId="10" borderId="25" xfId="0" applyNumberFormat="1" applyFill="1" applyBorder="1" applyAlignment="1">
      <alignment horizontal="center" vertical="center"/>
    </xf>
    <xf numFmtId="165" fontId="0" fillId="10" borderId="26" xfId="0" applyNumberFormat="1" applyFill="1" applyBorder="1" applyAlignment="1">
      <alignment horizontal="center" vertical="center"/>
    </xf>
    <xf numFmtId="164" fontId="8" fillId="10" borderId="1" xfId="1" applyNumberFormat="1" applyFont="1" applyFill="1" applyBorder="1" applyAlignment="1">
      <alignment horizontal="center" vertical="center"/>
    </xf>
    <xf numFmtId="10" fontId="0" fillId="0" borderId="0" xfId="0" applyNumberFormat="1"/>
    <xf numFmtId="166" fontId="0" fillId="12" borderId="11" xfId="1" applyNumberFormat="1" applyFont="1" applyFill="1" applyBorder="1"/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10" fontId="7" fillId="11" borderId="25" xfId="1" applyNumberFormat="1" applyFont="1" applyFill="1" applyBorder="1" applyAlignment="1">
      <alignment horizontal="center" vertical="center"/>
    </xf>
    <xf numFmtId="10" fontId="8" fillId="11" borderId="25" xfId="1" applyNumberFormat="1" applyFont="1" applyFill="1" applyBorder="1" applyAlignment="1">
      <alignment horizontal="center" vertical="center"/>
    </xf>
    <xf numFmtId="165" fontId="0" fillId="11" borderId="25" xfId="0" applyNumberFormat="1" applyFill="1" applyBorder="1" applyAlignment="1">
      <alignment horizontal="center" vertical="center"/>
    </xf>
    <xf numFmtId="165" fontId="0" fillId="11" borderId="26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0.41</c:v>
                </c:pt>
                <c:pt idx="1">
                  <c:v>0.51333333333333331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6032"/>
        <c:axId val="60516608"/>
      </c:scatterChart>
      <c:valAx>
        <c:axId val="605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16608"/>
        <c:crosses val="autoZero"/>
        <c:crossBetween val="midCat"/>
      </c:valAx>
      <c:valAx>
        <c:axId val="60516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051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97200349956258"/>
          <c:y val="0.42899375988597449"/>
          <c:w val="0.14636132983377079"/>
          <c:h val="0.159672524378161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0.37220569815911164</c:v>
                </c:pt>
                <c:pt idx="1">
                  <c:v>0.45556390462788904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9488"/>
        <c:axId val="60520064"/>
      </c:scatterChart>
      <c:valAx>
        <c:axId val="605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20064"/>
        <c:crosses val="autoZero"/>
        <c:crossBetween val="midCat"/>
      </c:valAx>
      <c:valAx>
        <c:axId val="60520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051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0.5</c:v>
                </c:pt>
                <c:pt idx="1">
                  <c:v>0.19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792"/>
        <c:axId val="60882240"/>
      </c:scatterChart>
      <c:valAx>
        <c:axId val="605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82240"/>
        <c:crosses val="autoZero"/>
        <c:crossBetween val="midCat"/>
      </c:valAx>
      <c:valAx>
        <c:axId val="60882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052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por f'!$C$40</c:f>
              <c:strCache>
                <c:ptCount val="1"/>
                <c:pt idx="0">
                  <c:v>PLC</c:v>
                </c:pt>
              </c:strCache>
            </c:strRef>
          </c:tx>
          <c:marker>
            <c:symbol val="none"/>
          </c:marker>
          <c:xVal>
            <c:numRef>
              <c:f>'Analisis por f'!$B$41:$B$43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f'!$C$41:$C$43</c:f>
              <c:numCache>
                <c:formatCode>00,000</c:formatCode>
                <c:ptCount val="3"/>
                <c:pt idx="0">
                  <c:v>1.9444999999999999</c:v>
                </c:pt>
                <c:pt idx="1">
                  <c:v>4.0399999999999998E-2</c:v>
                </c:pt>
                <c:pt idx="2">
                  <c:v>4.19E-2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'Analisis por f'!$D$40</c:f>
              <c:strCache>
                <c:ptCount val="1"/>
                <c:pt idx="0">
                  <c:v>Mesh</c:v>
                </c:pt>
              </c:strCache>
            </c:strRef>
          </c:tx>
          <c:xVal>
            <c:numRef>
              <c:f>'Analisis por f'!$B$41:$B$43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f'!$D$41:$D$43</c:f>
              <c:numCache>
                <c:formatCode>0.00</c:formatCode>
                <c:ptCount val="3"/>
                <c:pt idx="0">
                  <c:v>1.5</c:v>
                </c:pt>
                <c:pt idx="1">
                  <c:v>0.6</c:v>
                </c:pt>
                <c:pt idx="2">
                  <c:v>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4576320"/>
        <c:axId val="134575744"/>
      </c:scatterChart>
      <c:valAx>
        <c:axId val="134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575744"/>
        <c:crosses val="autoZero"/>
        <c:crossBetween val="midCat"/>
      </c:valAx>
      <c:valAx>
        <c:axId val="134575744"/>
        <c:scaling>
          <c:orientation val="minMax"/>
        </c:scaling>
        <c:delete val="0"/>
        <c:axPos val="l"/>
        <c:numFmt formatCode="00,000" sourceLinked="1"/>
        <c:majorTickMark val="none"/>
        <c:minorTickMark val="none"/>
        <c:tickLblPos val="nextTo"/>
        <c:crossAx val="13457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por f'!$G$40</c:f>
              <c:strCache>
                <c:ptCount val="1"/>
                <c:pt idx="0">
                  <c:v>PLC</c:v>
                </c:pt>
              </c:strCache>
            </c:strRef>
          </c:tx>
          <c:xVal>
            <c:numRef>
              <c:f>'Analisis por f'!$F$41:$F$43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</c:numCache>
            </c:numRef>
          </c:xVal>
          <c:yVal>
            <c:numRef>
              <c:f>'Analisis por f'!$G$41:$G$43</c:f>
              <c:numCache>
                <c:formatCode>00,000</c:formatCode>
                <c:ptCount val="3"/>
                <c:pt idx="0">
                  <c:v>2.7313999999999998</c:v>
                </c:pt>
                <c:pt idx="1">
                  <c:v>2.24E-2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'Analisis por f'!$H$40</c:f>
              <c:strCache>
                <c:ptCount val="1"/>
                <c:pt idx="0">
                  <c:v>Mesh</c:v>
                </c:pt>
              </c:strCache>
            </c:strRef>
          </c:tx>
          <c:xVal>
            <c:numRef>
              <c:f>'Analisis por f'!$F$41:$F$43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</c:numCache>
            </c:numRef>
          </c:xVal>
          <c:yVal>
            <c:numRef>
              <c:f>'Analisis por f'!$H$41:$H$43</c:f>
              <c:numCache>
                <c:formatCode>00,000</c:formatCode>
                <c:ptCount val="3"/>
                <c:pt idx="0" formatCode="0.00">
                  <c:v>1.5</c:v>
                </c:pt>
                <c:pt idx="1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03328"/>
        <c:axId val="221402752"/>
      </c:scatterChart>
      <c:valAx>
        <c:axId val="221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402752"/>
        <c:crosses val="autoZero"/>
        <c:crossBetween val="midCat"/>
      </c:valAx>
      <c:valAx>
        <c:axId val="22140275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22140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PLC VS PLC 1M'!$D$4</c:f>
              <c:strCache>
                <c:ptCount val="1"/>
                <c:pt idx="0">
                  <c:v>Current PLC </c:v>
                </c:pt>
              </c:strCache>
            </c:strRef>
          </c:tx>
          <c:invertIfNegative val="0"/>
          <c:cat>
            <c:strRef>
              <c:f>'ANALISIS PLC VS PLC 1M'!$C$5:$C$7</c:f>
              <c:strCache>
                <c:ptCount val="3"/>
                <c:pt idx="0">
                  <c:v>AMR</c:v>
                </c:pt>
                <c:pt idx="1">
                  <c:v>WAM</c:v>
                </c:pt>
                <c:pt idx="2">
                  <c:v>RTP</c:v>
                </c:pt>
              </c:strCache>
            </c:strRef>
          </c:cat>
          <c:val>
            <c:numRef>
              <c:f>'ANALISIS PLC VS PLC 1M'!$D$5:$D$7</c:f>
              <c:numCache>
                <c:formatCode>0.00%</c:formatCode>
                <c:ptCount val="3"/>
                <c:pt idx="0">
                  <c:v>0.51329999999999998</c:v>
                </c:pt>
                <c:pt idx="1">
                  <c:v>0.4546</c:v>
                </c:pt>
                <c:pt idx="2" formatCode="0%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'ANALISIS PLC VS PLC 1M'!$E$4</c:f>
              <c:strCache>
                <c:ptCount val="1"/>
                <c:pt idx="0">
                  <c:v>Enhanced PLC</c:v>
                </c:pt>
              </c:strCache>
            </c:strRef>
          </c:tx>
          <c:invertIfNegative val="0"/>
          <c:cat>
            <c:strRef>
              <c:f>'ANALISIS PLC VS PLC 1M'!$C$5:$C$7</c:f>
              <c:strCache>
                <c:ptCount val="3"/>
                <c:pt idx="0">
                  <c:v>AMR</c:v>
                </c:pt>
                <c:pt idx="1">
                  <c:v>WAM</c:v>
                </c:pt>
                <c:pt idx="2">
                  <c:v>RTP</c:v>
                </c:pt>
              </c:strCache>
            </c:strRef>
          </c:cat>
          <c:val>
            <c:numRef>
              <c:f>'ANALISIS PLC VS PLC 1M'!$E$5:$E$7</c:f>
              <c:numCache>
                <c:formatCode>0.00%</c:formatCode>
                <c:ptCount val="3"/>
                <c:pt idx="0">
                  <c:v>1</c:v>
                </c:pt>
                <c:pt idx="1">
                  <c:v>0.99980000000000002</c:v>
                </c:pt>
                <c:pt idx="2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4457984"/>
        <c:axId val="61114624"/>
      </c:barChart>
      <c:catAx>
        <c:axId val="844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AMI Application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1114624"/>
        <c:crosses val="autoZero"/>
        <c:auto val="1"/>
        <c:lblAlgn val="ctr"/>
        <c:lblOffset val="100"/>
        <c:noMultiLvlLbl val="0"/>
      </c:catAx>
      <c:valAx>
        <c:axId val="61114624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PDR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CO"/>
          </a:p>
        </c:txPr>
        <c:crossAx val="844579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mesh'!$C$5</c:f>
              <c:strCache>
                <c:ptCount val="1"/>
                <c:pt idx="0">
                  <c:v>WAM</c:v>
                </c:pt>
              </c:strCache>
            </c:strRef>
          </c:tx>
          <c:invertIfNegative val="0"/>
          <c:cat>
            <c:numRef>
              <c:f>'Analisis mesh'!$D$4:$E$4</c:f>
              <c:numCache>
                <c:formatCode>General</c:formatCode>
                <c:ptCount val="2"/>
                <c:pt idx="0">
                  <c:v>0.04</c:v>
                </c:pt>
                <c:pt idx="1">
                  <c:v>0.1</c:v>
                </c:pt>
              </c:numCache>
            </c:numRef>
          </c:cat>
          <c:val>
            <c:numRef>
              <c:f>'Analisis mesh'!$D$5:$E$5</c:f>
              <c:numCache>
                <c:formatCode>0.00%</c:formatCode>
                <c:ptCount val="2"/>
                <c:pt idx="0">
                  <c:v>0.4546</c:v>
                </c:pt>
                <c:pt idx="1">
                  <c:v>0.99980000000000002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4710144"/>
        <c:axId val="106553344"/>
      </c:barChart>
      <c:catAx>
        <c:axId val="1047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53344"/>
        <c:crosses val="autoZero"/>
        <c:auto val="1"/>
        <c:lblAlgn val="ctr"/>
        <c:lblOffset val="100"/>
        <c:noMultiLvlLbl val="0"/>
      </c:catAx>
      <c:valAx>
        <c:axId val="106553344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PDR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47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mesh'!$C$21</c:f>
              <c:strCache>
                <c:ptCount val="1"/>
                <c:pt idx="0">
                  <c:v>WAM</c:v>
                </c:pt>
              </c:strCache>
            </c:strRef>
          </c:tx>
          <c:invertIfNegative val="0"/>
          <c:cat>
            <c:numRef>
              <c:f>'Analisis mesh'!$D$20:$F$20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</c:numCache>
            </c:numRef>
          </c:cat>
          <c:val>
            <c:numRef>
              <c:f>'Analisis mesh'!$D$21:$F$21</c:f>
              <c:numCache>
                <c:formatCode>0.00%</c:formatCode>
                <c:ptCount val="3"/>
                <c:pt idx="0">
                  <c:v>0.4546</c:v>
                </c:pt>
                <c:pt idx="1">
                  <c:v>0.99980000000000002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70688"/>
        <c:axId val="108075200"/>
        <c:axId val="0"/>
      </c:bar3DChart>
      <c:catAx>
        <c:axId val="1075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75200"/>
        <c:crosses val="autoZero"/>
        <c:auto val="1"/>
        <c:lblAlgn val="ctr"/>
        <c:lblOffset val="100"/>
        <c:noMultiLvlLbl val="0"/>
      </c:catAx>
      <c:valAx>
        <c:axId val="108075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5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43</xdr:row>
      <xdr:rowOff>138112</xdr:rowOff>
    </xdr:from>
    <xdr:to>
      <xdr:col>6</xdr:col>
      <xdr:colOff>133350</xdr:colOff>
      <xdr:row>58</xdr:row>
      <xdr:rowOff>23812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523875</xdr:colOff>
      <xdr:row>46</xdr:row>
      <xdr:rowOff>4762</xdr:rowOff>
    </xdr:from>
    <xdr:to>
      <xdr:col>12</xdr:col>
      <xdr:colOff>523875</xdr:colOff>
      <xdr:row>60</xdr:row>
      <xdr:rowOff>80962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90487</xdr:rowOff>
    </xdr:from>
    <xdr:to>
      <xdr:col>12</xdr:col>
      <xdr:colOff>276225</xdr:colOff>
      <xdr:row>17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38100</xdr:rowOff>
    </xdr:from>
    <xdr:to>
      <xdr:col>12</xdr:col>
      <xdr:colOff>628650</xdr:colOff>
      <xdr:row>15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17</xdr:row>
      <xdr:rowOff>119062</xdr:rowOff>
    </xdr:from>
    <xdr:to>
      <xdr:col>12</xdr:col>
      <xdr:colOff>638175</xdr:colOff>
      <xdr:row>32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2" zoomScaleNormal="100" workbookViewId="0">
      <selection activeCell="J14" sqref="J14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9.1406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2"/>
      <c r="B2" s="9" t="s">
        <v>4</v>
      </c>
      <c r="C2" s="9" t="s">
        <v>5</v>
      </c>
      <c r="D2" s="9" t="s">
        <v>3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0" t="s">
        <v>0</v>
      </c>
      <c r="K2" s="9" t="s">
        <v>12</v>
      </c>
      <c r="L2" s="9" t="s">
        <v>13</v>
      </c>
      <c r="M2" s="10" t="s">
        <v>1</v>
      </c>
      <c r="N2" s="9" t="s">
        <v>14</v>
      </c>
      <c r="O2" s="9" t="s">
        <v>15</v>
      </c>
      <c r="P2" s="10" t="s">
        <v>2</v>
      </c>
      <c r="Q2" s="9" t="s">
        <v>19</v>
      </c>
      <c r="R2" s="9" t="s">
        <v>20</v>
      </c>
      <c r="S2" s="11" t="s">
        <v>21</v>
      </c>
    </row>
    <row r="3" spans="1:23" ht="15" customHeight="1" x14ac:dyDescent="0.25">
      <c r="A3" s="135" t="s">
        <v>40</v>
      </c>
      <c r="B3" s="77">
        <v>34</v>
      </c>
      <c r="C3" s="78" t="s">
        <v>6</v>
      </c>
      <c r="D3" s="78">
        <v>1300</v>
      </c>
      <c r="E3" s="78">
        <v>600</v>
      </c>
      <c r="F3" s="78">
        <v>0.1</v>
      </c>
      <c r="G3" s="78">
        <v>900</v>
      </c>
      <c r="H3" s="78">
        <f>3*20</f>
        <v>60</v>
      </c>
      <c r="I3" s="78">
        <v>38</v>
      </c>
      <c r="J3" s="79">
        <f>I3/H3</f>
        <v>0.6333333333333333</v>
      </c>
      <c r="K3" s="78">
        <v>259006</v>
      </c>
      <c r="L3" s="78">
        <v>119371</v>
      </c>
      <c r="M3" s="80">
        <f>L3/K3</f>
        <v>0.46088121510698593</v>
      </c>
      <c r="N3" s="78">
        <v>2</v>
      </c>
      <c r="O3" s="78">
        <v>0</v>
      </c>
      <c r="P3" s="79">
        <f>O3/N3</f>
        <v>0</v>
      </c>
      <c r="Q3" s="81">
        <v>4.4999999999999998E-2</v>
      </c>
      <c r="R3" s="81">
        <v>2.223E-2</v>
      </c>
      <c r="S3" s="82">
        <v>0</v>
      </c>
    </row>
    <row r="4" spans="1:23" ht="15.75" x14ac:dyDescent="0.25">
      <c r="A4" s="136"/>
      <c r="B4" s="83">
        <v>30</v>
      </c>
      <c r="C4" s="84" t="s">
        <v>6</v>
      </c>
      <c r="D4" s="84">
        <v>1300</v>
      </c>
      <c r="E4" s="84">
        <v>600</v>
      </c>
      <c r="F4" s="84">
        <v>0.1</v>
      </c>
      <c r="G4" s="84">
        <v>900</v>
      </c>
      <c r="H4" s="84">
        <v>60</v>
      </c>
      <c r="I4" s="84">
        <v>24</v>
      </c>
      <c r="J4" s="85">
        <f t="shared" ref="J4:J8" si="0">I4/H4</f>
        <v>0.4</v>
      </c>
      <c r="K4" s="84">
        <v>258953</v>
      </c>
      <c r="L4" s="84">
        <v>117636</v>
      </c>
      <c r="M4" s="86">
        <f t="shared" ref="M4:M8" si="1">L4/K4</f>
        <v>0.45427548628515602</v>
      </c>
      <c r="N4" s="84">
        <v>2</v>
      </c>
      <c r="O4" s="84">
        <v>1</v>
      </c>
      <c r="P4" s="85">
        <f t="shared" ref="P4:P8" si="2">O4/N4</f>
        <v>0.5</v>
      </c>
      <c r="Q4" s="87">
        <v>4.4479999999999999E-2</v>
      </c>
      <c r="R4" s="87">
        <v>2.23E-2</v>
      </c>
      <c r="S4" s="88">
        <v>1.8089999999999998E-2</v>
      </c>
      <c r="U4" s="166">
        <f>AVERAGE(P3:P6,0)</f>
        <v>0.19</v>
      </c>
      <c r="W4">
        <f>AVERAGE(V15:V34)</f>
        <v>1.8377447147823529E-2</v>
      </c>
    </row>
    <row r="5" spans="1:23" ht="15.75" x14ac:dyDescent="0.25">
      <c r="A5" s="136"/>
      <c r="B5" s="83">
        <v>31</v>
      </c>
      <c r="C5" s="84" t="s">
        <v>6</v>
      </c>
      <c r="D5" s="84">
        <v>1300</v>
      </c>
      <c r="E5" s="84">
        <v>600</v>
      </c>
      <c r="F5" s="84">
        <v>0.1</v>
      </c>
      <c r="G5" s="84">
        <v>900</v>
      </c>
      <c r="H5" s="84">
        <v>60</v>
      </c>
      <c r="I5" s="84">
        <v>31</v>
      </c>
      <c r="J5" s="85">
        <f t="shared" si="0"/>
        <v>0.51666666666666672</v>
      </c>
      <c r="K5" s="84">
        <v>258930</v>
      </c>
      <c r="L5" s="84">
        <v>117736</v>
      </c>
      <c r="M5" s="86">
        <f>L5/K5</f>
        <v>0.45470204302321093</v>
      </c>
      <c r="N5" s="84">
        <v>2</v>
      </c>
      <c r="O5" s="84">
        <v>0</v>
      </c>
      <c r="P5" s="85">
        <f t="shared" si="2"/>
        <v>0</v>
      </c>
      <c r="Q5" s="87">
        <v>4.0599999999999997E-2</v>
      </c>
      <c r="R5" s="87">
        <v>2.2499999999999999E-2</v>
      </c>
      <c r="S5" s="88">
        <v>0</v>
      </c>
    </row>
    <row r="6" spans="1:23" ht="15.75" x14ac:dyDescent="0.25">
      <c r="A6" s="136"/>
      <c r="B6" s="83">
        <v>32</v>
      </c>
      <c r="C6" s="84" t="s">
        <v>6</v>
      </c>
      <c r="D6" s="84">
        <v>1300</v>
      </c>
      <c r="E6" s="84">
        <v>600</v>
      </c>
      <c r="F6" s="84">
        <v>0.1</v>
      </c>
      <c r="G6" s="84">
        <v>900</v>
      </c>
      <c r="H6" s="84">
        <v>60</v>
      </c>
      <c r="I6" s="84">
        <v>35</v>
      </c>
      <c r="J6" s="85">
        <f t="shared" si="0"/>
        <v>0.58333333333333337</v>
      </c>
      <c r="K6" s="84">
        <v>258950</v>
      </c>
      <c r="L6" s="84">
        <v>117647</v>
      </c>
      <c r="M6" s="86">
        <f t="shared" si="1"/>
        <v>0.45432322842247536</v>
      </c>
      <c r="N6" s="84">
        <v>2</v>
      </c>
      <c r="O6" s="84">
        <v>0.9</v>
      </c>
      <c r="P6" s="85">
        <f>O6/N6</f>
        <v>0.45</v>
      </c>
      <c r="Q6" s="87">
        <v>3.49E-2</v>
      </c>
      <c r="R6" s="87">
        <v>2.24E-2</v>
      </c>
      <c r="S6" s="88">
        <v>1.78E-2</v>
      </c>
      <c r="U6" s="109">
        <f>AVERAGE(Q9:Q12)</f>
        <v>1.9762999999999999</v>
      </c>
    </row>
    <row r="7" spans="1:23" ht="15.75" x14ac:dyDescent="0.25">
      <c r="A7" s="136"/>
      <c r="B7" s="161">
        <v>6</v>
      </c>
      <c r="C7" s="162" t="s">
        <v>68</v>
      </c>
      <c r="D7" s="162">
        <v>1300</v>
      </c>
      <c r="E7" s="162">
        <v>600</v>
      </c>
      <c r="F7" s="162">
        <v>0.1</v>
      </c>
      <c r="G7" s="162">
        <v>900</v>
      </c>
      <c r="H7" s="162">
        <v>60</v>
      </c>
      <c r="I7" s="162">
        <v>60</v>
      </c>
      <c r="J7" s="85">
        <f t="shared" si="0"/>
        <v>1</v>
      </c>
      <c r="K7" s="162">
        <v>258849</v>
      </c>
      <c r="L7" s="162">
        <v>258844</v>
      </c>
      <c r="M7" s="165">
        <f t="shared" si="1"/>
        <v>0.99998068371907944</v>
      </c>
      <c r="N7" s="162">
        <v>2</v>
      </c>
      <c r="O7" s="162">
        <v>2</v>
      </c>
      <c r="P7" s="85">
        <f>O7/N7</f>
        <v>1</v>
      </c>
      <c r="Q7" s="163">
        <v>5.5999999999999999E-3</v>
      </c>
      <c r="R7" s="163">
        <v>4.7999999999999996E-3</v>
      </c>
      <c r="S7" s="164">
        <v>7.6699999999999997E-3</v>
      </c>
      <c r="U7" s="109"/>
    </row>
    <row r="8" spans="1:23" ht="16.5" thickBot="1" x14ac:dyDescent="0.3">
      <c r="A8" s="137"/>
      <c r="B8" s="89">
        <v>33</v>
      </c>
      <c r="C8" s="90" t="s">
        <v>6</v>
      </c>
      <c r="D8" s="90">
        <v>1300</v>
      </c>
      <c r="E8" s="90">
        <v>600</v>
      </c>
      <c r="F8" s="90">
        <v>0.1</v>
      </c>
      <c r="G8" s="90">
        <v>900</v>
      </c>
      <c r="H8" s="90">
        <v>60</v>
      </c>
      <c r="I8" s="90">
        <v>26</v>
      </c>
      <c r="J8" s="85">
        <f t="shared" si="0"/>
        <v>0.43333333333333335</v>
      </c>
      <c r="K8" s="90">
        <v>258938</v>
      </c>
      <c r="L8" s="90">
        <v>117464</v>
      </c>
      <c r="M8" s="86">
        <f>L8/K8</f>
        <v>0.45363755030161662</v>
      </c>
      <c r="N8" s="90">
        <v>2</v>
      </c>
      <c r="O8" s="90">
        <v>0</v>
      </c>
      <c r="P8" s="85">
        <f t="shared" si="2"/>
        <v>0</v>
      </c>
      <c r="Q8" s="91">
        <v>3.7400000000000003E-2</v>
      </c>
      <c r="R8" s="91">
        <v>2.2599999999999999E-2</v>
      </c>
      <c r="S8" s="92">
        <v>0</v>
      </c>
    </row>
    <row r="9" spans="1:23" ht="15.75" customHeight="1" x14ac:dyDescent="0.25">
      <c r="A9" s="140" t="s">
        <v>39</v>
      </c>
      <c r="B9" s="39">
        <v>0</v>
      </c>
      <c r="C9" s="40" t="s">
        <v>6</v>
      </c>
      <c r="D9" s="40">
        <v>950</v>
      </c>
      <c r="E9" s="40">
        <v>300</v>
      </c>
      <c r="F9" s="40">
        <v>0.04</v>
      </c>
      <c r="G9" s="40">
        <v>900</v>
      </c>
      <c r="H9" s="40">
        <f>4*20</f>
        <v>80</v>
      </c>
      <c r="I9" s="40">
        <v>22</v>
      </c>
      <c r="J9" s="41">
        <f t="shared" ref="J9:J20" si="3">I9/H9</f>
        <v>0.27500000000000002</v>
      </c>
      <c r="K9" s="40">
        <v>472319</v>
      </c>
      <c r="L9" s="40">
        <v>102801</v>
      </c>
      <c r="M9" s="41">
        <f t="shared" ref="M9:M20" si="4">L9/K9</f>
        <v>0.21765162951310449</v>
      </c>
      <c r="N9" s="40">
        <v>2</v>
      </c>
      <c r="O9" s="40">
        <v>1</v>
      </c>
      <c r="P9" s="41">
        <f t="shared" ref="P9:P20" si="5">O9/N9</f>
        <v>0.5</v>
      </c>
      <c r="Q9" s="42">
        <v>1.9012</v>
      </c>
      <c r="R9" s="43">
        <v>2.70797</v>
      </c>
      <c r="S9" s="44">
        <v>1.8370000000000001E-2</v>
      </c>
      <c r="V9" t="s">
        <v>17</v>
      </c>
    </row>
    <row r="10" spans="1:23" ht="16.5" customHeight="1" x14ac:dyDescent="0.25">
      <c r="A10" s="141"/>
      <c r="B10" s="15">
        <v>1</v>
      </c>
      <c r="C10" s="13" t="s">
        <v>6</v>
      </c>
      <c r="D10" s="13">
        <v>950</v>
      </c>
      <c r="E10" s="13">
        <v>300</v>
      </c>
      <c r="F10" s="13">
        <v>0.04</v>
      </c>
      <c r="G10" s="13">
        <v>900</v>
      </c>
      <c r="H10" s="13">
        <v>80</v>
      </c>
      <c r="I10" s="13">
        <v>23</v>
      </c>
      <c r="J10" s="16">
        <f t="shared" si="3"/>
        <v>0.28749999999999998</v>
      </c>
      <c r="K10" s="13">
        <v>472315</v>
      </c>
      <c r="L10" s="13">
        <v>102701</v>
      </c>
      <c r="M10" s="16">
        <f t="shared" si="4"/>
        <v>0.21744174967976879</v>
      </c>
      <c r="N10" s="13">
        <v>2</v>
      </c>
      <c r="O10" s="13">
        <v>1</v>
      </c>
      <c r="P10" s="16">
        <f t="shared" si="5"/>
        <v>0.5</v>
      </c>
      <c r="Q10" s="20">
        <v>1.9094</v>
      </c>
      <c r="R10" s="20">
        <v>2.6869000000000001</v>
      </c>
      <c r="S10" s="45">
        <v>1.83E-2</v>
      </c>
    </row>
    <row r="11" spans="1:23" ht="16.5" customHeight="1" x14ac:dyDescent="0.25">
      <c r="A11" s="141"/>
      <c r="B11" s="15">
        <v>3</v>
      </c>
      <c r="C11" s="13" t="s">
        <v>6</v>
      </c>
      <c r="D11" s="13">
        <v>950</v>
      </c>
      <c r="E11" s="13">
        <v>300</v>
      </c>
      <c r="F11" s="13">
        <v>0.04</v>
      </c>
      <c r="G11" s="13">
        <v>900</v>
      </c>
      <c r="H11" s="13">
        <v>80</v>
      </c>
      <c r="I11" s="13">
        <v>21</v>
      </c>
      <c r="J11" s="16">
        <f t="shared" si="3"/>
        <v>0.26250000000000001</v>
      </c>
      <c r="K11" s="13">
        <v>472328</v>
      </c>
      <c r="L11" s="13">
        <v>102613</v>
      </c>
      <c r="M11" s="16">
        <f>L11/K11</f>
        <v>0.21724945376941449</v>
      </c>
      <c r="N11" s="13">
        <v>2</v>
      </c>
      <c r="O11" s="13">
        <v>1</v>
      </c>
      <c r="P11" s="16">
        <f t="shared" si="5"/>
        <v>0.5</v>
      </c>
      <c r="Q11" s="20">
        <v>1.9399</v>
      </c>
      <c r="R11" s="20">
        <v>2.6638000000000002</v>
      </c>
      <c r="S11" s="45">
        <v>4.99E-2</v>
      </c>
    </row>
    <row r="12" spans="1:23" ht="16.5" customHeight="1" x14ac:dyDescent="0.25">
      <c r="A12" s="141"/>
      <c r="B12" s="15">
        <v>4</v>
      </c>
      <c r="C12" s="13" t="s">
        <v>6</v>
      </c>
      <c r="D12" s="13">
        <v>950</v>
      </c>
      <c r="E12" s="13">
        <v>300</v>
      </c>
      <c r="F12" s="13">
        <v>0.04</v>
      </c>
      <c r="G12" s="13">
        <v>900</v>
      </c>
      <c r="H12" s="13">
        <v>80</v>
      </c>
      <c r="I12" s="13">
        <v>19</v>
      </c>
      <c r="J12" s="16">
        <f t="shared" si="3"/>
        <v>0.23749999999999999</v>
      </c>
      <c r="K12" s="13">
        <v>472500</v>
      </c>
      <c r="L12" s="13">
        <v>102454</v>
      </c>
      <c r="M12" s="16">
        <f t="shared" si="4"/>
        <v>0.21683386243386243</v>
      </c>
      <c r="N12" s="13">
        <v>2</v>
      </c>
      <c r="O12" s="13">
        <v>0</v>
      </c>
      <c r="P12" s="16">
        <f t="shared" si="5"/>
        <v>0</v>
      </c>
      <c r="Q12" s="20">
        <v>2.1547000000000001</v>
      </c>
      <c r="R12" s="20">
        <v>2.7778</v>
      </c>
      <c r="S12" s="45">
        <v>0</v>
      </c>
      <c r="U12" s="109">
        <f>AVERAGE(R9:R14)</f>
        <v>2.277778333333333</v>
      </c>
    </row>
    <row r="13" spans="1:23" ht="16.5" customHeight="1" thickBot="1" x14ac:dyDescent="0.3">
      <c r="A13" s="141"/>
      <c r="B13" s="46">
        <v>2</v>
      </c>
      <c r="C13" s="47" t="s">
        <v>6</v>
      </c>
      <c r="D13" s="47">
        <v>950</v>
      </c>
      <c r="E13" s="47">
        <v>300</v>
      </c>
      <c r="F13" s="47">
        <v>0.04</v>
      </c>
      <c r="G13" s="47">
        <v>900</v>
      </c>
      <c r="H13" s="47">
        <v>80</v>
      </c>
      <c r="I13" s="47">
        <v>30</v>
      </c>
      <c r="J13" s="48">
        <f t="shared" ref="J13:J14" si="6">I13/H13</f>
        <v>0.375</v>
      </c>
      <c r="K13" s="47">
        <v>472361</v>
      </c>
      <c r="L13" s="47">
        <v>102601</v>
      </c>
      <c r="M13" s="48">
        <f t="shared" ref="M13:M14" si="7">L13/K13</f>
        <v>0.21720887202796166</v>
      </c>
      <c r="N13" s="47">
        <v>2</v>
      </c>
      <c r="O13" s="47">
        <v>1</v>
      </c>
      <c r="P13" s="48">
        <f t="shared" ref="P13:P14" si="8">O13/N13</f>
        <v>0.5</v>
      </c>
      <c r="Q13" s="49">
        <v>1.8173999999999999</v>
      </c>
      <c r="R13" s="49">
        <v>2.8208000000000002</v>
      </c>
      <c r="S13" s="50">
        <v>3.5299999999999998E-2</v>
      </c>
      <c r="U13" s="109"/>
    </row>
    <row r="14" spans="1:23" ht="16.5" customHeight="1" thickBot="1" x14ac:dyDescent="0.3">
      <c r="A14" s="142"/>
      <c r="B14" s="124" t="s">
        <v>67</v>
      </c>
      <c r="C14" s="125" t="s">
        <v>68</v>
      </c>
      <c r="D14" s="125">
        <v>950</v>
      </c>
      <c r="E14" s="125">
        <v>300</v>
      </c>
      <c r="F14" s="125">
        <v>0.04</v>
      </c>
      <c r="G14" s="125">
        <v>900</v>
      </c>
      <c r="H14" s="125">
        <v>80</v>
      </c>
      <c r="I14" s="125">
        <v>79</v>
      </c>
      <c r="J14" s="16">
        <f t="shared" si="6"/>
        <v>0.98750000000000004</v>
      </c>
      <c r="K14" s="125">
        <v>472374</v>
      </c>
      <c r="L14" s="125">
        <v>468525</v>
      </c>
      <c r="M14" s="16">
        <f t="shared" si="7"/>
        <v>0.99185179539940804</v>
      </c>
      <c r="N14" s="125">
        <v>2</v>
      </c>
      <c r="O14" s="125">
        <v>2</v>
      </c>
      <c r="P14" s="16">
        <f t="shared" si="8"/>
        <v>1</v>
      </c>
      <c r="Q14" s="126">
        <v>1.15E-2</v>
      </c>
      <c r="R14" s="126">
        <v>9.4000000000000004E-3</v>
      </c>
      <c r="S14" s="127">
        <v>1.1900000000000001E-2</v>
      </c>
    </row>
    <row r="15" spans="1:23" ht="31.5" hidden="1" customHeight="1" x14ac:dyDescent="0.25">
      <c r="A15" s="139" t="s">
        <v>22</v>
      </c>
      <c r="B15" s="35">
        <v>57</v>
      </c>
      <c r="C15" s="36" t="s">
        <v>6</v>
      </c>
      <c r="D15" s="36">
        <v>4000</v>
      </c>
      <c r="E15" s="36">
        <v>3600</v>
      </c>
      <c r="F15" s="36">
        <v>0.1</v>
      </c>
      <c r="G15" s="36">
        <v>3600</v>
      </c>
      <c r="H15" s="36"/>
      <c r="I15" s="36"/>
      <c r="J15" s="37" t="e">
        <f t="shared" si="3"/>
        <v>#DIV/0!</v>
      </c>
      <c r="K15" s="36"/>
      <c r="L15" s="36"/>
      <c r="M15" s="37" t="e">
        <f t="shared" si="4"/>
        <v>#DIV/0!</v>
      </c>
      <c r="N15" s="36"/>
      <c r="O15" s="36"/>
      <c r="P15" s="37" t="e">
        <f t="shared" si="5"/>
        <v>#DIV/0!</v>
      </c>
      <c r="Q15" s="38"/>
      <c r="R15" s="38"/>
      <c r="S15" s="38"/>
      <c r="V15">
        <v>1.8377415779000001E-2</v>
      </c>
    </row>
    <row r="16" spans="1:23" ht="31.5" hidden="1" customHeight="1" x14ac:dyDescent="0.25">
      <c r="A16" s="139"/>
      <c r="B16" s="21">
        <v>58</v>
      </c>
      <c r="C16" s="22" t="s">
        <v>6</v>
      </c>
      <c r="D16" s="22">
        <v>400</v>
      </c>
      <c r="E16" s="22">
        <v>3600</v>
      </c>
      <c r="F16" s="22">
        <v>0.1</v>
      </c>
      <c r="G16" s="22">
        <v>3600</v>
      </c>
      <c r="H16" s="22"/>
      <c r="I16" s="22"/>
      <c r="J16" s="23"/>
      <c r="K16" s="22"/>
      <c r="L16" s="22"/>
      <c r="M16" s="23"/>
      <c r="N16" s="22"/>
      <c r="O16" s="22"/>
      <c r="P16" s="23"/>
      <c r="Q16" s="8"/>
      <c r="R16" s="8"/>
      <c r="S16" s="8"/>
      <c r="V16">
        <v>1.8377486969E-2</v>
      </c>
    </row>
    <row r="17" spans="1:22" ht="31.5" hidden="1" customHeight="1" x14ac:dyDescent="0.25">
      <c r="A17" s="139"/>
      <c r="B17" s="21">
        <v>59</v>
      </c>
      <c r="C17" s="22" t="s">
        <v>6</v>
      </c>
      <c r="D17" s="22">
        <v>4000</v>
      </c>
      <c r="E17" s="22">
        <v>3600</v>
      </c>
      <c r="F17" s="22">
        <v>0.1</v>
      </c>
      <c r="G17" s="22">
        <v>3600</v>
      </c>
      <c r="H17" s="22"/>
      <c r="I17" s="22"/>
      <c r="J17" s="23" t="e">
        <f>I17/H17</f>
        <v>#DIV/0!</v>
      </c>
      <c r="K17" s="22"/>
      <c r="L17" s="22"/>
      <c r="M17" s="23" t="e">
        <f t="shared" si="4"/>
        <v>#DIV/0!</v>
      </c>
      <c r="N17" s="22"/>
      <c r="O17" s="22"/>
      <c r="P17" s="23" t="e">
        <f t="shared" si="5"/>
        <v>#DIV/0!</v>
      </c>
      <c r="Q17" s="8"/>
      <c r="R17" s="8"/>
      <c r="S17" s="8"/>
      <c r="V17">
        <v>1.8377447735E-2</v>
      </c>
    </row>
    <row r="18" spans="1:22" ht="15.75" hidden="1" customHeight="1" x14ac:dyDescent="0.25">
      <c r="A18" s="138" t="s">
        <v>16</v>
      </c>
      <c r="B18" s="1">
        <v>57</v>
      </c>
      <c r="C18" s="2" t="s">
        <v>6</v>
      </c>
      <c r="D18" s="14">
        <v>7500</v>
      </c>
      <c r="E18" s="2">
        <v>3600</v>
      </c>
      <c r="F18" s="2">
        <v>1500</v>
      </c>
      <c r="G18" s="2">
        <v>3600</v>
      </c>
      <c r="H18" s="2">
        <f>3*20</f>
        <v>60</v>
      </c>
      <c r="I18" s="2">
        <v>52</v>
      </c>
      <c r="J18" s="17">
        <f t="shared" si="3"/>
        <v>0.8666666666666667</v>
      </c>
      <c r="K18" s="2">
        <f>5*20</f>
        <v>100</v>
      </c>
      <c r="L18" s="2">
        <v>98</v>
      </c>
      <c r="M18" s="18">
        <f t="shared" si="4"/>
        <v>0.98</v>
      </c>
      <c r="N18" s="2">
        <v>3</v>
      </c>
      <c r="O18" s="2">
        <v>3</v>
      </c>
      <c r="P18" s="19">
        <f t="shared" si="5"/>
        <v>1</v>
      </c>
      <c r="Q18" s="7"/>
      <c r="R18" s="7"/>
      <c r="S18" s="6"/>
      <c r="V18">
        <v>1.8377469962000001E-2</v>
      </c>
    </row>
    <row r="19" spans="1:22" ht="15.75" hidden="1" customHeight="1" x14ac:dyDescent="0.25">
      <c r="A19" s="138"/>
      <c r="B19" s="1">
        <v>58</v>
      </c>
      <c r="C19" s="2" t="s">
        <v>6</v>
      </c>
      <c r="D19" s="2">
        <v>7500</v>
      </c>
      <c r="E19" s="2">
        <v>3600</v>
      </c>
      <c r="F19" s="2">
        <v>1500</v>
      </c>
      <c r="G19" s="2">
        <v>3600</v>
      </c>
      <c r="H19" s="2">
        <f>3*20</f>
        <v>60</v>
      </c>
      <c r="I19" s="2">
        <v>55</v>
      </c>
      <c r="J19" s="17">
        <f t="shared" si="3"/>
        <v>0.91666666666666663</v>
      </c>
      <c r="K19" s="2">
        <f>5*20</f>
        <v>100</v>
      </c>
      <c r="L19" s="2">
        <v>99</v>
      </c>
      <c r="M19" s="18">
        <f t="shared" si="4"/>
        <v>0.99</v>
      </c>
      <c r="N19" s="2">
        <v>3</v>
      </c>
      <c r="O19" s="2">
        <v>3</v>
      </c>
      <c r="P19" s="19">
        <f t="shared" si="5"/>
        <v>1</v>
      </c>
      <c r="Q19" s="7"/>
      <c r="R19" s="7"/>
      <c r="S19" s="6"/>
      <c r="V19">
        <v>1.8377466778E-2</v>
      </c>
    </row>
    <row r="20" spans="1:22" ht="15.75" hidden="1" customHeight="1" thickBot="1" x14ac:dyDescent="0.3">
      <c r="A20" s="138"/>
      <c r="B20" s="61">
        <v>59</v>
      </c>
      <c r="C20" s="62" t="s">
        <v>6</v>
      </c>
      <c r="D20" s="62">
        <v>7500</v>
      </c>
      <c r="E20" s="62">
        <v>3600</v>
      </c>
      <c r="F20" s="62">
        <v>1500</v>
      </c>
      <c r="G20" s="62">
        <v>3600</v>
      </c>
      <c r="H20" s="62">
        <f>3*20</f>
        <v>60</v>
      </c>
      <c r="I20" s="62">
        <v>60</v>
      </c>
      <c r="J20" s="63">
        <f t="shared" si="3"/>
        <v>1</v>
      </c>
      <c r="K20" s="62">
        <f>5*20</f>
        <v>100</v>
      </c>
      <c r="L20" s="62">
        <v>98</v>
      </c>
      <c r="M20" s="64">
        <f t="shared" si="4"/>
        <v>0.98</v>
      </c>
      <c r="N20" s="62">
        <v>3</v>
      </c>
      <c r="O20" s="62">
        <v>3</v>
      </c>
      <c r="P20" s="65">
        <f t="shared" si="5"/>
        <v>1</v>
      </c>
      <c r="Q20" s="66"/>
      <c r="R20" s="66"/>
      <c r="S20" s="67"/>
      <c r="V20">
        <v>1.8377459259000001E-2</v>
      </c>
    </row>
    <row r="21" spans="1:22" ht="18" customHeight="1" x14ac:dyDescent="0.25">
      <c r="A21" s="143" t="s">
        <v>41</v>
      </c>
      <c r="B21" s="68">
        <v>42</v>
      </c>
      <c r="C21" s="69" t="s">
        <v>6</v>
      </c>
      <c r="D21" s="69">
        <v>1850</v>
      </c>
      <c r="E21" s="69">
        <v>1800</v>
      </c>
      <c r="F21" s="69">
        <v>0.1</v>
      </c>
      <c r="G21" s="69">
        <v>900</v>
      </c>
      <c r="H21" s="69">
        <v>40</v>
      </c>
      <c r="I21" s="69">
        <v>20</v>
      </c>
      <c r="J21" s="70">
        <f>I21/H21</f>
        <v>0.5</v>
      </c>
      <c r="K21" s="69">
        <v>362953</v>
      </c>
      <c r="L21" s="69">
        <v>165036</v>
      </c>
      <c r="M21" s="71">
        <f t="shared" ref="M21:M26" si="9">L21/K21</f>
        <v>0.45470350155529782</v>
      </c>
      <c r="N21" s="69">
        <v>3</v>
      </c>
      <c r="O21" s="69">
        <v>1</v>
      </c>
      <c r="P21" s="70">
        <f t="shared" ref="P21:P26" si="10">O21/N21</f>
        <v>0.33333333333333331</v>
      </c>
      <c r="Q21" s="72">
        <v>4.8379999999999999E-2</v>
      </c>
      <c r="R21" s="72">
        <v>2.24E-2</v>
      </c>
      <c r="S21" s="73">
        <v>1.8089999999999998E-2</v>
      </c>
      <c r="V21">
        <v>1.8377436931999998E-2</v>
      </c>
    </row>
    <row r="22" spans="1:22" ht="15.75" x14ac:dyDescent="0.25">
      <c r="A22" s="144"/>
      <c r="B22" s="51">
        <v>43</v>
      </c>
      <c r="C22" s="52" t="s">
        <v>6</v>
      </c>
      <c r="D22" s="52">
        <v>1850</v>
      </c>
      <c r="E22" s="52">
        <v>1800</v>
      </c>
      <c r="F22" s="52">
        <v>0.1</v>
      </c>
      <c r="G22" s="52">
        <v>900</v>
      </c>
      <c r="H22" s="52">
        <v>40</v>
      </c>
      <c r="I22" s="52">
        <v>20</v>
      </c>
      <c r="J22" s="53">
        <f t="shared" ref="J22:J23" si="11">I22/H22</f>
        <v>0.5</v>
      </c>
      <c r="K22" s="52">
        <v>368953</v>
      </c>
      <c r="L22" s="52">
        <v>167788</v>
      </c>
      <c r="M22" s="54">
        <f t="shared" si="9"/>
        <v>0.45476795147349391</v>
      </c>
      <c r="N22" s="52">
        <v>3</v>
      </c>
      <c r="O22" s="52">
        <v>1</v>
      </c>
      <c r="P22" s="53">
        <f t="shared" si="10"/>
        <v>0.33333333333333331</v>
      </c>
      <c r="Q22" s="57">
        <v>4.8300000000000003E-2</v>
      </c>
      <c r="R22" s="55">
        <v>2.24E-2</v>
      </c>
      <c r="S22" s="56">
        <v>1.7999999999999999E-2</v>
      </c>
    </row>
    <row r="23" spans="1:22" ht="15.75" x14ac:dyDescent="0.25">
      <c r="A23" s="144"/>
      <c r="B23" s="51">
        <v>44</v>
      </c>
      <c r="C23" s="52" t="s">
        <v>6</v>
      </c>
      <c r="D23" s="52">
        <v>1850</v>
      </c>
      <c r="E23" s="52">
        <v>1800</v>
      </c>
      <c r="F23" s="52">
        <v>0.1</v>
      </c>
      <c r="G23" s="52">
        <v>900</v>
      </c>
      <c r="H23" s="52">
        <v>40</v>
      </c>
      <c r="I23" s="52">
        <v>21</v>
      </c>
      <c r="J23" s="53">
        <f t="shared" si="11"/>
        <v>0.52500000000000002</v>
      </c>
      <c r="K23" s="52">
        <v>368930</v>
      </c>
      <c r="L23" s="52">
        <v>167600</v>
      </c>
      <c r="M23" s="54">
        <f t="shared" si="9"/>
        <v>0.45428672105819534</v>
      </c>
      <c r="N23" s="52">
        <v>3</v>
      </c>
      <c r="O23" s="52">
        <v>0.9</v>
      </c>
      <c r="P23" s="53">
        <f t="shared" si="10"/>
        <v>0.3</v>
      </c>
      <c r="Q23" s="57">
        <v>3.2300000000000002E-2</v>
      </c>
      <c r="R23" s="55">
        <v>2.248E-2</v>
      </c>
      <c r="S23" s="56">
        <v>4.3700000000000003E-2</v>
      </c>
    </row>
    <row r="24" spans="1:22" ht="16.5" customHeight="1" x14ac:dyDescent="0.25">
      <c r="A24" s="144"/>
      <c r="B24" s="51">
        <v>70</v>
      </c>
      <c r="C24" s="52" t="s">
        <v>6</v>
      </c>
      <c r="D24" s="52">
        <v>1850</v>
      </c>
      <c r="E24" s="52">
        <v>1800</v>
      </c>
      <c r="F24" s="52">
        <v>0.1</v>
      </c>
      <c r="G24" s="52">
        <v>900</v>
      </c>
      <c r="H24" s="52">
        <v>40</v>
      </c>
      <c r="I24" s="52">
        <v>20</v>
      </c>
      <c r="J24" s="53">
        <f>I24/H24</f>
        <v>0.5</v>
      </c>
      <c r="K24" s="52">
        <v>368953</v>
      </c>
      <c r="L24" s="52">
        <v>167788</v>
      </c>
      <c r="M24" s="54">
        <f t="shared" si="9"/>
        <v>0.45476795147349391</v>
      </c>
      <c r="N24" s="52">
        <v>3</v>
      </c>
      <c r="O24" s="52">
        <v>1</v>
      </c>
      <c r="P24" s="53">
        <f t="shared" si="10"/>
        <v>0.33333333333333331</v>
      </c>
      <c r="Q24" s="55">
        <v>4.8300000000000003E-2</v>
      </c>
      <c r="R24" s="55">
        <v>2.24E-2</v>
      </c>
      <c r="S24" s="56">
        <v>1.7999999999999999E-2</v>
      </c>
      <c r="V24">
        <v>1.8377446012999999E-2</v>
      </c>
    </row>
    <row r="25" spans="1:22" ht="16.5" customHeight="1" x14ac:dyDescent="0.25">
      <c r="A25" s="144"/>
      <c r="B25" s="168">
        <v>14</v>
      </c>
      <c r="C25" s="169" t="s">
        <v>68</v>
      </c>
      <c r="D25" s="169">
        <v>1850</v>
      </c>
      <c r="E25" s="169">
        <v>1800</v>
      </c>
      <c r="F25" s="169">
        <v>0.1</v>
      </c>
      <c r="G25" s="169">
        <v>900</v>
      </c>
      <c r="H25" s="169">
        <v>40</v>
      </c>
      <c r="I25" s="169">
        <v>40</v>
      </c>
      <c r="J25" s="170">
        <f>I25/H25</f>
        <v>1</v>
      </c>
      <c r="K25" s="169">
        <v>368918</v>
      </c>
      <c r="L25" s="169">
        <v>368912</v>
      </c>
      <c r="M25" s="171">
        <f t="shared" si="9"/>
        <v>0.99998373622322578</v>
      </c>
      <c r="N25" s="169">
        <v>3</v>
      </c>
      <c r="O25" s="169">
        <v>3</v>
      </c>
      <c r="P25" s="170">
        <f t="shared" si="10"/>
        <v>1</v>
      </c>
      <c r="Q25" s="172">
        <v>6.6899999999999998E-3</v>
      </c>
      <c r="R25" s="172">
        <v>4.4999999999999997E-3</v>
      </c>
      <c r="S25" s="173">
        <v>1.1000000000000001E-3</v>
      </c>
    </row>
    <row r="26" spans="1:22" ht="16.5" thickBot="1" x14ac:dyDescent="0.3">
      <c r="A26" s="145"/>
      <c r="B26" s="74">
        <v>71</v>
      </c>
      <c r="C26" s="58" t="s">
        <v>6</v>
      </c>
      <c r="D26" s="58">
        <v>1850</v>
      </c>
      <c r="E26" s="58">
        <v>1800</v>
      </c>
      <c r="F26" s="58">
        <v>0.1</v>
      </c>
      <c r="G26" s="58">
        <v>900</v>
      </c>
      <c r="H26" s="58">
        <v>40</v>
      </c>
      <c r="I26" s="58">
        <v>21</v>
      </c>
      <c r="J26" s="75">
        <f>I26/H26</f>
        <v>0.52500000000000002</v>
      </c>
      <c r="K26" s="58">
        <v>368930</v>
      </c>
      <c r="L26" s="58">
        <v>167600</v>
      </c>
      <c r="M26" s="76">
        <f t="shared" si="9"/>
        <v>0.45428672105819534</v>
      </c>
      <c r="N26" s="58">
        <v>3</v>
      </c>
      <c r="O26" s="58">
        <v>1</v>
      </c>
      <c r="P26" s="75">
        <f t="shared" si="10"/>
        <v>0.33333333333333331</v>
      </c>
      <c r="Q26" s="59">
        <v>3.2300000000000002E-2</v>
      </c>
      <c r="R26" s="59">
        <v>2.24E-2</v>
      </c>
      <c r="S26" s="60">
        <v>4.8500000000000001E-2</v>
      </c>
      <c r="V26">
        <v>1.8377415083E-2</v>
      </c>
    </row>
    <row r="27" spans="1:22" x14ac:dyDescent="0.25">
      <c r="V27">
        <v>1.8377455434E-2</v>
      </c>
    </row>
    <row r="28" spans="1:22" x14ac:dyDescent="0.25">
      <c r="I28" s="109">
        <f>AVERAGE(Q3:Q8)</f>
        <v>3.4663333333333331E-2</v>
      </c>
      <c r="K28">
        <f>250/60</f>
        <v>4.166666666666667</v>
      </c>
      <c r="M28" s="109">
        <f>AVERAGE(Q9:Q14)</f>
        <v>1.62235</v>
      </c>
      <c r="O28" s="109">
        <f>AVERAGE(R9:R14)</f>
        <v>2.277778333333333</v>
      </c>
      <c r="Q28" s="109">
        <f>AVERAGE(R21:R26)</f>
        <v>1.9430000000000003E-2</v>
      </c>
      <c r="V28">
        <v>1.8377440200000001E-2</v>
      </c>
    </row>
    <row r="29" spans="1:22" x14ac:dyDescent="0.25">
      <c r="B29" s="112">
        <v>450000</v>
      </c>
      <c r="C29">
        <f>B31-700000</f>
        <v>280000</v>
      </c>
      <c r="D29">
        <f>80000</f>
        <v>80000</v>
      </c>
      <c r="F29" s="106">
        <f>AVERAGE(J9:J14)</f>
        <v>0.40416666666666662</v>
      </c>
      <c r="I29" s="109">
        <f>AVERAGE(S9:S14)</f>
        <v>2.2294999999999999E-2</v>
      </c>
      <c r="K29" s="109">
        <f>AVERAGE(Q21:Q26)</f>
        <v>3.6045000000000001E-2</v>
      </c>
      <c r="R29" t="s">
        <v>17</v>
      </c>
      <c r="T29">
        <f>AVERAGE(R30:R59)</f>
        <v>1.8094548745599997E-2</v>
      </c>
      <c r="V29">
        <v>1.8377468394E-2</v>
      </c>
    </row>
    <row r="30" spans="1:22" x14ac:dyDescent="0.25">
      <c r="B30">
        <f>B29+450000</f>
        <v>900000</v>
      </c>
      <c r="D30">
        <f>D29+4700000</f>
        <v>4780000</v>
      </c>
      <c r="H30" s="109">
        <f>AVERAGE(R9:R14)</f>
        <v>2.277778333333333</v>
      </c>
      <c r="J30" t="s">
        <v>17</v>
      </c>
      <c r="L30">
        <f>K28*5</f>
        <v>20.833333333333336</v>
      </c>
      <c r="M30" t="s">
        <v>17</v>
      </c>
      <c r="N30" s="109">
        <f>AVERAGE(S3:S8)</f>
        <v>7.26E-3</v>
      </c>
      <c r="P30">
        <f>SUM(M31:M50)</f>
        <v>18165</v>
      </c>
      <c r="V30">
        <v>1.8377416337000001E-2</v>
      </c>
    </row>
    <row r="31" spans="1:22" x14ac:dyDescent="0.25">
      <c r="A31" t="s">
        <v>17</v>
      </c>
      <c r="B31">
        <f>B30+80000</f>
        <v>980000</v>
      </c>
      <c r="D31" t="s">
        <v>17</v>
      </c>
      <c r="H31" s="109">
        <f>AVERAGE(R3:R8)</f>
        <v>1.9471666666666668E-2</v>
      </c>
      <c r="J31">
        <v>1.8094541658E-2</v>
      </c>
      <c r="M31">
        <v>18165</v>
      </c>
      <c r="N31" s="109">
        <f>AVERAGE(S21:S26)</f>
        <v>2.4565000000000003E-2</v>
      </c>
      <c r="U31">
        <f>SUM(T34:T53)</f>
        <v>368953</v>
      </c>
      <c r="V31">
        <v>1.8377437404999999E-2</v>
      </c>
    </row>
    <row r="32" spans="1:22" x14ac:dyDescent="0.25">
      <c r="A32">
        <v>23545</v>
      </c>
      <c r="C32">
        <f>SUM(A32:A51)</f>
        <v>472315</v>
      </c>
      <c r="D32">
        <v>1.9650456230667E-2</v>
      </c>
      <c r="H32">
        <f>SUM(D32:D51)/20</f>
        <v>1.9229383186550299E-2</v>
      </c>
      <c r="J32">
        <v>1.8094542471000001E-2</v>
      </c>
      <c r="L32" t="s">
        <v>17</v>
      </c>
      <c r="V32">
        <v>1.8377429143000001E-2</v>
      </c>
    </row>
    <row r="33" spans="1:22" x14ac:dyDescent="0.25">
      <c r="A33">
        <v>23705</v>
      </c>
      <c r="D33">
        <v>1.9650433376667002E-2</v>
      </c>
      <c r="F33" t="s">
        <v>17</v>
      </c>
      <c r="J33">
        <v>1.8094550208E-2</v>
      </c>
      <c r="L33">
        <v>1</v>
      </c>
      <c r="N33" t="s">
        <v>17</v>
      </c>
      <c r="P33">
        <f>AVERAGE(L33:L52)</f>
        <v>0.9</v>
      </c>
      <c r="R33" t="s">
        <v>17</v>
      </c>
      <c r="T33" t="s">
        <v>17</v>
      </c>
      <c r="V33">
        <v>1.8377459302999999E-2</v>
      </c>
    </row>
    <row r="34" spans="1:22" x14ac:dyDescent="0.25">
      <c r="A34">
        <v>23609</v>
      </c>
      <c r="D34">
        <v>1.9650504566667001E-2</v>
      </c>
      <c r="F34">
        <v>18487</v>
      </c>
      <c r="G34">
        <f>SUM(F34:F53)</f>
        <v>368930</v>
      </c>
      <c r="J34">
        <v>1.8094553467999999E-2</v>
      </c>
      <c r="L34">
        <v>1</v>
      </c>
      <c r="N34">
        <v>4.8586364016E-2</v>
      </c>
      <c r="R34">
        <v>1.8094590051E-2</v>
      </c>
      <c r="T34">
        <v>18481</v>
      </c>
      <c r="V34">
        <v>1.8377450787E-2</v>
      </c>
    </row>
    <row r="35" spans="1:22" x14ac:dyDescent="0.25">
      <c r="A35">
        <v>23531</v>
      </c>
      <c r="D35">
        <v>1.9650465332667E-2</v>
      </c>
      <c r="F35">
        <v>18485</v>
      </c>
      <c r="J35">
        <v>1.8094553691E-2</v>
      </c>
      <c r="L35">
        <v>1</v>
      </c>
      <c r="N35">
        <v>4.8586347008999997E-2</v>
      </c>
      <c r="Q35" t="e">
        <f>#REF!*2</f>
        <v>#REF!</v>
      </c>
      <c r="R35">
        <v>1.8094585715E-2</v>
      </c>
      <c r="T35">
        <v>18478</v>
      </c>
    </row>
    <row r="36" spans="1:22" x14ac:dyDescent="0.25">
      <c r="A36">
        <v>23539</v>
      </c>
      <c r="D36">
        <v>1.9650487559667001E-2</v>
      </c>
      <c r="F36">
        <v>18482</v>
      </c>
      <c r="H36">
        <f>SUM(H39:H58)</f>
        <v>368930</v>
      </c>
      <c r="J36">
        <v>1.8094532173E-2</v>
      </c>
      <c r="L36">
        <v>1</v>
      </c>
      <c r="N36">
        <v>4.8586345441000003E-2</v>
      </c>
      <c r="R36">
        <v>1.8094584843999999E-2</v>
      </c>
      <c r="T36">
        <v>18477</v>
      </c>
    </row>
    <row r="37" spans="1:22" x14ac:dyDescent="0.25">
      <c r="A37">
        <v>23539</v>
      </c>
      <c r="D37">
        <v>1.9650484375667E-2</v>
      </c>
      <c r="F37">
        <v>18478</v>
      </c>
      <c r="J37">
        <v>1.8094553138999998E-2</v>
      </c>
      <c r="L37">
        <v>1</v>
      </c>
      <c r="N37">
        <v>4.8586343825000003E-2</v>
      </c>
      <c r="R37">
        <v>1.8094555589E-2</v>
      </c>
      <c r="T37">
        <v>18474</v>
      </c>
    </row>
    <row r="38" spans="1:22" x14ac:dyDescent="0.25">
      <c r="A38">
        <v>23664</v>
      </c>
      <c r="D38">
        <v>1.5439683337499999E-2</v>
      </c>
      <c r="F38">
        <v>18473</v>
      </c>
      <c r="H38" t="s">
        <v>17</v>
      </c>
      <c r="J38">
        <v>1.8094539773000001E-2</v>
      </c>
      <c r="L38">
        <v>1</v>
      </c>
      <c r="N38">
        <v>4.8586336350000002E-2</v>
      </c>
      <c r="R38">
        <v>1.8094553691E-2</v>
      </c>
      <c r="T38">
        <v>18471</v>
      </c>
    </row>
    <row r="39" spans="1:22" x14ac:dyDescent="0.25">
      <c r="A39">
        <v>23712</v>
      </c>
      <c r="D39">
        <v>1.9650454529666999E-2</v>
      </c>
      <c r="F39">
        <v>18466</v>
      </c>
      <c r="H39">
        <v>18487</v>
      </c>
      <c r="J39">
        <v>1.8094518819999999E-2</v>
      </c>
      <c r="L39">
        <v>1</v>
      </c>
      <c r="N39">
        <v>4.8586336305999997E-2</v>
      </c>
      <c r="R39">
        <v>1.8094553467999999E-2</v>
      </c>
      <c r="T39">
        <v>18470</v>
      </c>
    </row>
    <row r="40" spans="1:22" x14ac:dyDescent="0.25">
      <c r="A40">
        <v>23575</v>
      </c>
      <c r="D40">
        <v>1.9650454741667E-2</v>
      </c>
      <c r="F40">
        <v>18464</v>
      </c>
      <c r="H40">
        <v>18485</v>
      </c>
      <c r="J40">
        <v>1.8094555589E-2</v>
      </c>
      <c r="L40">
        <v>1</v>
      </c>
      <c r="N40">
        <v>4.8586332481E-2</v>
      </c>
      <c r="R40">
        <v>1.8094553138999998E-2</v>
      </c>
      <c r="T40">
        <v>18461</v>
      </c>
    </row>
    <row r="41" spans="1:22" x14ac:dyDescent="0.25">
      <c r="A41">
        <v>23592</v>
      </c>
      <c r="D41">
        <v>1.9650439123666999E-2</v>
      </c>
      <c r="F41">
        <v>18453</v>
      </c>
      <c r="H41">
        <v>18482</v>
      </c>
      <c r="J41">
        <v>1.8094536118E-2</v>
      </c>
      <c r="L41">
        <v>1</v>
      </c>
      <c r="N41">
        <v>4.8586327834E-2</v>
      </c>
      <c r="R41">
        <v>1.8094550208E-2</v>
      </c>
      <c r="T41">
        <v>18456</v>
      </c>
    </row>
    <row r="42" spans="1:22" x14ac:dyDescent="0.25">
      <c r="A42">
        <v>23574</v>
      </c>
      <c r="D42">
        <v>1.9650463610667E-2</v>
      </c>
      <c r="F42">
        <v>18453</v>
      </c>
      <c r="H42">
        <v>18478</v>
      </c>
      <c r="J42">
        <v>1.8094542006999999E-2</v>
      </c>
      <c r="L42">
        <v>1</v>
      </c>
      <c r="N42">
        <v>4.8586324782E-2</v>
      </c>
      <c r="P42">
        <f>AVERAGE(N34:N53)</f>
        <v>4.3727691484150004E-2</v>
      </c>
      <c r="R42">
        <v>1.8094547175E-2</v>
      </c>
      <c r="T42">
        <v>18450</v>
      </c>
    </row>
    <row r="43" spans="1:22" x14ac:dyDescent="0.25">
      <c r="A43">
        <v>23633</v>
      </c>
      <c r="D43">
        <v>1.9650432680667001E-2</v>
      </c>
      <c r="F43">
        <v>18444</v>
      </c>
      <c r="H43">
        <v>18473</v>
      </c>
      <c r="J43">
        <v>1.8094539082E-2</v>
      </c>
      <c r="L43">
        <v>1</v>
      </c>
      <c r="N43">
        <v>4.8586323059999999E-2</v>
      </c>
      <c r="R43">
        <v>1.8094542471000001E-2</v>
      </c>
      <c r="T43">
        <v>18448</v>
      </c>
    </row>
    <row r="44" spans="1:22" x14ac:dyDescent="0.25">
      <c r="A44">
        <v>23681</v>
      </c>
      <c r="D44">
        <v>1.54396795125E-2</v>
      </c>
      <c r="F44">
        <v>18437</v>
      </c>
      <c r="H44">
        <v>18466</v>
      </c>
      <c r="J44">
        <v>1.8094534214000001E-2</v>
      </c>
      <c r="L44">
        <v>1</v>
      </c>
      <c r="N44">
        <v>4.8586315679999999E-2</v>
      </c>
      <c r="R44">
        <v>1.8094542006999999E-2</v>
      </c>
      <c r="T44">
        <v>18444</v>
      </c>
    </row>
    <row r="45" spans="1:22" x14ac:dyDescent="0.25">
      <c r="A45">
        <v>23660</v>
      </c>
      <c r="D45">
        <v>1.9650457797667002E-2</v>
      </c>
      <c r="F45">
        <v>18434</v>
      </c>
      <c r="H45">
        <v>18464</v>
      </c>
      <c r="J45">
        <v>1.8094585715E-2</v>
      </c>
      <c r="L45">
        <v>1</v>
      </c>
      <c r="N45">
        <v>4.8586314451999998E-2</v>
      </c>
      <c r="R45">
        <v>1.8094541658E-2</v>
      </c>
      <c r="T45">
        <v>18442</v>
      </c>
    </row>
    <row r="46" spans="1:22" x14ac:dyDescent="0.25">
      <c r="A46">
        <v>23694</v>
      </c>
      <c r="D46">
        <v>1.9650485991667001E-2</v>
      </c>
      <c r="F46">
        <v>18431</v>
      </c>
      <c r="H46">
        <v>18453</v>
      </c>
      <c r="J46">
        <v>1.8094584843999999E-2</v>
      </c>
      <c r="L46">
        <v>1</v>
      </c>
      <c r="N46">
        <v>4.8586314190999999E-2</v>
      </c>
      <c r="R46">
        <v>1.8094539773000001E-2</v>
      </c>
      <c r="T46">
        <v>18438</v>
      </c>
    </row>
    <row r="47" spans="1:22" x14ac:dyDescent="0.25">
      <c r="A47">
        <v>23549</v>
      </c>
      <c r="D47">
        <v>1.9650433934666998E-2</v>
      </c>
      <c r="F47">
        <v>18430</v>
      </c>
      <c r="H47">
        <v>18453</v>
      </c>
      <c r="J47">
        <v>1.8094590051E-2</v>
      </c>
      <c r="L47">
        <v>1</v>
      </c>
      <c r="N47">
        <v>4.8586313978999998E-2</v>
      </c>
      <c r="R47">
        <v>1.8094539082E-2</v>
      </c>
      <c r="T47">
        <v>18435</v>
      </c>
    </row>
    <row r="48" spans="1:22" x14ac:dyDescent="0.25">
      <c r="A48">
        <v>23633</v>
      </c>
      <c r="D48">
        <v>1.9650455002666999E-2</v>
      </c>
      <c r="F48">
        <v>18430</v>
      </c>
      <c r="H48">
        <v>18444</v>
      </c>
      <c r="J48">
        <v>1.8094547175E-2</v>
      </c>
      <c r="L48">
        <v>1</v>
      </c>
      <c r="N48">
        <v>4.8586306189999998E-2</v>
      </c>
      <c r="R48">
        <v>1.8094538394E-2</v>
      </c>
      <c r="T48">
        <v>18429</v>
      </c>
    </row>
    <row r="49" spans="1:20" x14ac:dyDescent="0.25">
      <c r="A49">
        <v>23718</v>
      </c>
      <c r="D49">
        <v>1.9650446740666998E-2</v>
      </c>
      <c r="F49">
        <v>18420</v>
      </c>
      <c r="H49">
        <v>18437</v>
      </c>
      <c r="J49">
        <v>1.8094536322000001E-2</v>
      </c>
      <c r="L49">
        <v>1</v>
      </c>
      <c r="N49">
        <v>4.8586298573000002E-2</v>
      </c>
      <c r="R49">
        <v>1.8094536322000001E-2</v>
      </c>
      <c r="T49">
        <v>18426</v>
      </c>
    </row>
    <row r="50" spans="1:20" x14ac:dyDescent="0.25">
      <c r="A50">
        <v>23585</v>
      </c>
      <c r="D50">
        <v>1.9650476900666999E-2</v>
      </c>
      <c r="F50">
        <v>18418</v>
      </c>
      <c r="H50">
        <v>18434</v>
      </c>
      <c r="J50">
        <v>1.8094538394E-2</v>
      </c>
      <c r="L50">
        <v>1</v>
      </c>
      <c r="N50">
        <v>4.8586293384000001E-2</v>
      </c>
      <c r="R50">
        <v>1.8094536118E-2</v>
      </c>
      <c r="T50">
        <v>18424</v>
      </c>
    </row>
    <row r="51" spans="1:20" x14ac:dyDescent="0.25">
      <c r="A51">
        <v>23577</v>
      </c>
      <c r="D51">
        <v>1.9650468384667E-2</v>
      </c>
      <c r="F51">
        <v>18416</v>
      </c>
      <c r="H51">
        <v>18431</v>
      </c>
      <c r="L51">
        <v>0</v>
      </c>
      <c r="N51">
        <v>4.858629213E-2</v>
      </c>
      <c r="R51">
        <v>1.8094534214000001E-2</v>
      </c>
      <c r="T51">
        <v>18422</v>
      </c>
    </row>
    <row r="52" spans="1:20" x14ac:dyDescent="0.25">
      <c r="F52">
        <v>18416</v>
      </c>
      <c r="H52">
        <v>18430</v>
      </c>
      <c r="L52">
        <v>0</v>
      </c>
      <c r="N52">
        <v>0</v>
      </c>
      <c r="R52">
        <v>1.8094532173E-2</v>
      </c>
      <c r="T52">
        <v>18418</v>
      </c>
    </row>
    <row r="53" spans="1:20" x14ac:dyDescent="0.25">
      <c r="F53">
        <v>18413</v>
      </c>
      <c r="H53">
        <v>18430</v>
      </c>
      <c r="N53">
        <v>0</v>
      </c>
      <c r="R53">
        <v>1.8094518819999999E-2</v>
      </c>
      <c r="T53">
        <v>18409</v>
      </c>
    </row>
    <row r="54" spans="1:20" x14ac:dyDescent="0.25">
      <c r="H54">
        <v>18420</v>
      </c>
      <c r="J54" t="s">
        <v>17</v>
      </c>
      <c r="M54">
        <f>SUM(J55:J74)</f>
        <v>368953</v>
      </c>
    </row>
    <row r="55" spans="1:20" x14ac:dyDescent="0.25">
      <c r="H55">
        <v>18418</v>
      </c>
      <c r="J55">
        <v>18481</v>
      </c>
    </row>
    <row r="56" spans="1:20" x14ac:dyDescent="0.25">
      <c r="D56" t="s">
        <v>17</v>
      </c>
      <c r="H56">
        <v>18416</v>
      </c>
      <c r="J56">
        <v>18478</v>
      </c>
      <c r="N56">
        <f>SUM(K57:K76)</f>
        <v>47030</v>
      </c>
    </row>
    <row r="57" spans="1:20" x14ac:dyDescent="0.25">
      <c r="D57">
        <v>23721</v>
      </c>
      <c r="H57">
        <v>18416</v>
      </c>
      <c r="J57">
        <v>18477</v>
      </c>
      <c r="S57">
        <f>AVERAGE(R34:R53)</f>
        <v>1.8094548745599997E-2</v>
      </c>
    </row>
    <row r="58" spans="1:20" x14ac:dyDescent="0.25">
      <c r="D58">
        <v>23720</v>
      </c>
      <c r="H58">
        <v>18413</v>
      </c>
      <c r="J58">
        <v>18474</v>
      </c>
    </row>
    <row r="59" spans="1:20" x14ac:dyDescent="0.25">
      <c r="D59">
        <v>23693</v>
      </c>
      <c r="J59">
        <v>18471</v>
      </c>
    </row>
    <row r="60" spans="1:20" x14ac:dyDescent="0.25">
      <c r="A60" t="s">
        <v>17</v>
      </c>
      <c r="B60">
        <f>AVERAGE(A61:A80)</f>
        <v>1.8094548745599997E-2</v>
      </c>
      <c r="D60">
        <v>23668</v>
      </c>
      <c r="J60">
        <v>18470</v>
      </c>
    </row>
    <row r="61" spans="1:20" x14ac:dyDescent="0.25">
      <c r="A61">
        <v>1.8094590051E-2</v>
      </c>
      <c r="D61">
        <v>23664</v>
      </c>
      <c r="G61" t="s">
        <v>17</v>
      </c>
      <c r="J61">
        <v>18461</v>
      </c>
    </row>
    <row r="62" spans="1:20" x14ac:dyDescent="0.25">
      <c r="A62">
        <v>1.8094585715E-2</v>
      </c>
      <c r="D62">
        <v>23654</v>
      </c>
      <c r="G62">
        <v>18481</v>
      </c>
      <c r="J62">
        <v>18456</v>
      </c>
    </row>
    <row r="63" spans="1:20" x14ac:dyDescent="0.25">
      <c r="A63">
        <v>1.8094584843999999E-2</v>
      </c>
      <c r="D63">
        <v>23652</v>
      </c>
      <c r="G63">
        <v>18478</v>
      </c>
      <c r="J63">
        <v>18450</v>
      </c>
    </row>
    <row r="64" spans="1:20" x14ac:dyDescent="0.25">
      <c r="A64">
        <v>1.8094555589E-2</v>
      </c>
      <c r="D64">
        <v>23636</v>
      </c>
      <c r="G64">
        <v>18477</v>
      </c>
      <c r="J64">
        <v>18448</v>
      </c>
      <c r="M64" t="s">
        <v>17</v>
      </c>
      <c r="P64">
        <f>SUM(M65:M84)</f>
        <v>258953</v>
      </c>
    </row>
    <row r="65" spans="1:19" x14ac:dyDescent="0.25">
      <c r="A65">
        <v>1.8094553691E-2</v>
      </c>
      <c r="D65">
        <v>23632</v>
      </c>
      <c r="G65">
        <v>18474</v>
      </c>
      <c r="J65">
        <v>18444</v>
      </c>
      <c r="M65">
        <v>12981</v>
      </c>
      <c r="S65">
        <f>SUM(S68:S87)</f>
        <v>258950</v>
      </c>
    </row>
    <row r="66" spans="1:19" x14ac:dyDescent="0.25">
      <c r="A66">
        <v>1.8094553467999999E-2</v>
      </c>
      <c r="D66">
        <v>23630</v>
      </c>
      <c r="G66">
        <v>18471</v>
      </c>
      <c r="J66">
        <v>18442</v>
      </c>
      <c r="M66">
        <v>12978</v>
      </c>
    </row>
    <row r="67" spans="1:19" x14ac:dyDescent="0.25">
      <c r="A67">
        <v>1.8094553138999998E-2</v>
      </c>
      <c r="D67">
        <v>23623</v>
      </c>
      <c r="G67">
        <v>18470</v>
      </c>
      <c r="J67">
        <v>18438</v>
      </c>
      <c r="M67">
        <v>12977</v>
      </c>
      <c r="S67" t="s">
        <v>17</v>
      </c>
    </row>
    <row r="68" spans="1:19" x14ac:dyDescent="0.25">
      <c r="A68">
        <v>1.8094550208E-2</v>
      </c>
      <c r="D68">
        <v>23599</v>
      </c>
      <c r="G68">
        <v>18461</v>
      </c>
      <c r="J68">
        <v>18435</v>
      </c>
      <c r="M68">
        <v>12974</v>
      </c>
      <c r="P68" t="s">
        <v>17</v>
      </c>
      <c r="Q68">
        <f>SUM(P69:P88)</f>
        <v>258930</v>
      </c>
      <c r="S68">
        <v>12980</v>
      </c>
    </row>
    <row r="69" spans="1:19" x14ac:dyDescent="0.25">
      <c r="A69">
        <v>1.8094547175E-2</v>
      </c>
      <c r="D69">
        <v>23594</v>
      </c>
      <c r="G69">
        <v>18456</v>
      </c>
      <c r="J69">
        <v>18429</v>
      </c>
      <c r="M69">
        <v>12971</v>
      </c>
      <c r="P69">
        <v>12987</v>
      </c>
      <c r="S69">
        <v>12980</v>
      </c>
    </row>
    <row r="70" spans="1:19" x14ac:dyDescent="0.25">
      <c r="A70">
        <v>1.8094542471000001E-2</v>
      </c>
      <c r="D70">
        <v>23565</v>
      </c>
      <c r="G70">
        <v>18450</v>
      </c>
      <c r="J70">
        <v>18426</v>
      </c>
      <c r="M70">
        <v>12970</v>
      </c>
      <c r="P70">
        <v>12985</v>
      </c>
      <c r="S70">
        <v>12977</v>
      </c>
    </row>
    <row r="71" spans="1:19" x14ac:dyDescent="0.25">
      <c r="A71">
        <v>1.8094542006999999E-2</v>
      </c>
      <c r="D71">
        <v>23564</v>
      </c>
      <c r="G71">
        <v>18448</v>
      </c>
      <c r="J71">
        <v>18424</v>
      </c>
      <c r="M71">
        <v>12961</v>
      </c>
      <c r="P71">
        <v>12982</v>
      </c>
      <c r="S71">
        <v>12975</v>
      </c>
    </row>
    <row r="72" spans="1:19" x14ac:dyDescent="0.25">
      <c r="A72">
        <v>1.8094541658E-2</v>
      </c>
      <c r="D72">
        <v>23555</v>
      </c>
      <c r="G72">
        <v>18444</v>
      </c>
      <c r="J72">
        <v>18422</v>
      </c>
      <c r="M72">
        <v>12956</v>
      </c>
      <c r="P72">
        <v>12978</v>
      </c>
      <c r="S72">
        <v>12974</v>
      </c>
    </row>
    <row r="73" spans="1:19" x14ac:dyDescent="0.25">
      <c r="A73">
        <v>1.8094539773000001E-2</v>
      </c>
      <c r="D73">
        <v>23548</v>
      </c>
      <c r="G73">
        <v>18442</v>
      </c>
      <c r="J73">
        <v>18418</v>
      </c>
      <c r="M73">
        <v>12950</v>
      </c>
      <c r="P73">
        <v>12973</v>
      </c>
      <c r="S73">
        <v>12971</v>
      </c>
    </row>
    <row r="74" spans="1:19" x14ac:dyDescent="0.25">
      <c r="A74">
        <v>1.8094539082E-2</v>
      </c>
      <c r="D74">
        <v>23543</v>
      </c>
      <c r="G74">
        <v>18438</v>
      </c>
      <c r="J74">
        <v>18409</v>
      </c>
      <c r="M74">
        <v>12948</v>
      </c>
      <c r="P74">
        <v>12966</v>
      </c>
      <c r="S74">
        <v>12965</v>
      </c>
    </row>
    <row r="75" spans="1:19" x14ac:dyDescent="0.25">
      <c r="A75">
        <v>1.8094538394E-2</v>
      </c>
      <c r="D75">
        <v>23542</v>
      </c>
      <c r="G75">
        <v>18435</v>
      </c>
      <c r="K75">
        <v>23517</v>
      </c>
      <c r="M75">
        <v>12944</v>
      </c>
      <c r="P75">
        <v>12964</v>
      </c>
      <c r="S75">
        <v>12957</v>
      </c>
    </row>
    <row r="76" spans="1:19" x14ac:dyDescent="0.25">
      <c r="A76">
        <v>1.8094536322000001E-2</v>
      </c>
      <c r="D76">
        <v>23525</v>
      </c>
      <c r="G76">
        <v>18429</v>
      </c>
      <c r="K76">
        <v>23513</v>
      </c>
      <c r="M76">
        <v>12942</v>
      </c>
      <c r="P76">
        <v>12953</v>
      </c>
      <c r="S76">
        <v>12948</v>
      </c>
    </row>
    <row r="77" spans="1:19" x14ac:dyDescent="0.25">
      <c r="A77">
        <v>1.8094536118E-2</v>
      </c>
      <c r="G77">
        <v>18426</v>
      </c>
      <c r="M77">
        <v>12938</v>
      </c>
      <c r="P77">
        <v>12953</v>
      </c>
      <c r="S77">
        <v>12946</v>
      </c>
    </row>
    <row r="78" spans="1:19" x14ac:dyDescent="0.25">
      <c r="A78">
        <v>1.8094534214000001E-2</v>
      </c>
      <c r="G78">
        <v>18424</v>
      </c>
      <c r="M78">
        <v>12935</v>
      </c>
      <c r="P78">
        <v>12944</v>
      </c>
      <c r="S78">
        <v>12945</v>
      </c>
    </row>
    <row r="79" spans="1:19" x14ac:dyDescent="0.25">
      <c r="A79">
        <v>1.8094532173E-2</v>
      </c>
      <c r="G79">
        <v>18422</v>
      </c>
      <c r="M79">
        <v>12929</v>
      </c>
      <c r="P79">
        <v>12937</v>
      </c>
      <c r="S79">
        <v>12940</v>
      </c>
    </row>
    <row r="80" spans="1:19" x14ac:dyDescent="0.25">
      <c r="A80">
        <v>1.8094518819999999E-2</v>
      </c>
      <c r="G80">
        <v>18418</v>
      </c>
      <c r="M80">
        <v>12926</v>
      </c>
      <c r="P80">
        <v>12934</v>
      </c>
      <c r="S80">
        <v>12939</v>
      </c>
    </row>
    <row r="81" spans="4:19" x14ac:dyDescent="0.25">
      <c r="G81">
        <v>18409</v>
      </c>
      <c r="I81" t="s">
        <v>17</v>
      </c>
      <c r="K81">
        <f>AVERAGE(I82:I101)</f>
        <v>0.9</v>
      </c>
      <c r="M81">
        <v>12924</v>
      </c>
      <c r="P81">
        <v>12931</v>
      </c>
      <c r="S81">
        <v>12935</v>
      </c>
    </row>
    <row r="82" spans="4:19" x14ac:dyDescent="0.25">
      <c r="I82">
        <v>1</v>
      </c>
      <c r="M82">
        <v>12922</v>
      </c>
      <c r="P82">
        <v>12930</v>
      </c>
      <c r="S82">
        <v>12932</v>
      </c>
    </row>
    <row r="83" spans="4:19" x14ac:dyDescent="0.25">
      <c r="I83">
        <v>1</v>
      </c>
      <c r="M83">
        <v>12918</v>
      </c>
      <c r="P83">
        <v>12930</v>
      </c>
      <c r="S83">
        <v>12931</v>
      </c>
    </row>
    <row r="84" spans="4:19" x14ac:dyDescent="0.25">
      <c r="I84">
        <v>1</v>
      </c>
      <c r="M84">
        <v>12909</v>
      </c>
      <c r="P84">
        <v>12920</v>
      </c>
      <c r="S84">
        <v>12921</v>
      </c>
    </row>
    <row r="85" spans="4:19" x14ac:dyDescent="0.25">
      <c r="I85">
        <v>1</v>
      </c>
      <c r="P85">
        <v>12918</v>
      </c>
      <c r="S85">
        <v>12919</v>
      </c>
    </row>
    <row r="86" spans="4:19" x14ac:dyDescent="0.25">
      <c r="I86">
        <v>1</v>
      </c>
      <c r="P86">
        <v>12916</v>
      </c>
      <c r="S86">
        <v>12914</v>
      </c>
    </row>
    <row r="87" spans="4:19" x14ac:dyDescent="0.25">
      <c r="I87">
        <v>1</v>
      </c>
      <c r="P87">
        <v>12916</v>
      </c>
      <c r="S87">
        <v>12901</v>
      </c>
    </row>
    <row r="88" spans="4:19" x14ac:dyDescent="0.25">
      <c r="D88">
        <f>SUM(E88:E107)</f>
        <v>472374</v>
      </c>
      <c r="E88" s="31">
        <v>23545</v>
      </c>
      <c r="I88">
        <v>1</v>
      </c>
      <c r="P88">
        <v>12913</v>
      </c>
    </row>
    <row r="89" spans="4:19" x14ac:dyDescent="0.25">
      <c r="E89" s="31">
        <v>23608</v>
      </c>
      <c r="I89">
        <v>1</v>
      </c>
      <c r="K89" t="s">
        <v>17</v>
      </c>
      <c r="N89">
        <f>SUM(K90:K109)</f>
        <v>258938</v>
      </c>
    </row>
    <row r="90" spans="4:19" x14ac:dyDescent="0.25">
      <c r="E90" s="31">
        <v>23573</v>
      </c>
      <c r="I90">
        <v>1</v>
      </c>
      <c r="K90">
        <v>12989</v>
      </c>
    </row>
    <row r="91" spans="4:19" x14ac:dyDescent="0.25">
      <c r="E91" s="31">
        <v>23563</v>
      </c>
      <c r="I91">
        <v>1</v>
      </c>
      <c r="K91">
        <v>12988</v>
      </c>
    </row>
    <row r="92" spans="4:19" x14ac:dyDescent="0.25">
      <c r="E92" s="31">
        <v>23595</v>
      </c>
      <c r="I92">
        <v>1</v>
      </c>
      <c r="K92">
        <v>12978</v>
      </c>
    </row>
    <row r="93" spans="4:19" x14ac:dyDescent="0.25">
      <c r="E93" s="31">
        <v>23605</v>
      </c>
      <c r="I93">
        <v>1</v>
      </c>
      <c r="K93">
        <v>12967</v>
      </c>
    </row>
    <row r="94" spans="4:19" x14ac:dyDescent="0.25">
      <c r="E94" s="31">
        <v>23555</v>
      </c>
      <c r="I94">
        <v>1</v>
      </c>
      <c r="K94">
        <v>12966</v>
      </c>
    </row>
    <row r="95" spans="4:19" x14ac:dyDescent="0.25">
      <c r="E95" s="31">
        <v>23702</v>
      </c>
      <c r="I95">
        <v>1</v>
      </c>
      <c r="K95">
        <v>12962</v>
      </c>
    </row>
    <row r="96" spans="4:19" x14ac:dyDescent="0.25">
      <c r="E96" s="31">
        <v>23619</v>
      </c>
      <c r="I96">
        <v>1</v>
      </c>
      <c r="K96">
        <v>12961</v>
      </c>
    </row>
    <row r="97" spans="5:11" x14ac:dyDescent="0.25">
      <c r="E97" s="31">
        <v>23684</v>
      </c>
      <c r="I97">
        <v>1</v>
      </c>
      <c r="K97">
        <v>12955</v>
      </c>
    </row>
    <row r="98" spans="5:11" x14ac:dyDescent="0.25">
      <c r="E98" s="31">
        <v>23560</v>
      </c>
      <c r="I98">
        <v>1</v>
      </c>
      <c r="K98">
        <v>12953</v>
      </c>
    </row>
    <row r="99" spans="5:11" x14ac:dyDescent="0.25">
      <c r="E99" s="31">
        <v>23677</v>
      </c>
      <c r="I99">
        <v>1</v>
      </c>
      <c r="K99">
        <v>12952</v>
      </c>
    </row>
    <row r="100" spans="5:11" x14ac:dyDescent="0.25">
      <c r="E100" s="31">
        <v>23695</v>
      </c>
      <c r="I100">
        <v>0</v>
      </c>
      <c r="K100">
        <v>12950</v>
      </c>
    </row>
    <row r="101" spans="5:11" x14ac:dyDescent="0.25">
      <c r="E101" s="31">
        <v>23653</v>
      </c>
      <c r="I101">
        <v>0</v>
      </c>
      <c r="K101">
        <v>12940</v>
      </c>
    </row>
    <row r="102" spans="5:11" x14ac:dyDescent="0.25">
      <c r="E102" s="31">
        <v>23692</v>
      </c>
      <c r="K102">
        <v>12938</v>
      </c>
    </row>
    <row r="103" spans="5:11" x14ac:dyDescent="0.25">
      <c r="E103" s="31">
        <v>23675</v>
      </c>
      <c r="K103">
        <v>12926</v>
      </c>
    </row>
    <row r="104" spans="5:11" x14ac:dyDescent="0.25">
      <c r="E104" s="31">
        <v>23639</v>
      </c>
      <c r="K104">
        <v>12926</v>
      </c>
    </row>
    <row r="105" spans="5:11" x14ac:dyDescent="0.25">
      <c r="E105" s="31">
        <v>23522</v>
      </c>
      <c r="K105">
        <v>12922</v>
      </c>
    </row>
    <row r="106" spans="5:11" x14ac:dyDescent="0.25">
      <c r="E106" s="31">
        <v>23624</v>
      </c>
      <c r="K106">
        <v>12920</v>
      </c>
    </row>
    <row r="107" spans="5:11" x14ac:dyDescent="0.25">
      <c r="E107" s="31">
        <v>23588</v>
      </c>
      <c r="K107">
        <v>12918</v>
      </c>
    </row>
    <row r="108" spans="5:11" x14ac:dyDescent="0.25">
      <c r="K108">
        <v>12917</v>
      </c>
    </row>
    <row r="109" spans="5:11" x14ac:dyDescent="0.25">
      <c r="K109">
        <v>12910</v>
      </c>
    </row>
  </sheetData>
  <mergeCells count="5">
    <mergeCell ref="A3:A8"/>
    <mergeCell ref="A18:A20"/>
    <mergeCell ref="A15:A17"/>
    <mergeCell ref="A9:A14"/>
    <mergeCell ref="A21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7"/>
  <sheetViews>
    <sheetView topLeftCell="A9" workbookViewId="0">
      <selection activeCell="B29" sqref="B29"/>
    </sheetView>
  </sheetViews>
  <sheetFormatPr baseColWidth="10" defaultRowHeight="15" x14ac:dyDescent="0.25"/>
  <sheetData>
    <row r="7" spans="6:8" x14ac:dyDescent="0.25">
      <c r="F7" t="s">
        <v>17</v>
      </c>
    </row>
    <row r="8" spans="6:8" x14ac:dyDescent="0.25">
      <c r="F8">
        <v>12987</v>
      </c>
      <c r="H8">
        <f>SUM(F8:F27)</f>
        <v>259006</v>
      </c>
    </row>
    <row r="9" spans="6:8" x14ac:dyDescent="0.25">
      <c r="F9">
        <v>12987</v>
      </c>
    </row>
    <row r="10" spans="6:8" x14ac:dyDescent="0.25">
      <c r="F10">
        <v>12985</v>
      </c>
    </row>
    <row r="11" spans="6:8" x14ac:dyDescent="0.25">
      <c r="F11">
        <v>12975</v>
      </c>
    </row>
    <row r="12" spans="6:8" x14ac:dyDescent="0.25">
      <c r="F12">
        <v>12974</v>
      </c>
    </row>
    <row r="13" spans="6:8" x14ac:dyDescent="0.25">
      <c r="F13">
        <v>12971</v>
      </c>
    </row>
    <row r="14" spans="6:8" x14ac:dyDescent="0.25">
      <c r="F14">
        <v>12970</v>
      </c>
    </row>
    <row r="15" spans="6:8" x14ac:dyDescent="0.25">
      <c r="F15">
        <v>12969</v>
      </c>
    </row>
    <row r="16" spans="6:8" x14ac:dyDescent="0.25">
      <c r="F16">
        <v>12967</v>
      </c>
    </row>
    <row r="17" spans="6:6" x14ac:dyDescent="0.25">
      <c r="F17">
        <v>12962</v>
      </c>
    </row>
    <row r="18" spans="6:6" x14ac:dyDescent="0.25">
      <c r="F18">
        <v>12957</v>
      </c>
    </row>
    <row r="19" spans="6:6" x14ac:dyDescent="0.25">
      <c r="F19">
        <v>12951</v>
      </c>
    </row>
    <row r="20" spans="6:6" x14ac:dyDescent="0.25">
      <c r="F20">
        <v>12950</v>
      </c>
    </row>
    <row r="21" spans="6:6" x14ac:dyDescent="0.25">
      <c r="F21">
        <v>12934</v>
      </c>
    </row>
    <row r="22" spans="6:6" x14ac:dyDescent="0.25">
      <c r="F22">
        <v>12915</v>
      </c>
    </row>
    <row r="23" spans="6:6" x14ac:dyDescent="0.25">
      <c r="F23">
        <v>12915</v>
      </c>
    </row>
    <row r="24" spans="6:6" x14ac:dyDescent="0.25">
      <c r="F24">
        <v>12913</v>
      </c>
    </row>
    <row r="25" spans="6:6" x14ac:dyDescent="0.25">
      <c r="F25">
        <v>12912</v>
      </c>
    </row>
    <row r="26" spans="6:6" x14ac:dyDescent="0.25">
      <c r="F26">
        <v>12907</v>
      </c>
    </row>
    <row r="27" spans="6:6" x14ac:dyDescent="0.25">
      <c r="F27">
        <v>12905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"/>
  <sheetViews>
    <sheetView topLeftCell="A38" zoomScaleNormal="100" workbookViewId="0">
      <selection activeCell="P4" sqref="P4"/>
    </sheetView>
  </sheetViews>
  <sheetFormatPr baseColWidth="10" defaultRowHeight="15" x14ac:dyDescent="0.25"/>
  <sheetData>
    <row r="1" spans="2:33" x14ac:dyDescent="0.25">
      <c r="X1" s="105" t="s">
        <v>35</v>
      </c>
      <c r="Y1" s="105"/>
      <c r="Z1" s="105"/>
      <c r="AA1" s="105"/>
      <c r="AB1" s="105"/>
      <c r="AC1" s="105"/>
      <c r="AD1" s="105"/>
      <c r="AE1" s="105"/>
      <c r="AF1" s="105"/>
      <c r="AG1" s="105"/>
    </row>
    <row r="2" spans="2:33" x14ac:dyDescent="0.25">
      <c r="X2" s="105" t="s">
        <v>33</v>
      </c>
      <c r="Y2" s="105"/>
      <c r="Z2" s="105"/>
      <c r="AA2" s="105"/>
      <c r="AB2" s="105"/>
      <c r="AC2" s="105"/>
      <c r="AD2" s="105"/>
      <c r="AE2" s="105"/>
      <c r="AF2" s="105"/>
      <c r="AG2" s="105"/>
    </row>
    <row r="3" spans="2:33" x14ac:dyDescent="0.25">
      <c r="X3" s="105"/>
      <c r="Y3" s="105"/>
      <c r="Z3" s="105"/>
      <c r="AA3" s="105"/>
      <c r="AB3" s="105"/>
      <c r="AC3" s="105"/>
      <c r="AD3" s="105"/>
      <c r="AE3" s="105"/>
      <c r="AF3" s="105"/>
      <c r="AG3" s="105"/>
    </row>
    <row r="4" spans="2:33" ht="15.75" thickBot="1" x14ac:dyDescent="0.3">
      <c r="X4" s="105" t="s">
        <v>36</v>
      </c>
      <c r="Y4" s="105"/>
      <c r="Z4" s="105"/>
      <c r="AA4" s="105"/>
      <c r="AB4" s="105"/>
      <c r="AC4" s="105"/>
      <c r="AD4" s="105"/>
      <c r="AE4" s="105"/>
      <c r="AF4" s="105"/>
      <c r="AG4" s="105"/>
    </row>
    <row r="5" spans="2:33" ht="21" customHeight="1" x14ac:dyDescent="0.25">
      <c r="C5" s="25"/>
      <c r="D5" s="146" t="s">
        <v>23</v>
      </c>
      <c r="E5" s="147"/>
      <c r="L5" s="25"/>
      <c r="M5" s="146" t="s">
        <v>42</v>
      </c>
      <c r="N5" s="147"/>
      <c r="R5" s="103"/>
      <c r="S5" s="103"/>
      <c r="X5" s="105" t="s">
        <v>34</v>
      </c>
      <c r="Y5" s="105"/>
      <c r="Z5" s="105"/>
      <c r="AA5" s="105"/>
      <c r="AB5" s="105"/>
      <c r="AC5" s="105"/>
      <c r="AD5" s="105"/>
      <c r="AE5" s="105"/>
      <c r="AF5" s="105"/>
      <c r="AG5" s="105"/>
    </row>
    <row r="6" spans="2:33" ht="15.75" customHeight="1" thickBot="1" x14ac:dyDescent="0.3">
      <c r="C6" s="26" t="s">
        <v>26</v>
      </c>
      <c r="D6" s="2" t="s">
        <v>24</v>
      </c>
      <c r="E6" s="27" t="s">
        <v>25</v>
      </c>
      <c r="L6" s="26" t="s">
        <v>26</v>
      </c>
      <c r="M6" s="2" t="s">
        <v>24</v>
      </c>
      <c r="N6" s="27" t="s">
        <v>25</v>
      </c>
      <c r="R6" s="103"/>
      <c r="S6" s="103"/>
    </row>
    <row r="7" spans="2:33" ht="15.75" customHeight="1" x14ac:dyDescent="0.25">
      <c r="C7" s="1">
        <v>300</v>
      </c>
      <c r="D7" s="97">
        <f>C20</f>
        <v>0.41</v>
      </c>
      <c r="E7" s="99"/>
      <c r="L7" s="1">
        <v>300</v>
      </c>
      <c r="M7" s="97">
        <f>M21</f>
        <v>0.37220569815911164</v>
      </c>
      <c r="N7" s="99"/>
      <c r="R7" s="104"/>
      <c r="S7" s="104"/>
      <c r="V7" s="25"/>
      <c r="W7" s="146" t="s">
        <v>45</v>
      </c>
      <c r="X7" s="147"/>
      <c r="AB7" s="103"/>
      <c r="AC7" s="103"/>
    </row>
    <row r="8" spans="2:33" ht="21" x14ac:dyDescent="0.25">
      <c r="C8" s="1">
        <v>600</v>
      </c>
      <c r="D8" s="97">
        <f>C27</f>
        <v>0.51333333333333331</v>
      </c>
      <c r="E8" s="100"/>
      <c r="L8" s="1">
        <v>600</v>
      </c>
      <c r="M8" s="97">
        <f>M28</f>
        <v>0.45556390462788904</v>
      </c>
      <c r="N8" s="100"/>
      <c r="R8" s="104"/>
      <c r="S8" s="104"/>
      <c r="V8" s="26" t="s">
        <v>26</v>
      </c>
      <c r="W8" s="2" t="s">
        <v>24</v>
      </c>
      <c r="X8" s="27" t="s">
        <v>25</v>
      </c>
      <c r="AB8" s="103"/>
      <c r="AC8" s="103"/>
    </row>
    <row r="9" spans="2:33" ht="15.75" thickBot="1" x14ac:dyDescent="0.3">
      <c r="C9" s="3">
        <v>1800</v>
      </c>
      <c r="D9" s="98">
        <f>C34</f>
        <v>0.51</v>
      </c>
      <c r="E9" s="101"/>
      <c r="L9" s="3">
        <v>1800</v>
      </c>
      <c r="M9" s="98">
        <f>M35</f>
        <v>0.45456256932373529</v>
      </c>
      <c r="N9" s="101"/>
      <c r="R9" s="102"/>
      <c r="S9" s="102"/>
      <c r="V9" s="1">
        <v>300</v>
      </c>
      <c r="W9" s="97">
        <f>W23</f>
        <v>0.5</v>
      </c>
      <c r="X9" s="99"/>
      <c r="AB9" s="104"/>
      <c r="AC9" s="104"/>
    </row>
    <row r="10" spans="2:33" ht="15.75" thickBot="1" x14ac:dyDescent="0.3">
      <c r="R10" s="102"/>
      <c r="S10" s="102"/>
      <c r="V10" s="1">
        <v>600</v>
      </c>
      <c r="W10" s="97">
        <f>W30</f>
        <v>0.19</v>
      </c>
      <c r="X10" s="100"/>
      <c r="AB10" s="104"/>
      <c r="AC10" s="104"/>
    </row>
    <row r="11" spans="2:33" ht="15.75" thickBot="1" x14ac:dyDescent="0.3">
      <c r="B11" s="148" t="s">
        <v>49</v>
      </c>
      <c r="C11" s="149"/>
      <c r="R11" s="102"/>
      <c r="S11" s="102"/>
      <c r="V11" s="3">
        <v>1800</v>
      </c>
      <c r="W11" s="98">
        <f>W37</f>
        <v>0.32666666666666661</v>
      </c>
      <c r="X11" s="101"/>
      <c r="AB11" s="102"/>
      <c r="AC11" s="102"/>
    </row>
    <row r="12" spans="2:33" ht="15.75" thickBot="1" x14ac:dyDescent="0.3">
      <c r="B12" s="150"/>
      <c r="C12" s="151"/>
      <c r="L12" s="148" t="s">
        <v>50</v>
      </c>
      <c r="M12" s="149"/>
      <c r="R12" s="102"/>
      <c r="S12" s="102"/>
      <c r="AB12" s="102"/>
      <c r="AC12" s="102"/>
    </row>
    <row r="13" spans="2:33" ht="15.75" thickBot="1" x14ac:dyDescent="0.3">
      <c r="B13" s="152"/>
      <c r="C13" s="153"/>
      <c r="L13" s="150"/>
      <c r="M13" s="151"/>
      <c r="R13" s="102"/>
      <c r="S13" s="102"/>
      <c r="AB13" s="102"/>
      <c r="AC13" s="102"/>
    </row>
    <row r="14" spans="2:33" ht="15.75" thickBot="1" x14ac:dyDescent="0.3">
      <c r="B14" s="154">
        <v>300</v>
      </c>
      <c r="C14" s="155"/>
      <c r="L14" s="152"/>
      <c r="M14" s="153"/>
      <c r="R14" s="102"/>
      <c r="S14" s="102"/>
      <c r="V14" s="148" t="s">
        <v>51</v>
      </c>
      <c r="W14" s="149"/>
      <c r="AB14" s="102"/>
      <c r="AC14" s="102"/>
    </row>
    <row r="15" spans="2:33" ht="15.75" thickBot="1" x14ac:dyDescent="0.3">
      <c r="B15" s="4" t="s">
        <v>27</v>
      </c>
      <c r="C15" s="95">
        <f>PLC!J9</f>
        <v>0.27500000000000002</v>
      </c>
      <c r="L15" s="154">
        <v>0.04</v>
      </c>
      <c r="M15" s="155"/>
      <c r="R15" s="104"/>
      <c r="S15" s="104"/>
      <c r="V15" s="150"/>
      <c r="W15" s="151"/>
      <c r="AB15" s="102"/>
      <c r="AC15" s="102"/>
    </row>
    <row r="16" spans="2:33" ht="15.75" thickBot="1" x14ac:dyDescent="0.3">
      <c r="B16" s="4" t="s">
        <v>28</v>
      </c>
      <c r="C16" s="95">
        <f>PLC!J10</f>
        <v>0.28749999999999998</v>
      </c>
      <c r="L16" s="4" t="s">
        <v>27</v>
      </c>
      <c r="M16" s="95">
        <f>PLC!M9</f>
        <v>0.21765162951310449</v>
      </c>
      <c r="R16" s="102"/>
      <c r="S16" s="102"/>
      <c r="V16" s="152"/>
      <c r="W16" s="153"/>
      <c r="AB16" s="102"/>
      <c r="AC16" s="102"/>
    </row>
    <row r="17" spans="2:29" ht="15.75" thickBot="1" x14ac:dyDescent="0.3">
      <c r="B17" s="4" t="s">
        <v>29</v>
      </c>
      <c r="C17" s="95">
        <f>PLC!J11</f>
        <v>0.26250000000000001</v>
      </c>
      <c r="L17" s="4" t="s">
        <v>28</v>
      </c>
      <c r="M17" s="95">
        <f>PLC!M10</f>
        <v>0.21744174967976879</v>
      </c>
      <c r="R17" s="102"/>
      <c r="S17" s="102"/>
      <c r="V17" s="154" t="s">
        <v>46</v>
      </c>
      <c r="W17" s="155"/>
      <c r="AB17" s="104"/>
      <c r="AC17" s="104"/>
    </row>
    <row r="18" spans="2:29" x14ac:dyDescent="0.25">
      <c r="B18" s="4" t="s">
        <v>37</v>
      </c>
      <c r="C18" s="95">
        <f>PLC!J12</f>
        <v>0.23749999999999999</v>
      </c>
      <c r="L18" s="4" t="s">
        <v>29</v>
      </c>
      <c r="M18" s="95">
        <f>PLC!M11</f>
        <v>0.21724945376941449</v>
      </c>
      <c r="R18" s="102"/>
      <c r="S18" s="102"/>
      <c r="V18" s="4" t="s">
        <v>27</v>
      </c>
      <c r="W18" s="95">
        <f>PLC!P9</f>
        <v>0.5</v>
      </c>
      <c r="AB18" s="102"/>
      <c r="AC18" s="102"/>
    </row>
    <row r="19" spans="2:29" x14ac:dyDescent="0.25">
      <c r="B19" s="34" t="s">
        <v>38</v>
      </c>
      <c r="C19" s="95">
        <f>PLC!J14</f>
        <v>0.98750000000000004</v>
      </c>
      <c r="L19" s="4" t="s">
        <v>37</v>
      </c>
      <c r="M19" s="95">
        <f>PLC!M12</f>
        <v>0.21683386243386243</v>
      </c>
      <c r="R19" s="102"/>
      <c r="S19" s="102"/>
      <c r="V19" s="4" t="s">
        <v>28</v>
      </c>
      <c r="W19" s="95">
        <f>PLC!P10</f>
        <v>0.5</v>
      </c>
      <c r="AB19" s="102"/>
      <c r="AC19" s="102"/>
    </row>
    <row r="20" spans="2:29" ht="15.75" thickBot="1" x14ac:dyDescent="0.3">
      <c r="B20" s="5" t="s">
        <v>30</v>
      </c>
      <c r="C20" s="96">
        <f>AVERAGE(C15:C19)</f>
        <v>0.41</v>
      </c>
      <c r="L20" s="34" t="s">
        <v>38</v>
      </c>
      <c r="M20" s="95">
        <f>PLC!M14</f>
        <v>0.99185179539940804</v>
      </c>
      <c r="R20" s="102"/>
      <c r="S20" s="102"/>
      <c r="V20" s="4" t="s">
        <v>29</v>
      </c>
      <c r="W20" s="95">
        <f>PLC!P11</f>
        <v>0.5</v>
      </c>
      <c r="AB20" s="102"/>
      <c r="AC20" s="102"/>
    </row>
    <row r="21" spans="2:29" ht="15.75" thickBot="1" x14ac:dyDescent="0.3">
      <c r="B21" s="154">
        <v>600</v>
      </c>
      <c r="C21" s="155"/>
      <c r="L21" s="5" t="s">
        <v>30</v>
      </c>
      <c r="M21" s="96">
        <f>AVERAGE(M16:M20)</f>
        <v>0.37220569815911164</v>
      </c>
      <c r="R21" s="102"/>
      <c r="S21" s="102"/>
      <c r="V21" s="4" t="s">
        <v>37</v>
      </c>
      <c r="W21" s="95">
        <f>PLC!P12</f>
        <v>0</v>
      </c>
      <c r="AB21" s="102"/>
      <c r="AC21" s="102"/>
    </row>
    <row r="22" spans="2:29" ht="15.75" thickBot="1" x14ac:dyDescent="0.3">
      <c r="B22" s="4" t="s">
        <v>27</v>
      </c>
      <c r="C22" s="95">
        <f>PLC!J3</f>
        <v>0.6333333333333333</v>
      </c>
      <c r="L22" s="154" t="s">
        <v>43</v>
      </c>
      <c r="M22" s="155"/>
      <c r="R22" s="104"/>
      <c r="S22" s="104"/>
      <c r="V22" s="34" t="s">
        <v>38</v>
      </c>
      <c r="W22" s="95">
        <f>PLC!P14</f>
        <v>1</v>
      </c>
      <c r="AB22" s="102"/>
      <c r="AC22" s="102"/>
    </row>
    <row r="23" spans="2:29" ht="15.75" thickBot="1" x14ac:dyDescent="0.3">
      <c r="B23" s="4" t="s">
        <v>28</v>
      </c>
      <c r="C23" s="95">
        <f>PLC!J4</f>
        <v>0.4</v>
      </c>
      <c r="J23" s="156"/>
      <c r="K23" s="156"/>
      <c r="L23" s="4" t="s">
        <v>27</v>
      </c>
      <c r="M23" s="95">
        <f>PLC!M3</f>
        <v>0.46088121510698593</v>
      </c>
      <c r="R23" s="102"/>
      <c r="S23" s="102"/>
      <c r="V23" s="5" t="s">
        <v>30</v>
      </c>
      <c r="W23" s="96">
        <f>AVERAGE(W18:W22)</f>
        <v>0.5</v>
      </c>
      <c r="AB23" s="102"/>
      <c r="AC23" s="102"/>
    </row>
    <row r="24" spans="2:29" ht="15.75" thickBot="1" x14ac:dyDescent="0.3">
      <c r="B24" s="4" t="s">
        <v>29</v>
      </c>
      <c r="C24" s="95">
        <f>PLC!J5</f>
        <v>0.51666666666666672</v>
      </c>
      <c r="L24" s="4" t="s">
        <v>28</v>
      </c>
      <c r="M24" s="95">
        <f>PLC!M4</f>
        <v>0.45427548628515602</v>
      </c>
      <c r="R24" s="102"/>
      <c r="S24" s="102"/>
      <c r="V24" s="154" t="s">
        <v>47</v>
      </c>
      <c r="W24" s="155"/>
      <c r="AB24" s="104"/>
      <c r="AC24" s="104"/>
    </row>
    <row r="25" spans="2:29" x14ac:dyDescent="0.25">
      <c r="B25" s="4" t="s">
        <v>37</v>
      </c>
      <c r="C25" s="95">
        <f>PLC!J6</f>
        <v>0.58333333333333337</v>
      </c>
      <c r="J25" s="31"/>
      <c r="L25" s="4" t="s">
        <v>29</v>
      </c>
      <c r="M25" s="95">
        <f>PLC!M5</f>
        <v>0.45470204302321093</v>
      </c>
      <c r="R25" s="102"/>
      <c r="S25" s="102"/>
      <c r="V25" s="4" t="s">
        <v>27</v>
      </c>
      <c r="W25" s="95">
        <f>PLC!P3</f>
        <v>0</v>
      </c>
      <c r="AB25" s="102"/>
      <c r="AC25" s="102"/>
    </row>
    <row r="26" spans="2:29" x14ac:dyDescent="0.25">
      <c r="B26" s="34" t="s">
        <v>38</v>
      </c>
      <c r="C26" s="95">
        <f>PLC!J8</f>
        <v>0.43333333333333335</v>
      </c>
      <c r="L26" s="4" t="s">
        <v>37</v>
      </c>
      <c r="M26" s="95">
        <f>PLC!M6</f>
        <v>0.45432322842247536</v>
      </c>
      <c r="R26" s="102"/>
      <c r="S26" s="102"/>
      <c r="V26" s="4" t="s">
        <v>28</v>
      </c>
      <c r="W26" s="95">
        <f>PLC!P4</f>
        <v>0.5</v>
      </c>
      <c r="AB26" s="102"/>
      <c r="AC26" s="102"/>
    </row>
    <row r="27" spans="2:29" ht="15.75" thickBot="1" x14ac:dyDescent="0.3">
      <c r="B27" s="5" t="s">
        <v>30</v>
      </c>
      <c r="C27" s="96">
        <f>AVERAGE(C22:C26)</f>
        <v>0.51333333333333331</v>
      </c>
      <c r="L27" s="34" t="s">
        <v>38</v>
      </c>
      <c r="M27" s="95">
        <f>PLC!M8</f>
        <v>0.45363755030161662</v>
      </c>
      <c r="R27" s="102"/>
      <c r="S27" s="102"/>
      <c r="V27" s="4" t="s">
        <v>29</v>
      </c>
      <c r="W27" s="95">
        <f>PLC!P5</f>
        <v>0</v>
      </c>
      <c r="AB27" s="102"/>
      <c r="AC27" s="102"/>
    </row>
    <row r="28" spans="2:29" ht="15.75" thickBot="1" x14ac:dyDescent="0.3">
      <c r="B28" s="154">
        <v>1800</v>
      </c>
      <c r="C28" s="155"/>
      <c r="L28" s="5" t="s">
        <v>30</v>
      </c>
      <c r="M28" s="96">
        <f>AVERAGE(M23:M27)</f>
        <v>0.45556390462788904</v>
      </c>
      <c r="R28" s="102"/>
      <c r="S28" s="102"/>
      <c r="V28" s="4" t="s">
        <v>37</v>
      </c>
      <c r="W28" s="95">
        <f>PLC!P6</f>
        <v>0.45</v>
      </c>
      <c r="AB28" s="102"/>
      <c r="AC28" s="102"/>
    </row>
    <row r="29" spans="2:29" ht="15.75" thickBot="1" x14ac:dyDescent="0.3">
      <c r="B29" s="4" t="s">
        <v>27</v>
      </c>
      <c r="C29" s="95">
        <f>PLC!J21</f>
        <v>0.5</v>
      </c>
      <c r="L29" s="154" t="s">
        <v>44</v>
      </c>
      <c r="M29" s="155"/>
      <c r="R29" s="102"/>
      <c r="S29" s="102"/>
      <c r="V29" s="34" t="s">
        <v>38</v>
      </c>
      <c r="W29" s="95">
        <f>PLC!P8</f>
        <v>0</v>
      </c>
      <c r="AB29" s="102"/>
      <c r="AC29" s="102"/>
    </row>
    <row r="30" spans="2:29" ht="15.75" thickBot="1" x14ac:dyDescent="0.3">
      <c r="B30" s="4" t="s">
        <v>28</v>
      </c>
      <c r="C30" s="95">
        <f>PLC!J22</f>
        <v>0.5</v>
      </c>
      <c r="L30" s="4" t="s">
        <v>27</v>
      </c>
      <c r="M30" s="95">
        <f>PLC!M21</f>
        <v>0.45470350155529782</v>
      </c>
      <c r="R30" s="102"/>
      <c r="S30" s="102"/>
      <c r="V30" s="5" t="s">
        <v>30</v>
      </c>
      <c r="W30" s="96">
        <f>AVERAGE(W25:W29)</f>
        <v>0.19</v>
      </c>
      <c r="AB30" s="102"/>
      <c r="AC30" s="102"/>
    </row>
    <row r="31" spans="2:29" ht="15.75" thickBot="1" x14ac:dyDescent="0.3">
      <c r="B31" s="4" t="s">
        <v>29</v>
      </c>
      <c r="C31" s="95">
        <f>PLC!J23</f>
        <v>0.52500000000000002</v>
      </c>
      <c r="L31" s="4" t="s">
        <v>28</v>
      </c>
      <c r="M31" s="95">
        <f>PLC!M22</f>
        <v>0.45476795147349391</v>
      </c>
      <c r="R31" s="102"/>
      <c r="S31" s="102"/>
      <c r="V31" s="154" t="s">
        <v>48</v>
      </c>
      <c r="W31" s="155"/>
      <c r="AB31" s="102"/>
      <c r="AC31" s="102"/>
    </row>
    <row r="32" spans="2:29" x14ac:dyDescent="0.25">
      <c r="B32" s="4" t="s">
        <v>37</v>
      </c>
      <c r="C32" s="95">
        <f>PLC!J24</f>
        <v>0.5</v>
      </c>
      <c r="L32" s="4" t="s">
        <v>29</v>
      </c>
      <c r="M32" s="95">
        <f>PLC!M23</f>
        <v>0.45428672105819534</v>
      </c>
      <c r="R32" s="102"/>
      <c r="S32" s="102"/>
      <c r="V32" s="4" t="s">
        <v>27</v>
      </c>
      <c r="W32" s="95">
        <f>PLC!P21</f>
        <v>0.33333333333333331</v>
      </c>
      <c r="AB32" s="102"/>
      <c r="AC32" s="102"/>
    </row>
    <row r="33" spans="2:29" x14ac:dyDescent="0.25">
      <c r="B33" s="34" t="s">
        <v>38</v>
      </c>
      <c r="C33" s="95">
        <f>PLC!J26</f>
        <v>0.52500000000000002</v>
      </c>
      <c r="L33" s="4" t="s">
        <v>37</v>
      </c>
      <c r="M33" s="95">
        <f>PLC!M24</f>
        <v>0.45476795147349391</v>
      </c>
      <c r="R33" s="102"/>
      <c r="S33" s="102"/>
      <c r="V33" s="4" t="s">
        <v>28</v>
      </c>
      <c r="W33" s="95">
        <f>PLC!P22</f>
        <v>0.33333333333333331</v>
      </c>
      <c r="AB33" s="102"/>
      <c r="AC33" s="102"/>
    </row>
    <row r="34" spans="2:29" ht="15.75" thickBot="1" x14ac:dyDescent="0.3">
      <c r="B34" s="5" t="s">
        <v>30</v>
      </c>
      <c r="C34" s="96">
        <f>AVERAGE(C29:C33)</f>
        <v>0.51</v>
      </c>
      <c r="L34" s="34" t="s">
        <v>38</v>
      </c>
      <c r="M34" s="95">
        <f>PLC!M26</f>
        <v>0.45428672105819534</v>
      </c>
      <c r="R34" s="102"/>
      <c r="S34" s="102"/>
      <c r="V34" s="4" t="s">
        <v>29</v>
      </c>
      <c r="W34" s="95">
        <f>PLC!P23</f>
        <v>0.3</v>
      </c>
      <c r="AB34" s="102"/>
      <c r="AC34" s="102"/>
    </row>
    <row r="35" spans="2:29" ht="15.75" thickBot="1" x14ac:dyDescent="0.3">
      <c r="L35" s="5" t="s">
        <v>30</v>
      </c>
      <c r="M35" s="96">
        <f>AVERAGE(M30:M34)</f>
        <v>0.45456256932373529</v>
      </c>
      <c r="R35" s="102"/>
      <c r="S35" s="102"/>
      <c r="V35" s="4" t="s">
        <v>37</v>
      </c>
      <c r="W35" s="95">
        <f>PLC!P24</f>
        <v>0.33333333333333331</v>
      </c>
      <c r="AB35" s="102"/>
      <c r="AC35" s="102"/>
    </row>
    <row r="36" spans="2:29" x14ac:dyDescent="0.25">
      <c r="V36" s="34" t="s">
        <v>38</v>
      </c>
      <c r="W36" s="95">
        <f>PLC!P26</f>
        <v>0.33333333333333331</v>
      </c>
      <c r="AB36" s="102"/>
      <c r="AC36" s="102"/>
    </row>
    <row r="37" spans="2:29" ht="15.75" thickBot="1" x14ac:dyDescent="0.3">
      <c r="V37" s="5" t="s">
        <v>30</v>
      </c>
      <c r="W37" s="96">
        <f>AVERAGE(W32:W36)</f>
        <v>0.32666666666666661</v>
      </c>
      <c r="AB37" s="102"/>
      <c r="AC37" s="102"/>
    </row>
    <row r="38" spans="2:29" ht="15.75" thickBot="1" x14ac:dyDescent="0.3"/>
    <row r="39" spans="2:29" x14ac:dyDescent="0.25">
      <c r="B39" s="25"/>
      <c r="C39" s="146" t="s">
        <v>52</v>
      </c>
      <c r="D39" s="147"/>
      <c r="F39" s="25"/>
      <c r="G39" s="146" t="s">
        <v>53</v>
      </c>
      <c r="H39" s="147"/>
      <c r="J39" s="25"/>
      <c r="K39" s="146" t="s">
        <v>54</v>
      </c>
      <c r="L39" s="147"/>
    </row>
    <row r="40" spans="2:29" x14ac:dyDescent="0.25">
      <c r="B40" s="26"/>
      <c r="C40" s="2" t="s">
        <v>24</v>
      </c>
      <c r="D40" s="27" t="s">
        <v>25</v>
      </c>
      <c r="F40" s="26"/>
      <c r="G40" s="2" t="s">
        <v>24</v>
      </c>
      <c r="H40" s="27" t="s">
        <v>25</v>
      </c>
      <c r="J40" s="26" t="s">
        <v>26</v>
      </c>
      <c r="K40" s="2" t="s">
        <v>24</v>
      </c>
      <c r="L40" s="27" t="s">
        <v>25</v>
      </c>
    </row>
    <row r="41" spans="2:29" x14ac:dyDescent="0.25">
      <c r="B41" s="1">
        <v>300</v>
      </c>
      <c r="C41" s="110">
        <v>1.9444999999999999</v>
      </c>
      <c r="D41" s="107">
        <v>1.5</v>
      </c>
      <c r="F41" s="1">
        <v>0.04</v>
      </c>
      <c r="G41" s="110">
        <v>2.7313999999999998</v>
      </c>
      <c r="H41" s="107">
        <v>1.5</v>
      </c>
      <c r="J41" s="1">
        <v>900</v>
      </c>
      <c r="K41" s="110">
        <v>2.4299999999999999E-2</v>
      </c>
      <c r="L41" s="107"/>
    </row>
    <row r="42" spans="2:29" x14ac:dyDescent="0.25">
      <c r="B42" s="1">
        <v>600</v>
      </c>
      <c r="C42" s="110">
        <v>4.0399999999999998E-2</v>
      </c>
      <c r="D42" s="107">
        <v>0.6</v>
      </c>
      <c r="F42" s="1">
        <v>0.1</v>
      </c>
      <c r="G42" s="110">
        <v>2.24E-2</v>
      </c>
      <c r="H42" s="167">
        <v>1E-3</v>
      </c>
      <c r="J42" s="1">
        <v>900</v>
      </c>
      <c r="K42" s="110">
        <v>7.0000000000000001E-3</v>
      </c>
      <c r="L42" s="107"/>
    </row>
    <row r="43" spans="2:29" ht="15.75" thickBot="1" x14ac:dyDescent="0.3">
      <c r="B43" s="3">
        <v>1800</v>
      </c>
      <c r="C43" s="111">
        <v>4.19E-2</v>
      </c>
      <c r="D43" s="108">
        <v>2</v>
      </c>
      <c r="F43" s="3"/>
      <c r="G43" s="110"/>
      <c r="H43" s="167"/>
      <c r="J43" s="3">
        <v>900</v>
      </c>
      <c r="K43" s="111">
        <v>2.92E-2</v>
      </c>
      <c r="L43" s="108"/>
    </row>
  </sheetData>
  <mergeCells count="22">
    <mergeCell ref="V31:W31"/>
    <mergeCell ref="C39:D39"/>
    <mergeCell ref="G39:H39"/>
    <mergeCell ref="K39:L39"/>
    <mergeCell ref="L29:M29"/>
    <mergeCell ref="W7:X7"/>
    <mergeCell ref="V14:W15"/>
    <mergeCell ref="V16:W16"/>
    <mergeCell ref="V17:W17"/>
    <mergeCell ref="V24:W24"/>
    <mergeCell ref="D5:E5"/>
    <mergeCell ref="J23:K23"/>
    <mergeCell ref="B14:C14"/>
    <mergeCell ref="B21:C21"/>
    <mergeCell ref="B28:C28"/>
    <mergeCell ref="B11:C12"/>
    <mergeCell ref="B13:C13"/>
    <mergeCell ref="M5:N5"/>
    <mergeCell ref="L12:M13"/>
    <mergeCell ref="L14:M14"/>
    <mergeCell ref="L15:M15"/>
    <mergeCell ref="L22:M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25"/>
      <c r="D3" s="159" t="s">
        <v>23</v>
      </c>
      <c r="E3" s="160"/>
    </row>
    <row r="4" spans="3:5" ht="18.75" x14ac:dyDescent="0.3">
      <c r="C4" s="1"/>
      <c r="D4" s="157" t="s">
        <v>32</v>
      </c>
      <c r="E4" s="158"/>
    </row>
    <row r="5" spans="3:5" x14ac:dyDescent="0.25">
      <c r="C5" s="1" t="s">
        <v>31</v>
      </c>
      <c r="D5" s="32" t="s">
        <v>24</v>
      </c>
      <c r="E5" s="33" t="s">
        <v>25</v>
      </c>
    </row>
    <row r="6" spans="3:5" x14ac:dyDescent="0.25">
      <c r="C6" s="1">
        <v>0</v>
      </c>
      <c r="D6" s="24"/>
      <c r="E6" s="28"/>
    </row>
    <row r="7" spans="3:5" x14ac:dyDescent="0.25">
      <c r="C7" s="1">
        <v>20</v>
      </c>
      <c r="D7" s="24"/>
      <c r="E7" s="28"/>
    </row>
    <row r="8" spans="3:5" x14ac:dyDescent="0.25">
      <c r="C8" s="1">
        <v>40</v>
      </c>
      <c r="D8" s="24"/>
      <c r="E8" s="28"/>
    </row>
    <row r="9" spans="3:5" x14ac:dyDescent="0.25">
      <c r="C9" s="1">
        <v>60</v>
      </c>
      <c r="D9" s="24"/>
      <c r="E9" s="28"/>
    </row>
    <row r="10" spans="3:5" x14ac:dyDescent="0.25">
      <c r="C10" s="1">
        <v>80</v>
      </c>
      <c r="D10" s="24"/>
      <c r="E10" s="28"/>
    </row>
    <row r="11" spans="3:5" ht="15.75" thickBot="1" x14ac:dyDescent="0.3">
      <c r="C11" s="3">
        <v>100</v>
      </c>
      <c r="D11" s="29"/>
      <c r="E11" s="30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zoomScaleNormal="100" workbookViewId="0">
      <selection activeCell="O6" sqref="O6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10.7109375" customWidth="1"/>
    <col min="17" max="17" width="11.42578125" customWidth="1"/>
    <col min="18" max="18" width="12.42578125" customWidth="1"/>
    <col min="19" max="19" width="11.7109375" customWidth="1"/>
  </cols>
  <sheetData>
    <row r="1" spans="1:22" ht="15.75" thickBot="1" x14ac:dyDescent="0.3"/>
    <row r="2" spans="1:22" ht="30.75" thickBot="1" x14ac:dyDescent="0.3">
      <c r="A2" s="12"/>
      <c r="B2" s="9" t="s">
        <v>4</v>
      </c>
      <c r="C2" s="9" t="s">
        <v>5</v>
      </c>
      <c r="D2" s="9" t="s">
        <v>3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0" t="s">
        <v>0</v>
      </c>
      <c r="K2" s="9" t="s">
        <v>12</v>
      </c>
      <c r="L2" s="9" t="s">
        <v>13</v>
      </c>
      <c r="M2" s="10" t="s">
        <v>1</v>
      </c>
      <c r="N2" s="9" t="s">
        <v>14</v>
      </c>
      <c r="O2" s="9" t="s">
        <v>15</v>
      </c>
      <c r="P2" s="10" t="s">
        <v>2</v>
      </c>
      <c r="Q2" s="9" t="s">
        <v>19</v>
      </c>
      <c r="R2" s="9" t="s">
        <v>20</v>
      </c>
      <c r="S2" s="11" t="s">
        <v>21</v>
      </c>
    </row>
    <row r="3" spans="1:22" ht="15.75" customHeight="1" thickBot="1" x14ac:dyDescent="0.3">
      <c r="A3" s="93" t="s">
        <v>40</v>
      </c>
      <c r="B3" s="77">
        <v>34</v>
      </c>
      <c r="C3" s="78" t="s">
        <v>18</v>
      </c>
      <c r="D3" s="78">
        <v>1300</v>
      </c>
      <c r="E3" s="78">
        <v>600</v>
      </c>
      <c r="F3" s="78">
        <v>0.1</v>
      </c>
      <c r="G3" s="78">
        <v>900</v>
      </c>
      <c r="H3" s="78">
        <f>3*60</f>
        <v>180</v>
      </c>
      <c r="I3" s="78">
        <v>23</v>
      </c>
      <c r="J3" s="79">
        <f>I3/H3</f>
        <v>0.12777777777777777</v>
      </c>
      <c r="K3" s="78">
        <v>745588</v>
      </c>
      <c r="L3" s="78">
        <v>50462</v>
      </c>
      <c r="M3" s="80">
        <f>L3/K3</f>
        <v>6.7680810313470716E-2</v>
      </c>
      <c r="N3" s="78">
        <v>2</v>
      </c>
      <c r="O3" s="78">
        <v>1</v>
      </c>
      <c r="P3" s="79">
        <f>O3/N3</f>
        <v>0.5</v>
      </c>
      <c r="Q3" s="81">
        <v>0.46779999999999999</v>
      </c>
      <c r="R3" s="81">
        <v>0.75124999999999997</v>
      </c>
      <c r="S3" s="82">
        <v>1.09E-2</v>
      </c>
    </row>
    <row r="4" spans="1:22" ht="54.75" customHeight="1" thickBot="1" x14ac:dyDescent="0.3">
      <c r="A4" s="123" t="s">
        <v>72</v>
      </c>
      <c r="B4" s="39">
        <v>0</v>
      </c>
      <c r="C4" s="40" t="s">
        <v>18</v>
      </c>
      <c r="D4" s="40">
        <v>320</v>
      </c>
      <c r="E4" s="40">
        <v>300</v>
      </c>
      <c r="F4" s="40">
        <v>0.04</v>
      </c>
      <c r="G4" s="40">
        <v>200</v>
      </c>
      <c r="H4" s="40">
        <v>120</v>
      </c>
      <c r="I4" s="40">
        <v>15</v>
      </c>
      <c r="J4" s="41">
        <f t="shared" ref="J4:J5" si="0">I4/H4</f>
        <v>0.125</v>
      </c>
      <c r="K4" s="40">
        <v>471023</v>
      </c>
      <c r="L4" s="40">
        <v>42721</v>
      </c>
      <c r="M4" s="41">
        <f t="shared" ref="M4:M5" si="1">L4/K4</f>
        <v>9.0698331079374042E-2</v>
      </c>
      <c r="N4" s="40">
        <v>2</v>
      </c>
      <c r="O4" s="40">
        <v>0.11600000000000001</v>
      </c>
      <c r="P4" s="41">
        <f t="shared" ref="P4:P5" si="2">O4/N4</f>
        <v>5.8000000000000003E-2</v>
      </c>
      <c r="Q4" s="42">
        <v>0.10059999999999999</v>
      </c>
      <c r="R4" s="43">
        <v>1.8101</v>
      </c>
      <c r="S4" s="44">
        <v>3.8999999999999998E-3</v>
      </c>
    </row>
    <row r="5" spans="1:22" ht="58.5" customHeight="1" thickBot="1" x14ac:dyDescent="0.3">
      <c r="A5" s="123" t="s">
        <v>73</v>
      </c>
      <c r="B5" s="39">
        <v>0</v>
      </c>
      <c r="C5" s="40" t="s">
        <v>18</v>
      </c>
      <c r="D5" s="40">
        <v>320</v>
      </c>
      <c r="E5" s="40">
        <v>300</v>
      </c>
      <c r="F5" s="40">
        <v>0.04</v>
      </c>
      <c r="G5" s="40">
        <v>200</v>
      </c>
      <c r="H5" s="40">
        <f>2*20</f>
        <v>40</v>
      </c>
      <c r="I5" s="40">
        <v>11</v>
      </c>
      <c r="J5" s="41">
        <f t="shared" si="0"/>
        <v>0.27500000000000002</v>
      </c>
      <c r="K5" s="40">
        <v>157374</v>
      </c>
      <c r="L5" s="40">
        <v>27110</v>
      </c>
      <c r="M5" s="41">
        <f t="shared" si="1"/>
        <v>0.17226479596375513</v>
      </c>
      <c r="N5" s="40">
        <v>2</v>
      </c>
      <c r="O5" s="40">
        <v>0</v>
      </c>
      <c r="P5" s="41">
        <f t="shared" si="2"/>
        <v>0</v>
      </c>
      <c r="Q5" s="42"/>
      <c r="R5" s="43"/>
      <c r="S5" s="44"/>
    </row>
    <row r="6" spans="1:22" ht="15.75" customHeight="1" thickBot="1" x14ac:dyDescent="0.3">
      <c r="A6" s="94" t="s">
        <v>39</v>
      </c>
      <c r="B6" s="39">
        <v>0</v>
      </c>
      <c r="C6" s="40" t="s">
        <v>18</v>
      </c>
      <c r="D6" s="40">
        <v>950</v>
      </c>
      <c r="E6" s="40">
        <v>300</v>
      </c>
      <c r="F6" s="40">
        <v>0.04</v>
      </c>
      <c r="G6" s="40">
        <v>900</v>
      </c>
      <c r="H6" s="40">
        <f>4*60</f>
        <v>240</v>
      </c>
      <c r="I6" s="40">
        <v>11</v>
      </c>
      <c r="J6" s="41">
        <f t="shared" ref="J6:J12" si="3">I6/H6</f>
        <v>4.583333333333333E-2</v>
      </c>
      <c r="K6" s="40">
        <v>1416023</v>
      </c>
      <c r="L6" s="40">
        <v>11957</v>
      </c>
      <c r="M6" s="41">
        <f t="shared" ref="M6:M13" si="4">L6/K6</f>
        <v>8.4440718830131999E-3</v>
      </c>
      <c r="N6" s="40">
        <v>2</v>
      </c>
      <c r="O6" s="40">
        <v>0.32800000000000001</v>
      </c>
      <c r="P6" s="41">
        <f t="shared" ref="P6:P13" si="5">O6/N6</f>
        <v>0.16400000000000001</v>
      </c>
      <c r="Q6" s="42"/>
      <c r="R6" s="43"/>
      <c r="S6" s="44"/>
      <c r="V6" t="s">
        <v>17</v>
      </c>
    </row>
    <row r="7" spans="1:22" ht="31.5" hidden="1" customHeight="1" x14ac:dyDescent="0.3">
      <c r="A7" s="139" t="s">
        <v>22</v>
      </c>
      <c r="B7" s="35">
        <v>57</v>
      </c>
      <c r="C7" s="36" t="s">
        <v>6</v>
      </c>
      <c r="D7" s="36">
        <v>4000</v>
      </c>
      <c r="E7" s="36">
        <v>3600</v>
      </c>
      <c r="F7" s="36">
        <v>0.1</v>
      </c>
      <c r="G7" s="36">
        <v>3600</v>
      </c>
      <c r="H7" s="36"/>
      <c r="I7" s="36"/>
      <c r="J7" s="37" t="e">
        <f t="shared" si="3"/>
        <v>#DIV/0!</v>
      </c>
      <c r="K7" s="36"/>
      <c r="L7" s="36"/>
      <c r="M7" s="37" t="e">
        <f t="shared" si="4"/>
        <v>#DIV/0!</v>
      </c>
      <c r="N7" s="36"/>
      <c r="O7" s="36"/>
      <c r="P7" s="37" t="e">
        <f t="shared" si="5"/>
        <v>#DIV/0!</v>
      </c>
      <c r="Q7" s="38"/>
      <c r="R7" s="38"/>
      <c r="S7" s="113"/>
      <c r="V7">
        <v>1.8377415779000001E-2</v>
      </c>
    </row>
    <row r="8" spans="1:22" ht="31.5" hidden="1" customHeight="1" x14ac:dyDescent="0.3">
      <c r="A8" s="139"/>
      <c r="B8" s="21">
        <v>58</v>
      </c>
      <c r="C8" s="22" t="s">
        <v>6</v>
      </c>
      <c r="D8" s="22">
        <v>400</v>
      </c>
      <c r="E8" s="22">
        <v>3600</v>
      </c>
      <c r="F8" s="22">
        <v>0.1</v>
      </c>
      <c r="G8" s="22">
        <v>3600</v>
      </c>
      <c r="H8" s="22"/>
      <c r="I8" s="22"/>
      <c r="J8" s="23"/>
      <c r="K8" s="22"/>
      <c r="L8" s="22"/>
      <c r="M8" s="23"/>
      <c r="N8" s="22"/>
      <c r="O8" s="22"/>
      <c r="P8" s="23"/>
      <c r="Q8" s="8"/>
      <c r="R8" s="8"/>
      <c r="S8" s="114"/>
      <c r="V8">
        <v>1.8377486969E-2</v>
      </c>
    </row>
    <row r="9" spans="1:22" ht="31.5" hidden="1" customHeight="1" x14ac:dyDescent="0.3">
      <c r="A9" s="139"/>
      <c r="B9" s="21">
        <v>59</v>
      </c>
      <c r="C9" s="22" t="s">
        <v>6</v>
      </c>
      <c r="D9" s="22">
        <v>4000</v>
      </c>
      <c r="E9" s="22">
        <v>3600</v>
      </c>
      <c r="F9" s="22">
        <v>0.1</v>
      </c>
      <c r="G9" s="22">
        <v>3600</v>
      </c>
      <c r="H9" s="22"/>
      <c r="I9" s="22"/>
      <c r="J9" s="23" t="e">
        <f>I9/H9</f>
        <v>#DIV/0!</v>
      </c>
      <c r="K9" s="22"/>
      <c r="L9" s="22"/>
      <c r="M9" s="23" t="e">
        <f t="shared" si="4"/>
        <v>#DIV/0!</v>
      </c>
      <c r="N9" s="22"/>
      <c r="O9" s="22"/>
      <c r="P9" s="23" t="e">
        <f t="shared" si="5"/>
        <v>#DIV/0!</v>
      </c>
      <c r="Q9" s="8"/>
      <c r="R9" s="8"/>
      <c r="S9" s="114"/>
      <c r="V9">
        <v>1.8377447735E-2</v>
      </c>
    </row>
    <row r="10" spans="1:22" ht="15.75" hidden="1" customHeight="1" x14ac:dyDescent="0.3">
      <c r="A10" s="138" t="s">
        <v>16</v>
      </c>
      <c r="B10" s="1">
        <v>57</v>
      </c>
      <c r="C10" s="2" t="s">
        <v>6</v>
      </c>
      <c r="D10" s="14">
        <v>7500</v>
      </c>
      <c r="E10" s="2">
        <v>3600</v>
      </c>
      <c r="F10" s="2">
        <v>1500</v>
      </c>
      <c r="G10" s="2">
        <v>3600</v>
      </c>
      <c r="H10" s="2"/>
      <c r="I10" s="2"/>
      <c r="J10" s="17" t="e">
        <f t="shared" si="3"/>
        <v>#DIV/0!</v>
      </c>
      <c r="K10" s="2"/>
      <c r="L10" s="2"/>
      <c r="M10" s="18" t="e">
        <f t="shared" si="4"/>
        <v>#DIV/0!</v>
      </c>
      <c r="N10" s="2"/>
      <c r="O10" s="2"/>
      <c r="P10" s="19" t="e">
        <f t="shared" si="5"/>
        <v>#DIV/0!</v>
      </c>
      <c r="Q10" s="7"/>
      <c r="R10" s="7"/>
      <c r="S10" s="6"/>
      <c r="V10">
        <v>1.8377469962000001E-2</v>
      </c>
    </row>
    <row r="11" spans="1:22" ht="15.75" hidden="1" customHeight="1" x14ac:dyDescent="0.3">
      <c r="A11" s="138"/>
      <c r="B11" s="1">
        <v>58</v>
      </c>
      <c r="C11" s="2" t="s">
        <v>6</v>
      </c>
      <c r="D11" s="2">
        <v>7500</v>
      </c>
      <c r="E11" s="2">
        <v>3600</v>
      </c>
      <c r="F11" s="2">
        <v>1500</v>
      </c>
      <c r="G11" s="2">
        <v>3600</v>
      </c>
      <c r="H11" s="2"/>
      <c r="I11" s="2"/>
      <c r="J11" s="17" t="e">
        <f t="shared" si="3"/>
        <v>#DIV/0!</v>
      </c>
      <c r="K11" s="2"/>
      <c r="L11" s="2"/>
      <c r="M11" s="18" t="e">
        <f t="shared" si="4"/>
        <v>#DIV/0!</v>
      </c>
      <c r="N11" s="2"/>
      <c r="O11" s="2"/>
      <c r="P11" s="19" t="e">
        <f t="shared" si="5"/>
        <v>#DIV/0!</v>
      </c>
      <c r="Q11" s="7"/>
      <c r="R11" s="7"/>
      <c r="S11" s="6"/>
      <c r="V11">
        <v>1.8377466778E-2</v>
      </c>
    </row>
    <row r="12" spans="1:22" ht="15.75" hidden="1" customHeight="1" x14ac:dyDescent="0.3">
      <c r="A12" s="138"/>
      <c r="B12" s="61">
        <v>59</v>
      </c>
      <c r="C12" s="62" t="s">
        <v>6</v>
      </c>
      <c r="D12" s="62">
        <v>7500</v>
      </c>
      <c r="E12" s="62">
        <v>3600</v>
      </c>
      <c r="F12" s="62">
        <v>1500</v>
      </c>
      <c r="G12" s="62">
        <v>3600</v>
      </c>
      <c r="H12" s="62"/>
      <c r="I12" s="62"/>
      <c r="J12" s="63" t="e">
        <f t="shared" si="3"/>
        <v>#DIV/0!</v>
      </c>
      <c r="K12" s="62"/>
      <c r="L12" s="62"/>
      <c r="M12" s="64" t="e">
        <f t="shared" si="4"/>
        <v>#DIV/0!</v>
      </c>
      <c r="N12" s="62"/>
      <c r="O12" s="62"/>
      <c r="P12" s="65" t="e">
        <f t="shared" si="5"/>
        <v>#DIV/0!</v>
      </c>
      <c r="Q12" s="66"/>
      <c r="R12" s="66"/>
      <c r="S12" s="67"/>
      <c r="V12">
        <v>1.8377459259000001E-2</v>
      </c>
    </row>
    <row r="13" spans="1:22" ht="18.75" customHeight="1" thickBot="1" x14ac:dyDescent="0.3">
      <c r="A13" s="115" t="s">
        <v>55</v>
      </c>
      <c r="B13" s="116">
        <v>42</v>
      </c>
      <c r="C13" s="117" t="s">
        <v>18</v>
      </c>
      <c r="D13" s="117">
        <v>1850</v>
      </c>
      <c r="E13" s="117">
        <v>1800</v>
      </c>
      <c r="F13" s="117">
        <v>0.1</v>
      </c>
      <c r="G13" s="117">
        <v>900</v>
      </c>
      <c r="H13" s="117"/>
      <c r="I13" s="117"/>
      <c r="J13" s="118" t="e">
        <f>I13/H13</f>
        <v>#DIV/0!</v>
      </c>
      <c r="K13" s="117"/>
      <c r="L13" s="117"/>
      <c r="M13" s="119" t="e">
        <f t="shared" si="4"/>
        <v>#DIV/0!</v>
      </c>
      <c r="N13" s="117"/>
      <c r="O13" s="117"/>
      <c r="P13" s="118" t="e">
        <f t="shared" si="5"/>
        <v>#DIV/0!</v>
      </c>
      <c r="Q13" s="120"/>
      <c r="R13" s="120"/>
      <c r="S13" s="121"/>
      <c r="V13">
        <v>1.8377436931999998E-2</v>
      </c>
    </row>
    <row r="14" spans="1:22" x14ac:dyDescent="0.25">
      <c r="V14">
        <v>1.8377455434E-2</v>
      </c>
    </row>
    <row r="15" spans="1:22" x14ac:dyDescent="0.25">
      <c r="I15" s="109">
        <f>AVERAGE(Q3:Q3)</f>
        <v>0.46779999999999999</v>
      </c>
      <c r="K15">
        <f>250/60</f>
        <v>4.166666666666667</v>
      </c>
      <c r="M15" s="109" t="e">
        <f>AVERAGE(Q6:Q6)</f>
        <v>#DIV/0!</v>
      </c>
      <c r="O15" s="109" t="e">
        <f>AVERAGE(R6:R6)</f>
        <v>#DIV/0!</v>
      </c>
      <c r="Q15" s="109" t="e">
        <f>AVERAGE(R13:R13)</f>
        <v>#DIV/0!</v>
      </c>
      <c r="V15">
        <v>1.8377440200000001E-2</v>
      </c>
    </row>
    <row r="16" spans="1:22" x14ac:dyDescent="0.25">
      <c r="B16" s="112">
        <v>450000</v>
      </c>
      <c r="C16">
        <f>B18-700000</f>
        <v>280000</v>
      </c>
      <c r="D16">
        <f>80000</f>
        <v>80000</v>
      </c>
      <c r="F16" s="106">
        <f>AVERAGE(J6:J6)</f>
        <v>4.583333333333333E-2</v>
      </c>
      <c r="I16" s="109" t="e">
        <f>AVERAGE(S6:S6)</f>
        <v>#DIV/0!</v>
      </c>
      <c r="K16" s="109" t="e">
        <f>AVERAGE(Q13:Q13)</f>
        <v>#DIV/0!</v>
      </c>
      <c r="R16" t="s">
        <v>17</v>
      </c>
      <c r="T16">
        <f>AVERAGE(R17:R46)</f>
        <v>858.28917686249588</v>
      </c>
      <c r="V16">
        <v>1.8377468394E-2</v>
      </c>
    </row>
    <row r="17" spans="1:22" x14ac:dyDescent="0.25">
      <c r="B17">
        <f>B16+450000</f>
        <v>900000</v>
      </c>
      <c r="D17">
        <f>D16+4700000</f>
        <v>4780000</v>
      </c>
      <c r="H17" s="109" t="e">
        <f>AVERAGE(R6:R6)</f>
        <v>#DIV/0!</v>
      </c>
      <c r="J17" t="s">
        <v>17</v>
      </c>
      <c r="L17">
        <f>K15*5</f>
        <v>20.833333333333336</v>
      </c>
      <c r="M17" t="s">
        <v>17</v>
      </c>
      <c r="N17" s="109">
        <f>AVERAGE(S3:S3)</f>
        <v>1.09E-2</v>
      </c>
      <c r="P17">
        <f>SUM(M18:M37)</f>
        <v>18165</v>
      </c>
      <c r="Q17">
        <f>Q19/2</f>
        <v>11800</v>
      </c>
      <c r="V17">
        <v>1.8377416337000001E-2</v>
      </c>
    </row>
    <row r="18" spans="1:22" x14ac:dyDescent="0.25">
      <c r="A18" t="s">
        <v>17</v>
      </c>
      <c r="B18">
        <f>B17+80000</f>
        <v>980000</v>
      </c>
      <c r="D18" t="s">
        <v>17</v>
      </c>
      <c r="H18" s="109">
        <f>AVERAGE(R3:R3)</f>
        <v>0.75124999999999997</v>
      </c>
      <c r="J18">
        <v>1.8094541658E-2</v>
      </c>
      <c r="M18">
        <v>18165</v>
      </c>
      <c r="N18" s="109" t="e">
        <f>AVERAGE(S13:S13)</f>
        <v>#DIV/0!</v>
      </c>
      <c r="Q18">
        <f>Q17/320</f>
        <v>36.875</v>
      </c>
      <c r="R18">
        <f>472000*0.04</f>
        <v>18880</v>
      </c>
      <c r="U18">
        <f>SUM(T21:T40)</f>
        <v>368953</v>
      </c>
      <c r="V18">
        <v>1.8377437404999999E-2</v>
      </c>
    </row>
    <row r="19" spans="1:22" x14ac:dyDescent="0.25">
      <c r="A19">
        <v>23545</v>
      </c>
      <c r="C19">
        <f>SUM(A19:A38)</f>
        <v>472315</v>
      </c>
      <c r="D19">
        <v>1.9650456230667E-2</v>
      </c>
      <c r="H19">
        <f>SUM(D19:D38)/20</f>
        <v>1.9229383186550299E-2</v>
      </c>
      <c r="J19">
        <v>1.8094542471000001E-2</v>
      </c>
      <c r="L19" t="s">
        <v>17</v>
      </c>
      <c r="P19">
        <f>23600*20</f>
        <v>472000</v>
      </c>
      <c r="Q19">
        <f>472000/20</f>
        <v>23600</v>
      </c>
      <c r="R19">
        <f>2</f>
        <v>2</v>
      </c>
      <c r="V19">
        <v>1.8377429143000001E-2</v>
      </c>
    </row>
    <row r="20" spans="1:22" x14ac:dyDescent="0.25">
      <c r="A20">
        <v>23705</v>
      </c>
      <c r="D20">
        <v>1.9650433376667002E-2</v>
      </c>
      <c r="F20" t="s">
        <v>17</v>
      </c>
      <c r="I20">
        <f>AVERAGE(I25:I88)</f>
        <v>0.328125</v>
      </c>
      <c r="J20">
        <v>1.8094550208E-2</v>
      </c>
      <c r="L20">
        <v>1</v>
      </c>
      <c r="N20" t="s">
        <v>17</v>
      </c>
      <c r="P20">
        <f>AVERAGE(L20:L39)</f>
        <v>0.9</v>
      </c>
      <c r="R20" t="s">
        <v>17</v>
      </c>
      <c r="T20" t="s">
        <v>17</v>
      </c>
      <c r="V20">
        <v>1.8377459302999999E-2</v>
      </c>
    </row>
    <row r="21" spans="1:22" x14ac:dyDescent="0.25">
      <c r="A21">
        <v>23609</v>
      </c>
      <c r="D21">
        <v>1.9650504566667001E-2</v>
      </c>
      <c r="F21">
        <v>18487</v>
      </c>
      <c r="G21">
        <f>SUM(F21:F40)</f>
        <v>368930</v>
      </c>
      <c r="J21">
        <v>1.8094553467999999E-2</v>
      </c>
      <c r="L21">
        <v>1</v>
      </c>
      <c r="N21">
        <v>4.8586364016E-2</v>
      </c>
      <c r="R21">
        <v>1.8094590051E-2</v>
      </c>
      <c r="T21">
        <v>18481</v>
      </c>
      <c r="V21">
        <v>1.8377450787E-2</v>
      </c>
    </row>
    <row r="22" spans="1:22" x14ac:dyDescent="0.25">
      <c r="A22">
        <v>23531</v>
      </c>
      <c r="B22" t="s">
        <v>17</v>
      </c>
      <c r="C22">
        <f>SUM(B23:B82)</f>
        <v>1416023</v>
      </c>
      <c r="D22">
        <v>1.9650465332667E-2</v>
      </c>
      <c r="F22">
        <v>18485</v>
      </c>
      <c r="J22">
        <v>1.8094553691E-2</v>
      </c>
      <c r="L22">
        <v>1</v>
      </c>
      <c r="N22">
        <v>4.8586347008999997E-2</v>
      </c>
      <c r="Q22" t="e">
        <f>#REF!*2</f>
        <v>#REF!</v>
      </c>
      <c r="R22">
        <v>1.8094585715E-2</v>
      </c>
      <c r="T22">
        <v>18478</v>
      </c>
    </row>
    <row r="23" spans="1:22" x14ac:dyDescent="0.25">
      <c r="A23">
        <v>23539</v>
      </c>
      <c r="B23">
        <v>23574</v>
      </c>
      <c r="D23">
        <v>1.9650487559667001E-2</v>
      </c>
      <c r="F23">
        <v>18482</v>
      </c>
      <c r="H23">
        <f>SUM(H26:H45)</f>
        <v>368930</v>
      </c>
      <c r="J23">
        <v>1.8094532173E-2</v>
      </c>
      <c r="L23">
        <v>1</v>
      </c>
      <c r="N23">
        <v>4.8586345441000003E-2</v>
      </c>
      <c r="R23">
        <v>1.8094584843999999E-2</v>
      </c>
      <c r="T23">
        <v>18477</v>
      </c>
    </row>
    <row r="24" spans="1:22" x14ac:dyDescent="0.25">
      <c r="A24">
        <v>23539</v>
      </c>
      <c r="B24">
        <v>23654</v>
      </c>
      <c r="D24">
        <v>1.9650484375667E-2</v>
      </c>
      <c r="F24">
        <v>18478</v>
      </c>
      <c r="I24" t="s">
        <v>17</v>
      </c>
      <c r="L24">
        <v>1</v>
      </c>
      <c r="N24">
        <v>4.8586343825000003E-2</v>
      </c>
      <c r="R24">
        <v>1.8094555589E-2</v>
      </c>
      <c r="T24">
        <v>18474</v>
      </c>
    </row>
    <row r="25" spans="1:22" x14ac:dyDescent="0.25">
      <c r="A25">
        <v>23664</v>
      </c>
      <c r="B25">
        <v>23550</v>
      </c>
      <c r="D25">
        <v>1.5439683337499999E-2</v>
      </c>
      <c r="F25">
        <v>18473</v>
      </c>
      <c r="H25" t="s">
        <v>17</v>
      </c>
      <c r="I25">
        <v>1</v>
      </c>
      <c r="K25">
        <f>12428*60</f>
        <v>745680</v>
      </c>
      <c r="L25">
        <v>1</v>
      </c>
      <c r="N25">
        <v>4.8586336350000002E-2</v>
      </c>
      <c r="R25">
        <v>1.8094553691E-2</v>
      </c>
      <c r="T25">
        <v>18471</v>
      </c>
    </row>
    <row r="26" spans="1:22" x14ac:dyDescent="0.25">
      <c r="A26">
        <v>23712</v>
      </c>
      <c r="B26">
        <v>23512</v>
      </c>
      <c r="D26">
        <v>1.9650454529666999E-2</v>
      </c>
      <c r="F26">
        <v>18466</v>
      </c>
      <c r="H26">
        <v>18487</v>
      </c>
      <c r="I26">
        <v>0</v>
      </c>
      <c r="L26">
        <v>1</v>
      </c>
      <c r="N26">
        <v>4.8586336305999997E-2</v>
      </c>
      <c r="R26">
        <v>1.8094553467999999E-2</v>
      </c>
      <c r="T26">
        <v>18470</v>
      </c>
    </row>
    <row r="27" spans="1:22" x14ac:dyDescent="0.25">
      <c r="A27">
        <v>23575</v>
      </c>
      <c r="B27">
        <v>23576</v>
      </c>
      <c r="D27">
        <v>1.9650454741667E-2</v>
      </c>
      <c r="F27">
        <v>18464</v>
      </c>
      <c r="H27">
        <v>18485</v>
      </c>
      <c r="I27">
        <v>1</v>
      </c>
      <c r="L27">
        <v>1</v>
      </c>
      <c r="N27">
        <v>4.8586332481E-2</v>
      </c>
      <c r="R27">
        <v>1.8094553138999998E-2</v>
      </c>
      <c r="T27">
        <v>18461</v>
      </c>
    </row>
    <row r="28" spans="1:22" x14ac:dyDescent="0.25">
      <c r="A28">
        <v>23592</v>
      </c>
      <c r="B28">
        <v>23722</v>
      </c>
      <c r="D28">
        <v>1.9650439123666999E-2</v>
      </c>
      <c r="F28">
        <v>18453</v>
      </c>
      <c r="H28">
        <v>18482</v>
      </c>
      <c r="I28">
        <v>0</v>
      </c>
      <c r="L28">
        <v>1</v>
      </c>
      <c r="N28">
        <v>4.8586327834E-2</v>
      </c>
      <c r="R28">
        <v>1.8094550208E-2</v>
      </c>
      <c r="T28">
        <v>18456</v>
      </c>
    </row>
    <row r="29" spans="1:22" x14ac:dyDescent="0.25">
      <c r="A29">
        <v>23574</v>
      </c>
      <c r="B29">
        <v>23585</v>
      </c>
      <c r="D29">
        <v>1.9650463610667E-2</v>
      </c>
      <c r="F29">
        <v>18453</v>
      </c>
      <c r="H29">
        <v>18478</v>
      </c>
      <c r="I29">
        <v>0</v>
      </c>
      <c r="L29">
        <v>1</v>
      </c>
      <c r="N29">
        <v>4.8586324782E-2</v>
      </c>
      <c r="P29">
        <f>AVERAGE(N21:N40)</f>
        <v>4.3727691484150004E-2</v>
      </c>
      <c r="R29">
        <v>1.8094547175E-2</v>
      </c>
      <c r="T29">
        <v>18450</v>
      </c>
    </row>
    <row r="30" spans="1:22" x14ac:dyDescent="0.25">
      <c r="A30">
        <v>23633</v>
      </c>
      <c r="B30">
        <v>23574</v>
      </c>
      <c r="D30">
        <v>1.9650432680667001E-2</v>
      </c>
      <c r="F30">
        <v>18444</v>
      </c>
      <c r="H30">
        <v>18473</v>
      </c>
      <c r="I30">
        <v>0</v>
      </c>
      <c r="L30">
        <v>1</v>
      </c>
      <c r="N30">
        <v>4.8586323059999999E-2</v>
      </c>
      <c r="R30">
        <v>1.8094542471000001E-2</v>
      </c>
      <c r="T30">
        <v>18448</v>
      </c>
    </row>
    <row r="31" spans="1:22" x14ac:dyDescent="0.25">
      <c r="A31">
        <v>23681</v>
      </c>
      <c r="B31">
        <v>23507</v>
      </c>
      <c r="D31">
        <v>1.54396795125E-2</v>
      </c>
      <c r="F31">
        <v>18437</v>
      </c>
      <c r="H31">
        <v>18466</v>
      </c>
      <c r="I31">
        <v>0</v>
      </c>
      <c r="L31">
        <v>1</v>
      </c>
      <c r="N31">
        <v>4.8586315679999999E-2</v>
      </c>
      <c r="R31">
        <v>1.8094542006999999E-2</v>
      </c>
      <c r="T31">
        <v>18444</v>
      </c>
    </row>
    <row r="32" spans="1:22" x14ac:dyDescent="0.25">
      <c r="A32">
        <v>23660</v>
      </c>
      <c r="B32">
        <v>23528</v>
      </c>
      <c r="D32">
        <v>1.9650457797667002E-2</v>
      </c>
      <c r="F32">
        <v>18434</v>
      </c>
      <c r="H32">
        <v>18464</v>
      </c>
      <c r="I32">
        <v>0</v>
      </c>
      <c r="L32">
        <v>1</v>
      </c>
      <c r="N32">
        <v>4.8586314451999998E-2</v>
      </c>
      <c r="R32">
        <v>1.8094541658E-2</v>
      </c>
      <c r="T32">
        <v>18442</v>
      </c>
    </row>
    <row r="33" spans="1:20" x14ac:dyDescent="0.25">
      <c r="A33">
        <v>23694</v>
      </c>
      <c r="B33">
        <v>23611</v>
      </c>
      <c r="D33">
        <v>1.9650485991667001E-2</v>
      </c>
      <c r="F33">
        <v>18431</v>
      </c>
      <c r="H33">
        <v>18453</v>
      </c>
      <c r="I33">
        <v>1</v>
      </c>
      <c r="L33">
        <v>1</v>
      </c>
      <c r="N33">
        <v>4.8586314190999999E-2</v>
      </c>
      <c r="R33">
        <v>1.8094539773000001E-2</v>
      </c>
      <c r="T33">
        <v>18438</v>
      </c>
    </row>
    <row r="34" spans="1:20" x14ac:dyDescent="0.25">
      <c r="A34">
        <v>23549</v>
      </c>
      <c r="B34">
        <v>23713</v>
      </c>
      <c r="D34">
        <v>1.9650433934666998E-2</v>
      </c>
      <c r="F34">
        <v>18430</v>
      </c>
      <c r="H34">
        <v>18453</v>
      </c>
      <c r="I34">
        <v>1</v>
      </c>
      <c r="L34">
        <v>1</v>
      </c>
      <c r="N34">
        <v>4.8586313978999998E-2</v>
      </c>
      <c r="R34">
        <v>1.8094539082E-2</v>
      </c>
      <c r="T34">
        <v>18435</v>
      </c>
    </row>
    <row r="35" spans="1:20" x14ac:dyDescent="0.25">
      <c r="A35">
        <v>23633</v>
      </c>
      <c r="B35">
        <v>23624</v>
      </c>
      <c r="D35">
        <v>1.9650455002666999E-2</v>
      </c>
      <c r="F35">
        <v>18430</v>
      </c>
      <c r="H35">
        <v>18444</v>
      </c>
      <c r="I35">
        <v>0</v>
      </c>
      <c r="L35">
        <v>1</v>
      </c>
      <c r="N35">
        <v>4.8586306189999998E-2</v>
      </c>
      <c r="R35">
        <v>1.8094538394E-2</v>
      </c>
      <c r="T35">
        <v>18429</v>
      </c>
    </row>
    <row r="36" spans="1:20" x14ac:dyDescent="0.25">
      <c r="A36">
        <v>23718</v>
      </c>
      <c r="B36">
        <v>23721</v>
      </c>
      <c r="D36">
        <v>1.9650446740666998E-2</v>
      </c>
      <c r="F36">
        <v>18420</v>
      </c>
      <c r="H36">
        <v>18437</v>
      </c>
      <c r="I36">
        <v>0</v>
      </c>
      <c r="L36">
        <v>1</v>
      </c>
      <c r="N36">
        <v>4.8586298573000002E-2</v>
      </c>
      <c r="R36">
        <v>1.8094536322000001E-2</v>
      </c>
      <c r="T36">
        <v>18426</v>
      </c>
    </row>
    <row r="37" spans="1:20" x14ac:dyDescent="0.25">
      <c r="A37">
        <v>23585</v>
      </c>
      <c r="B37">
        <v>23626</v>
      </c>
      <c r="D37">
        <v>1.9650476900666999E-2</v>
      </c>
      <c r="F37">
        <v>18418</v>
      </c>
      <c r="H37">
        <v>18434</v>
      </c>
      <c r="I37">
        <v>1</v>
      </c>
      <c r="L37">
        <v>1</v>
      </c>
      <c r="N37">
        <v>4.8586293384000001E-2</v>
      </c>
      <c r="R37">
        <v>1.8094536118E-2</v>
      </c>
      <c r="T37">
        <v>18424</v>
      </c>
    </row>
    <row r="38" spans="1:20" x14ac:dyDescent="0.25">
      <c r="A38">
        <v>23577</v>
      </c>
      <c r="B38">
        <v>23505</v>
      </c>
      <c r="D38">
        <v>1.9650468384667E-2</v>
      </c>
      <c r="F38">
        <v>18416</v>
      </c>
      <c r="H38">
        <v>18431</v>
      </c>
      <c r="I38">
        <v>1</v>
      </c>
      <c r="L38">
        <v>0</v>
      </c>
      <c r="N38">
        <v>4.858629213E-2</v>
      </c>
      <c r="R38">
        <v>1.8094534214000001E-2</v>
      </c>
      <c r="T38">
        <v>18422</v>
      </c>
    </row>
    <row r="39" spans="1:20" x14ac:dyDescent="0.25">
      <c r="B39">
        <v>23645</v>
      </c>
      <c r="F39">
        <v>18416</v>
      </c>
      <c r="H39">
        <v>18430</v>
      </c>
      <c r="I39">
        <v>1</v>
      </c>
      <c r="L39">
        <v>0</v>
      </c>
      <c r="N39">
        <v>0</v>
      </c>
      <c r="R39">
        <v>1.8094532173E-2</v>
      </c>
      <c r="T39">
        <v>18418</v>
      </c>
    </row>
    <row r="40" spans="1:20" x14ac:dyDescent="0.25">
      <c r="B40">
        <v>23617</v>
      </c>
      <c r="F40">
        <v>18413</v>
      </c>
      <c r="H40">
        <v>18430</v>
      </c>
      <c r="I40">
        <v>0</v>
      </c>
      <c r="N40">
        <v>0</v>
      </c>
      <c r="R40">
        <v>1.8094518819999999E-2</v>
      </c>
      <c r="T40">
        <v>18409</v>
      </c>
    </row>
    <row r="41" spans="1:20" x14ac:dyDescent="0.25">
      <c r="B41">
        <v>23571</v>
      </c>
      <c r="H41">
        <v>18420</v>
      </c>
      <c r="I41">
        <v>0</v>
      </c>
      <c r="M41">
        <f>SUM(J42:J61)</f>
        <v>0</v>
      </c>
    </row>
    <row r="42" spans="1:20" x14ac:dyDescent="0.25">
      <c r="B42">
        <v>23527</v>
      </c>
      <c r="H42">
        <v>18418</v>
      </c>
      <c r="I42">
        <v>0</v>
      </c>
    </row>
    <row r="43" spans="1:20" x14ac:dyDescent="0.25">
      <c r="B43">
        <v>23519</v>
      </c>
      <c r="D43" t="s">
        <v>17</v>
      </c>
      <c r="H43">
        <v>18416</v>
      </c>
      <c r="I43">
        <v>0</v>
      </c>
      <c r="N43">
        <f>SUM(K44:K63)</f>
        <v>47030</v>
      </c>
    </row>
    <row r="44" spans="1:20" x14ac:dyDescent="0.25">
      <c r="B44">
        <v>23677</v>
      </c>
      <c r="D44">
        <v>23721</v>
      </c>
      <c r="H44">
        <v>18416</v>
      </c>
      <c r="I44">
        <v>0</v>
      </c>
      <c r="S44">
        <f>AVERAGE(R21:R40)</f>
        <v>1.8094548745599997E-2</v>
      </c>
    </row>
    <row r="45" spans="1:20" x14ac:dyDescent="0.25">
      <c r="B45">
        <v>23598</v>
      </c>
      <c r="D45">
        <v>23720</v>
      </c>
      <c r="H45">
        <v>18413</v>
      </c>
      <c r="I45">
        <v>1</v>
      </c>
    </row>
    <row r="46" spans="1:20" x14ac:dyDescent="0.25">
      <c r="B46">
        <v>23531</v>
      </c>
      <c r="D46">
        <v>23693</v>
      </c>
      <c r="I46">
        <v>0</v>
      </c>
    </row>
    <row r="47" spans="1:20" x14ac:dyDescent="0.25">
      <c r="A47" t="s">
        <v>17</v>
      </c>
      <c r="B47">
        <v>23611</v>
      </c>
      <c r="D47">
        <v>23668</v>
      </c>
      <c r="I47">
        <v>0</v>
      </c>
    </row>
    <row r="48" spans="1:20" x14ac:dyDescent="0.25">
      <c r="A48">
        <v>1.8094590051E-2</v>
      </c>
      <c r="B48">
        <v>23519</v>
      </c>
      <c r="D48">
        <v>23664</v>
      </c>
      <c r="G48" t="s">
        <v>17</v>
      </c>
      <c r="I48">
        <v>0</v>
      </c>
    </row>
    <row r="49" spans="1:19" x14ac:dyDescent="0.25">
      <c r="A49">
        <v>1.8094585715E-2</v>
      </c>
      <c r="B49">
        <v>23518</v>
      </c>
      <c r="D49">
        <v>23654</v>
      </c>
      <c r="G49">
        <v>18481</v>
      </c>
      <c r="I49">
        <v>0</v>
      </c>
    </row>
    <row r="50" spans="1:19" x14ac:dyDescent="0.25">
      <c r="A50">
        <v>1.8094584843999999E-2</v>
      </c>
      <c r="B50">
        <v>23707</v>
      </c>
      <c r="D50">
        <v>23652</v>
      </c>
      <c r="G50">
        <v>18478</v>
      </c>
      <c r="I50">
        <v>1</v>
      </c>
    </row>
    <row r="51" spans="1:19" x14ac:dyDescent="0.25">
      <c r="A51">
        <v>1.8094555589E-2</v>
      </c>
      <c r="B51">
        <v>23663</v>
      </c>
      <c r="D51">
        <v>23636</v>
      </c>
      <c r="G51">
        <v>18477</v>
      </c>
      <c r="I51">
        <v>0</v>
      </c>
      <c r="M51" t="s">
        <v>17</v>
      </c>
      <c r="P51">
        <f>SUM(M52:M71)</f>
        <v>258953</v>
      </c>
    </row>
    <row r="52" spans="1:19" x14ac:dyDescent="0.25">
      <c r="A52">
        <v>1.8094553691E-2</v>
      </c>
      <c r="B52">
        <v>23723</v>
      </c>
      <c r="D52">
        <v>23632</v>
      </c>
      <c r="G52">
        <v>18474</v>
      </c>
      <c r="I52">
        <v>0</v>
      </c>
      <c r="M52">
        <v>12981</v>
      </c>
      <c r="S52">
        <f>SUM(S55:S74)</f>
        <v>258950</v>
      </c>
    </row>
    <row r="53" spans="1:19" x14ac:dyDescent="0.25">
      <c r="A53">
        <v>1.8094553467999999E-2</v>
      </c>
      <c r="B53">
        <v>23536</v>
      </c>
      <c r="D53">
        <v>23630</v>
      </c>
      <c r="G53">
        <v>18471</v>
      </c>
      <c r="I53">
        <v>0</v>
      </c>
      <c r="M53">
        <v>12978</v>
      </c>
    </row>
    <row r="54" spans="1:19" x14ac:dyDescent="0.25">
      <c r="A54">
        <v>1.8094553138999998E-2</v>
      </c>
      <c r="B54">
        <v>23580</v>
      </c>
      <c r="D54">
        <v>23623</v>
      </c>
      <c r="G54">
        <v>18470</v>
      </c>
      <c r="I54">
        <v>0</v>
      </c>
      <c r="M54">
        <v>12977</v>
      </c>
      <c r="S54" t="s">
        <v>17</v>
      </c>
    </row>
    <row r="55" spans="1:19" x14ac:dyDescent="0.25">
      <c r="A55">
        <v>1.8094550208E-2</v>
      </c>
      <c r="B55">
        <v>23536</v>
      </c>
      <c r="D55">
        <v>23599</v>
      </c>
      <c r="G55">
        <v>18461</v>
      </c>
      <c r="I55">
        <v>0</v>
      </c>
      <c r="M55">
        <v>12974</v>
      </c>
      <c r="P55" t="s">
        <v>17</v>
      </c>
      <c r="Q55">
        <f>SUM(P56:P75)</f>
        <v>258930</v>
      </c>
      <c r="S55">
        <v>12980</v>
      </c>
    </row>
    <row r="56" spans="1:19" x14ac:dyDescent="0.25">
      <c r="A56">
        <v>1.8094547175E-2</v>
      </c>
      <c r="B56">
        <v>23666</v>
      </c>
      <c r="D56">
        <v>23594</v>
      </c>
      <c r="G56">
        <v>18456</v>
      </c>
      <c r="I56">
        <v>0</v>
      </c>
      <c r="M56">
        <v>12971</v>
      </c>
      <c r="P56">
        <v>12987</v>
      </c>
      <c r="S56">
        <v>12980</v>
      </c>
    </row>
    <row r="57" spans="1:19" x14ac:dyDescent="0.25">
      <c r="A57">
        <v>1.8094542471000001E-2</v>
      </c>
      <c r="B57">
        <v>23636</v>
      </c>
      <c r="D57">
        <v>23565</v>
      </c>
      <c r="G57">
        <v>18450</v>
      </c>
      <c r="I57">
        <v>0</v>
      </c>
      <c r="M57">
        <v>12970</v>
      </c>
      <c r="P57">
        <v>12985</v>
      </c>
      <c r="S57">
        <v>12977</v>
      </c>
    </row>
    <row r="58" spans="1:19" x14ac:dyDescent="0.25">
      <c r="A58">
        <v>1.8094542006999999E-2</v>
      </c>
      <c r="B58">
        <v>23601</v>
      </c>
      <c r="D58">
        <v>23564</v>
      </c>
      <c r="G58">
        <v>18448</v>
      </c>
      <c r="I58">
        <v>1</v>
      </c>
      <c r="M58">
        <v>12961</v>
      </c>
      <c r="P58">
        <v>12982</v>
      </c>
      <c r="S58">
        <v>12975</v>
      </c>
    </row>
    <row r="59" spans="1:19" x14ac:dyDescent="0.25">
      <c r="A59">
        <v>1.8094541658E-2</v>
      </c>
      <c r="B59">
        <v>23688</v>
      </c>
      <c r="D59">
        <v>23555</v>
      </c>
      <c r="G59">
        <v>18444</v>
      </c>
      <c r="I59">
        <v>0</v>
      </c>
      <c r="M59">
        <v>12956</v>
      </c>
      <c r="P59">
        <v>12978</v>
      </c>
      <c r="S59">
        <v>12974</v>
      </c>
    </row>
    <row r="60" spans="1:19" x14ac:dyDescent="0.25">
      <c r="A60">
        <v>1.8094539773000001E-2</v>
      </c>
      <c r="B60">
        <v>23642</v>
      </c>
      <c r="D60">
        <v>23548</v>
      </c>
      <c r="G60">
        <v>18442</v>
      </c>
      <c r="I60">
        <v>1</v>
      </c>
      <c r="M60">
        <v>12950</v>
      </c>
      <c r="P60">
        <v>12973</v>
      </c>
      <c r="S60">
        <v>12971</v>
      </c>
    </row>
    <row r="61" spans="1:19" x14ac:dyDescent="0.25">
      <c r="A61">
        <v>1.8094539082E-2</v>
      </c>
      <c r="B61">
        <v>23693</v>
      </c>
      <c r="D61">
        <v>23543</v>
      </c>
      <c r="G61">
        <v>18438</v>
      </c>
      <c r="I61">
        <v>0</v>
      </c>
      <c r="M61">
        <v>12948</v>
      </c>
      <c r="P61">
        <v>12966</v>
      </c>
      <c r="S61">
        <v>12965</v>
      </c>
    </row>
    <row r="62" spans="1:19" x14ac:dyDescent="0.25">
      <c r="A62">
        <v>1.8094538394E-2</v>
      </c>
      <c r="B62">
        <v>23597</v>
      </c>
      <c r="D62">
        <v>23542</v>
      </c>
      <c r="G62">
        <v>18435</v>
      </c>
      <c r="I62">
        <v>0</v>
      </c>
      <c r="K62">
        <v>23517</v>
      </c>
      <c r="M62">
        <v>12944</v>
      </c>
      <c r="P62">
        <v>12964</v>
      </c>
      <c r="S62">
        <v>12957</v>
      </c>
    </row>
    <row r="63" spans="1:19" x14ac:dyDescent="0.25">
      <c r="A63">
        <v>1.8094536322000001E-2</v>
      </c>
      <c r="B63">
        <v>23567</v>
      </c>
      <c r="D63">
        <v>23525</v>
      </c>
      <c r="G63">
        <v>18429</v>
      </c>
      <c r="I63">
        <v>1</v>
      </c>
      <c r="K63">
        <v>23513</v>
      </c>
      <c r="M63">
        <v>12942</v>
      </c>
      <c r="P63">
        <v>12953</v>
      </c>
      <c r="S63">
        <v>12948</v>
      </c>
    </row>
    <row r="64" spans="1:19" x14ac:dyDescent="0.25">
      <c r="A64">
        <v>1.8094536118E-2</v>
      </c>
      <c r="B64">
        <v>23661</v>
      </c>
      <c r="G64">
        <v>18426</v>
      </c>
      <c r="I64">
        <v>0</v>
      </c>
      <c r="M64">
        <v>12938</v>
      </c>
      <c r="P64">
        <v>12953</v>
      </c>
      <c r="S64">
        <v>12946</v>
      </c>
    </row>
    <row r="65" spans="1:19" x14ac:dyDescent="0.25">
      <c r="A65">
        <v>1.8094534214000001E-2</v>
      </c>
      <c r="B65">
        <v>23628</v>
      </c>
      <c r="G65">
        <v>18424</v>
      </c>
      <c r="I65">
        <v>0</v>
      </c>
      <c r="M65">
        <v>12935</v>
      </c>
      <c r="P65">
        <v>12944</v>
      </c>
      <c r="S65">
        <v>12945</v>
      </c>
    </row>
    <row r="66" spans="1:19" x14ac:dyDescent="0.25">
      <c r="A66">
        <v>1.8094532173E-2</v>
      </c>
      <c r="B66">
        <v>23555</v>
      </c>
      <c r="G66">
        <v>18422</v>
      </c>
      <c r="I66">
        <v>1</v>
      </c>
      <c r="M66">
        <v>12929</v>
      </c>
      <c r="P66">
        <v>12937</v>
      </c>
      <c r="S66">
        <v>12940</v>
      </c>
    </row>
    <row r="67" spans="1:19" x14ac:dyDescent="0.25">
      <c r="A67">
        <v>1.8094518819999999E-2</v>
      </c>
      <c r="B67">
        <v>23636</v>
      </c>
      <c r="G67">
        <v>18418</v>
      </c>
      <c r="I67">
        <v>1</v>
      </c>
      <c r="M67">
        <v>12926</v>
      </c>
      <c r="P67">
        <v>12934</v>
      </c>
      <c r="S67">
        <v>12939</v>
      </c>
    </row>
    <row r="68" spans="1:19" x14ac:dyDescent="0.25">
      <c r="B68">
        <v>23524</v>
      </c>
      <c r="G68">
        <v>18409</v>
      </c>
      <c r="I68">
        <v>1</v>
      </c>
      <c r="K68">
        <f>AVERAGE(I69:I88)</f>
        <v>0.3</v>
      </c>
      <c r="M68">
        <v>12924</v>
      </c>
      <c r="P68">
        <v>12931</v>
      </c>
      <c r="S68">
        <v>12935</v>
      </c>
    </row>
    <row r="69" spans="1:19" x14ac:dyDescent="0.25">
      <c r="B69">
        <v>23582</v>
      </c>
      <c r="I69">
        <v>0</v>
      </c>
      <c r="M69">
        <v>12922</v>
      </c>
      <c r="P69">
        <v>12930</v>
      </c>
      <c r="S69">
        <v>12932</v>
      </c>
    </row>
    <row r="70" spans="1:19" x14ac:dyDescent="0.25">
      <c r="B70">
        <v>23525</v>
      </c>
      <c r="I70">
        <v>0</v>
      </c>
      <c r="M70">
        <v>12918</v>
      </c>
      <c r="P70">
        <v>12930</v>
      </c>
      <c r="S70">
        <v>12931</v>
      </c>
    </row>
    <row r="71" spans="1:19" x14ac:dyDescent="0.25">
      <c r="B71">
        <v>23572</v>
      </c>
      <c r="I71">
        <v>1</v>
      </c>
      <c r="M71">
        <v>12909</v>
      </c>
      <c r="P71">
        <v>12920</v>
      </c>
      <c r="S71">
        <v>12921</v>
      </c>
    </row>
    <row r="72" spans="1:19" x14ac:dyDescent="0.25">
      <c r="B72">
        <v>23624</v>
      </c>
      <c r="I72">
        <v>1</v>
      </c>
      <c r="P72">
        <v>12918</v>
      </c>
      <c r="S72">
        <v>12919</v>
      </c>
    </row>
    <row r="73" spans="1:19" x14ac:dyDescent="0.25">
      <c r="B73">
        <v>23505</v>
      </c>
      <c r="I73">
        <v>0</v>
      </c>
      <c r="P73">
        <v>12916</v>
      </c>
      <c r="S73">
        <v>12914</v>
      </c>
    </row>
    <row r="74" spans="1:19" x14ac:dyDescent="0.25">
      <c r="B74">
        <v>23699</v>
      </c>
      <c r="I74">
        <v>0</v>
      </c>
      <c r="P74">
        <v>12916</v>
      </c>
      <c r="S74">
        <v>12901</v>
      </c>
    </row>
    <row r="75" spans="1:19" x14ac:dyDescent="0.25">
      <c r="B75">
        <v>23553</v>
      </c>
      <c r="I75">
        <v>0</v>
      </c>
      <c r="P75">
        <v>12913</v>
      </c>
    </row>
    <row r="76" spans="1:19" x14ac:dyDescent="0.25">
      <c r="B76">
        <v>23633</v>
      </c>
      <c r="I76">
        <v>1</v>
      </c>
      <c r="K76" t="s">
        <v>17</v>
      </c>
      <c r="N76">
        <f>SUM(K77:K96)</f>
        <v>258938</v>
      </c>
    </row>
    <row r="77" spans="1:19" x14ac:dyDescent="0.25">
      <c r="B77">
        <v>23574</v>
      </c>
      <c r="I77">
        <v>0</v>
      </c>
      <c r="K77">
        <v>12989</v>
      </c>
    </row>
    <row r="78" spans="1:19" x14ac:dyDescent="0.25">
      <c r="B78">
        <v>23669</v>
      </c>
      <c r="I78">
        <v>0</v>
      </c>
      <c r="K78">
        <v>12988</v>
      </c>
    </row>
    <row r="79" spans="1:19" x14ac:dyDescent="0.25">
      <c r="B79">
        <v>23655</v>
      </c>
      <c r="I79">
        <v>1</v>
      </c>
      <c r="K79">
        <v>12978</v>
      </c>
    </row>
    <row r="80" spans="1:19" x14ac:dyDescent="0.25">
      <c r="B80">
        <v>23508</v>
      </c>
      <c r="I80">
        <v>0</v>
      </c>
      <c r="K80">
        <v>12967</v>
      </c>
    </row>
    <row r="81" spans="2:11" x14ac:dyDescent="0.25">
      <c r="B81">
        <v>23593</v>
      </c>
      <c r="I81">
        <v>0</v>
      </c>
      <c r="K81">
        <v>12966</v>
      </c>
    </row>
    <row r="82" spans="2:11" x14ac:dyDescent="0.25">
      <c r="B82">
        <v>23577</v>
      </c>
      <c r="I82">
        <v>0</v>
      </c>
      <c r="K82">
        <v>12962</v>
      </c>
    </row>
    <row r="83" spans="2:11" x14ac:dyDescent="0.25">
      <c r="I83">
        <v>0</v>
      </c>
      <c r="K83">
        <v>12961</v>
      </c>
    </row>
    <row r="84" spans="2:11" x14ac:dyDescent="0.25">
      <c r="I84">
        <v>0</v>
      </c>
      <c r="K84">
        <v>12955</v>
      </c>
    </row>
    <row r="85" spans="2:11" x14ac:dyDescent="0.25">
      <c r="I85">
        <v>1</v>
      </c>
      <c r="K85">
        <v>12953</v>
      </c>
    </row>
    <row r="86" spans="2:11" x14ac:dyDescent="0.25">
      <c r="I86">
        <v>1</v>
      </c>
      <c r="K86">
        <v>12952</v>
      </c>
    </row>
    <row r="87" spans="2:11" x14ac:dyDescent="0.25">
      <c r="I87">
        <v>0</v>
      </c>
      <c r="K87">
        <v>12950</v>
      </c>
    </row>
    <row r="88" spans="2:11" x14ac:dyDescent="0.25">
      <c r="I88">
        <v>0</v>
      </c>
      <c r="K88">
        <v>12940</v>
      </c>
    </row>
    <row r="89" spans="2:11" x14ac:dyDescent="0.25">
      <c r="K89">
        <v>12938</v>
      </c>
    </row>
    <row r="90" spans="2:11" x14ac:dyDescent="0.25">
      <c r="K90">
        <v>12926</v>
      </c>
    </row>
    <row r="91" spans="2:11" x14ac:dyDescent="0.25">
      <c r="K91">
        <v>12926</v>
      </c>
    </row>
    <row r="92" spans="2:11" x14ac:dyDescent="0.25">
      <c r="K92">
        <v>12922</v>
      </c>
    </row>
    <row r="93" spans="2:11" x14ac:dyDescent="0.25">
      <c r="K93">
        <v>12920</v>
      </c>
    </row>
    <row r="94" spans="2:11" x14ac:dyDescent="0.25">
      <c r="K94">
        <v>12918</v>
      </c>
    </row>
    <row r="95" spans="2:11" x14ac:dyDescent="0.25">
      <c r="K95">
        <v>12917</v>
      </c>
    </row>
    <row r="96" spans="2:11" x14ac:dyDescent="0.25">
      <c r="K96">
        <v>12910</v>
      </c>
    </row>
  </sheetData>
  <mergeCells count="2">
    <mergeCell ref="A7:A9"/>
    <mergeCell ref="A10:A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26"/>
  <sheetViews>
    <sheetView topLeftCell="A2" workbookViewId="0">
      <selection activeCell="E24" sqref="E24"/>
    </sheetView>
  </sheetViews>
  <sheetFormatPr baseColWidth="10" defaultRowHeight="15" x14ac:dyDescent="0.25"/>
  <cols>
    <col min="3" max="3" width="19" customWidth="1"/>
  </cols>
  <sheetData>
    <row r="5" spans="3:13" x14ac:dyDescent="0.25">
      <c r="C5" t="s">
        <v>56</v>
      </c>
      <c r="D5">
        <v>-55</v>
      </c>
      <c r="E5" t="s">
        <v>59</v>
      </c>
      <c r="F5">
        <f>D5-10*D6*LOG10(D8/D7)</f>
        <v>-103</v>
      </c>
    </row>
    <row r="6" spans="3:13" x14ac:dyDescent="0.25">
      <c r="C6" t="s">
        <v>57</v>
      </c>
      <c r="D6">
        <v>2.4</v>
      </c>
    </row>
    <row r="7" spans="3:13" x14ac:dyDescent="0.25">
      <c r="C7" t="s">
        <v>58</v>
      </c>
      <c r="D7">
        <v>1</v>
      </c>
      <c r="J7">
        <f>60+20</f>
        <v>80</v>
      </c>
    </row>
    <row r="8" spans="3:13" x14ac:dyDescent="0.25">
      <c r="C8" t="s">
        <v>60</v>
      </c>
      <c r="D8">
        <v>100</v>
      </c>
      <c r="J8">
        <f>J7/3</f>
        <v>26.666666666666668</v>
      </c>
      <c r="K8" t="s">
        <v>61</v>
      </c>
      <c r="L8" s="122">
        <v>0.01</v>
      </c>
      <c r="M8" t="s">
        <v>62</v>
      </c>
    </row>
    <row r="10" spans="3:13" x14ac:dyDescent="0.25">
      <c r="J10">
        <f>J8*100</f>
        <v>2666.666666666667</v>
      </c>
    </row>
    <row r="11" spans="3:13" x14ac:dyDescent="0.25">
      <c r="J11">
        <f>J10/60</f>
        <v>44.44444444444445</v>
      </c>
    </row>
    <row r="12" spans="3:13" x14ac:dyDescent="0.25">
      <c r="G12">
        <f>50*50</f>
        <v>2500</v>
      </c>
      <c r="J12">
        <f>J11/24</f>
        <v>1.8518518518518521</v>
      </c>
      <c r="L12">
        <f>0.85*24</f>
        <v>20.399999999999999</v>
      </c>
    </row>
    <row r="13" spans="3:13" x14ac:dyDescent="0.25">
      <c r="G13">
        <f>G12/60</f>
        <v>41.666666666666664</v>
      </c>
      <c r="J13">
        <v>1</v>
      </c>
      <c r="K13" t="s">
        <v>63</v>
      </c>
      <c r="L13">
        <f>L12</f>
        <v>20.399999999999999</v>
      </c>
      <c r="M13" t="s">
        <v>64</v>
      </c>
    </row>
    <row r="14" spans="3:13" x14ac:dyDescent="0.25">
      <c r="G14">
        <f>G13/24</f>
        <v>1.7361111111111109</v>
      </c>
    </row>
    <row r="15" spans="3:13" x14ac:dyDescent="0.25">
      <c r="J15">
        <f>J12*3</f>
        <v>5.5555555555555562</v>
      </c>
    </row>
    <row r="17" spans="6:12" x14ac:dyDescent="0.25">
      <c r="F17" s="105" t="s">
        <v>66</v>
      </c>
    </row>
    <row r="18" spans="6:12" x14ac:dyDescent="0.25">
      <c r="F18" s="105">
        <v>1</v>
      </c>
      <c r="G18">
        <f>J8</f>
        <v>26.666666666666668</v>
      </c>
      <c r="I18">
        <f>G18/60</f>
        <v>0.44444444444444448</v>
      </c>
      <c r="J18" t="s">
        <v>65</v>
      </c>
    </row>
    <row r="19" spans="6:12" x14ac:dyDescent="0.25">
      <c r="F19" s="105">
        <v>2</v>
      </c>
      <c r="G19">
        <f>G18+$J$8</f>
        <v>53.333333333333336</v>
      </c>
      <c r="I19">
        <f t="shared" ref="I19:I82" si="0">G19/60</f>
        <v>0.88888888888888895</v>
      </c>
      <c r="J19" t="s">
        <v>65</v>
      </c>
    </row>
    <row r="20" spans="6:12" x14ac:dyDescent="0.25">
      <c r="F20" s="105">
        <v>3</v>
      </c>
      <c r="G20">
        <f>G19+$J$8</f>
        <v>80</v>
      </c>
      <c r="I20">
        <f t="shared" si="0"/>
        <v>1.3333333333333333</v>
      </c>
      <c r="J20" t="s">
        <v>65</v>
      </c>
    </row>
    <row r="21" spans="6:12" x14ac:dyDescent="0.25">
      <c r="F21" s="105">
        <v>4</v>
      </c>
      <c r="G21">
        <f>G20+$J$8</f>
        <v>106.66666666666667</v>
      </c>
      <c r="I21">
        <f t="shared" si="0"/>
        <v>1.7777777777777779</v>
      </c>
      <c r="J21" t="s">
        <v>65</v>
      </c>
    </row>
    <row r="22" spans="6:12" x14ac:dyDescent="0.25">
      <c r="F22" s="105">
        <v>5</v>
      </c>
      <c r="G22">
        <f t="shared" ref="G22:G60" si="1">G21+$J$8</f>
        <v>133.33333333333334</v>
      </c>
      <c r="I22">
        <f t="shared" si="0"/>
        <v>2.2222222222222223</v>
      </c>
      <c r="J22" t="s">
        <v>65</v>
      </c>
    </row>
    <row r="23" spans="6:12" x14ac:dyDescent="0.25">
      <c r="F23" s="105">
        <v>6</v>
      </c>
      <c r="G23">
        <f t="shared" si="1"/>
        <v>160</v>
      </c>
      <c r="I23">
        <f t="shared" si="0"/>
        <v>2.6666666666666665</v>
      </c>
      <c r="J23" t="s">
        <v>65</v>
      </c>
    </row>
    <row r="24" spans="6:12" x14ac:dyDescent="0.25">
      <c r="F24" s="105">
        <v>7</v>
      </c>
      <c r="G24">
        <f t="shared" si="1"/>
        <v>186.66666666666666</v>
      </c>
      <c r="I24">
        <f t="shared" si="0"/>
        <v>3.1111111111111112</v>
      </c>
      <c r="J24" t="s">
        <v>65</v>
      </c>
    </row>
    <row r="25" spans="6:12" x14ac:dyDescent="0.25">
      <c r="F25" s="105">
        <v>8</v>
      </c>
      <c r="G25">
        <f t="shared" si="1"/>
        <v>213.33333333333331</v>
      </c>
      <c r="I25">
        <f t="shared" si="0"/>
        <v>3.5555555555555554</v>
      </c>
      <c r="J25" t="s">
        <v>65</v>
      </c>
    </row>
    <row r="26" spans="6:12" x14ac:dyDescent="0.25">
      <c r="F26" s="105">
        <v>9</v>
      </c>
      <c r="G26">
        <f t="shared" si="1"/>
        <v>239.99999999999997</v>
      </c>
      <c r="I26">
        <f t="shared" si="0"/>
        <v>3.9999999999999996</v>
      </c>
      <c r="J26" t="s">
        <v>65</v>
      </c>
    </row>
    <row r="27" spans="6:12" x14ac:dyDescent="0.25">
      <c r="F27" s="105">
        <v>10</v>
      </c>
      <c r="G27">
        <f t="shared" si="1"/>
        <v>266.66666666666663</v>
      </c>
      <c r="I27">
        <f t="shared" si="0"/>
        <v>4.4444444444444438</v>
      </c>
      <c r="J27" t="s">
        <v>65</v>
      </c>
      <c r="L27">
        <f>0.33*60</f>
        <v>19.8</v>
      </c>
    </row>
    <row r="28" spans="6:12" x14ac:dyDescent="0.25">
      <c r="F28" s="105">
        <v>11</v>
      </c>
      <c r="G28">
        <f t="shared" si="1"/>
        <v>293.33333333333331</v>
      </c>
      <c r="I28">
        <f t="shared" si="0"/>
        <v>4.8888888888888884</v>
      </c>
      <c r="J28" t="s">
        <v>65</v>
      </c>
    </row>
    <row r="29" spans="6:12" x14ac:dyDescent="0.25">
      <c r="F29" s="105">
        <v>12</v>
      </c>
      <c r="G29">
        <f t="shared" si="1"/>
        <v>320</v>
      </c>
      <c r="I29">
        <f t="shared" si="0"/>
        <v>5.333333333333333</v>
      </c>
      <c r="J29" t="s">
        <v>65</v>
      </c>
    </row>
    <row r="30" spans="6:12" x14ac:dyDescent="0.25">
      <c r="F30" s="105">
        <v>13</v>
      </c>
      <c r="G30">
        <f t="shared" si="1"/>
        <v>346.66666666666669</v>
      </c>
      <c r="I30">
        <f t="shared" si="0"/>
        <v>5.7777777777777777</v>
      </c>
      <c r="J30" t="s">
        <v>65</v>
      </c>
    </row>
    <row r="31" spans="6:12" x14ac:dyDescent="0.25">
      <c r="F31" s="105">
        <v>14</v>
      </c>
      <c r="G31">
        <f t="shared" si="1"/>
        <v>373.33333333333337</v>
      </c>
      <c r="I31">
        <f t="shared" si="0"/>
        <v>6.2222222222222232</v>
      </c>
      <c r="J31" t="s">
        <v>65</v>
      </c>
    </row>
    <row r="32" spans="6:12" x14ac:dyDescent="0.25">
      <c r="F32" s="105">
        <v>15</v>
      </c>
      <c r="G32">
        <f t="shared" si="1"/>
        <v>400.00000000000006</v>
      </c>
      <c r="I32">
        <f t="shared" si="0"/>
        <v>6.6666666666666679</v>
      </c>
      <c r="J32" t="s">
        <v>65</v>
      </c>
    </row>
    <row r="33" spans="6:10" x14ac:dyDescent="0.25">
      <c r="F33" s="105">
        <v>16</v>
      </c>
      <c r="G33">
        <f t="shared" si="1"/>
        <v>426.66666666666674</v>
      </c>
      <c r="I33">
        <f t="shared" si="0"/>
        <v>7.1111111111111125</v>
      </c>
      <c r="J33" t="s">
        <v>65</v>
      </c>
    </row>
    <row r="34" spans="6:10" x14ac:dyDescent="0.25">
      <c r="F34" s="105">
        <v>17</v>
      </c>
      <c r="G34">
        <f t="shared" si="1"/>
        <v>453.33333333333343</v>
      </c>
      <c r="I34">
        <f t="shared" si="0"/>
        <v>7.5555555555555571</v>
      </c>
      <c r="J34" t="s">
        <v>65</v>
      </c>
    </row>
    <row r="35" spans="6:10" x14ac:dyDescent="0.25">
      <c r="F35" s="105">
        <v>18</v>
      </c>
      <c r="G35">
        <f t="shared" si="1"/>
        <v>480.00000000000011</v>
      </c>
      <c r="I35">
        <f t="shared" si="0"/>
        <v>8.0000000000000018</v>
      </c>
      <c r="J35" t="s">
        <v>65</v>
      </c>
    </row>
    <row r="36" spans="6:10" x14ac:dyDescent="0.25">
      <c r="F36" s="105">
        <v>19</v>
      </c>
      <c r="G36">
        <f t="shared" si="1"/>
        <v>506.6666666666668</v>
      </c>
      <c r="I36">
        <f t="shared" si="0"/>
        <v>8.4444444444444464</v>
      </c>
      <c r="J36" t="s">
        <v>65</v>
      </c>
    </row>
    <row r="37" spans="6:10" x14ac:dyDescent="0.25">
      <c r="F37" s="105">
        <v>20</v>
      </c>
      <c r="G37">
        <f t="shared" si="1"/>
        <v>533.33333333333348</v>
      </c>
      <c r="I37">
        <f t="shared" si="0"/>
        <v>8.8888888888888911</v>
      </c>
      <c r="J37" t="s">
        <v>65</v>
      </c>
    </row>
    <row r="38" spans="6:10" x14ac:dyDescent="0.25">
      <c r="F38" s="105">
        <v>21</v>
      </c>
      <c r="G38">
        <f t="shared" si="1"/>
        <v>560.00000000000011</v>
      </c>
      <c r="I38">
        <f t="shared" si="0"/>
        <v>9.3333333333333357</v>
      </c>
      <c r="J38" t="s">
        <v>65</v>
      </c>
    </row>
    <row r="39" spans="6:10" x14ac:dyDescent="0.25">
      <c r="F39" s="105">
        <v>22</v>
      </c>
      <c r="G39">
        <f t="shared" si="1"/>
        <v>586.66666666666674</v>
      </c>
      <c r="I39">
        <f t="shared" si="0"/>
        <v>9.7777777777777786</v>
      </c>
      <c r="J39" t="s">
        <v>65</v>
      </c>
    </row>
    <row r="40" spans="6:10" x14ac:dyDescent="0.25">
      <c r="F40" s="105">
        <v>23</v>
      </c>
      <c r="G40">
        <f t="shared" si="1"/>
        <v>613.33333333333337</v>
      </c>
      <c r="I40">
        <f t="shared" si="0"/>
        <v>10.222222222222223</v>
      </c>
      <c r="J40" t="s">
        <v>65</v>
      </c>
    </row>
    <row r="41" spans="6:10" x14ac:dyDescent="0.25">
      <c r="F41" s="105">
        <v>24</v>
      </c>
      <c r="G41">
        <f t="shared" si="1"/>
        <v>640</v>
      </c>
      <c r="I41">
        <f t="shared" si="0"/>
        <v>10.666666666666666</v>
      </c>
      <c r="J41" t="s">
        <v>65</v>
      </c>
    </row>
    <row r="42" spans="6:10" x14ac:dyDescent="0.25">
      <c r="F42" s="105">
        <v>25</v>
      </c>
      <c r="G42">
        <f t="shared" si="1"/>
        <v>666.66666666666663</v>
      </c>
      <c r="I42">
        <f t="shared" si="0"/>
        <v>11.111111111111111</v>
      </c>
      <c r="J42" t="s">
        <v>65</v>
      </c>
    </row>
    <row r="43" spans="6:10" x14ac:dyDescent="0.25">
      <c r="F43" s="105">
        <v>26</v>
      </c>
      <c r="G43">
        <f t="shared" si="1"/>
        <v>693.33333333333326</v>
      </c>
      <c r="I43">
        <f t="shared" si="0"/>
        <v>11.555555555555554</v>
      </c>
      <c r="J43" t="s">
        <v>65</v>
      </c>
    </row>
    <row r="44" spans="6:10" x14ac:dyDescent="0.25">
      <c r="F44" s="105">
        <v>27</v>
      </c>
      <c r="G44">
        <f t="shared" si="1"/>
        <v>719.99999999999989</v>
      </c>
      <c r="I44">
        <f t="shared" si="0"/>
        <v>11.999999999999998</v>
      </c>
      <c r="J44" t="s">
        <v>65</v>
      </c>
    </row>
    <row r="45" spans="6:10" x14ac:dyDescent="0.25">
      <c r="F45" s="105">
        <v>28</v>
      </c>
      <c r="G45">
        <f t="shared" si="1"/>
        <v>746.66666666666652</v>
      </c>
      <c r="I45">
        <f t="shared" si="0"/>
        <v>12.444444444444441</v>
      </c>
      <c r="J45" t="s">
        <v>65</v>
      </c>
    </row>
    <row r="46" spans="6:10" x14ac:dyDescent="0.25">
      <c r="F46" s="105">
        <v>29</v>
      </c>
      <c r="G46">
        <f t="shared" si="1"/>
        <v>773.33333333333314</v>
      </c>
      <c r="I46">
        <f t="shared" si="0"/>
        <v>12.888888888888886</v>
      </c>
      <c r="J46" t="s">
        <v>65</v>
      </c>
    </row>
    <row r="47" spans="6:10" x14ac:dyDescent="0.25">
      <c r="F47" s="105">
        <v>30</v>
      </c>
      <c r="G47">
        <f t="shared" si="1"/>
        <v>799.99999999999977</v>
      </c>
      <c r="I47">
        <f t="shared" si="0"/>
        <v>13.33333333333333</v>
      </c>
      <c r="J47" t="s">
        <v>65</v>
      </c>
    </row>
    <row r="48" spans="6:10" x14ac:dyDescent="0.25">
      <c r="F48" s="105">
        <v>31</v>
      </c>
      <c r="G48">
        <f t="shared" si="1"/>
        <v>826.6666666666664</v>
      </c>
      <c r="I48">
        <f t="shared" si="0"/>
        <v>13.777777777777773</v>
      </c>
      <c r="J48" t="s">
        <v>65</v>
      </c>
    </row>
    <row r="49" spans="6:10" x14ac:dyDescent="0.25">
      <c r="F49" s="105">
        <v>32</v>
      </c>
      <c r="G49">
        <f t="shared" si="1"/>
        <v>853.33333333333303</v>
      </c>
      <c r="I49">
        <f t="shared" si="0"/>
        <v>14.222222222222218</v>
      </c>
      <c r="J49" t="s">
        <v>65</v>
      </c>
    </row>
    <row r="50" spans="6:10" x14ac:dyDescent="0.25">
      <c r="F50" s="105">
        <v>33</v>
      </c>
      <c r="G50">
        <f t="shared" si="1"/>
        <v>879.99999999999966</v>
      </c>
      <c r="I50">
        <f t="shared" si="0"/>
        <v>14.666666666666661</v>
      </c>
      <c r="J50" t="s">
        <v>65</v>
      </c>
    </row>
    <row r="51" spans="6:10" x14ac:dyDescent="0.25">
      <c r="F51" s="105">
        <v>34</v>
      </c>
      <c r="G51">
        <f t="shared" si="1"/>
        <v>906.66666666666629</v>
      </c>
      <c r="I51">
        <f t="shared" si="0"/>
        <v>15.111111111111105</v>
      </c>
      <c r="J51" t="s">
        <v>65</v>
      </c>
    </row>
    <row r="52" spans="6:10" x14ac:dyDescent="0.25">
      <c r="F52" s="105">
        <v>35</v>
      </c>
      <c r="G52">
        <f t="shared" si="1"/>
        <v>933.33333333333292</v>
      </c>
      <c r="I52">
        <f t="shared" si="0"/>
        <v>15.555555555555548</v>
      </c>
      <c r="J52" t="s">
        <v>65</v>
      </c>
    </row>
    <row r="53" spans="6:10" x14ac:dyDescent="0.25">
      <c r="F53" s="105">
        <v>36</v>
      </c>
      <c r="G53">
        <f t="shared" si="1"/>
        <v>959.99999999999955</v>
      </c>
      <c r="I53">
        <f t="shared" si="0"/>
        <v>15.999999999999993</v>
      </c>
      <c r="J53" t="s">
        <v>65</v>
      </c>
    </row>
    <row r="54" spans="6:10" x14ac:dyDescent="0.25">
      <c r="F54" s="105">
        <v>37</v>
      </c>
      <c r="G54">
        <f t="shared" si="1"/>
        <v>986.66666666666617</v>
      </c>
      <c r="I54">
        <f t="shared" si="0"/>
        <v>16.444444444444436</v>
      </c>
      <c r="J54" t="s">
        <v>65</v>
      </c>
    </row>
    <row r="55" spans="6:10" x14ac:dyDescent="0.25">
      <c r="F55" s="105">
        <v>38</v>
      </c>
      <c r="G55">
        <f t="shared" si="1"/>
        <v>1013.3333333333328</v>
      </c>
      <c r="I55">
        <f t="shared" si="0"/>
        <v>16.888888888888879</v>
      </c>
      <c r="J55" t="s">
        <v>65</v>
      </c>
    </row>
    <row r="56" spans="6:10" x14ac:dyDescent="0.25">
      <c r="F56" s="105">
        <v>39</v>
      </c>
      <c r="G56">
        <f t="shared" si="1"/>
        <v>1039.9999999999995</v>
      </c>
      <c r="I56">
        <f t="shared" si="0"/>
        <v>17.333333333333325</v>
      </c>
      <c r="J56" t="s">
        <v>65</v>
      </c>
    </row>
    <row r="57" spans="6:10" x14ac:dyDescent="0.25">
      <c r="F57" s="105">
        <v>40</v>
      </c>
      <c r="G57">
        <f t="shared" si="1"/>
        <v>1066.6666666666663</v>
      </c>
      <c r="I57">
        <f t="shared" si="0"/>
        <v>17.777777777777771</v>
      </c>
      <c r="J57" t="s">
        <v>65</v>
      </c>
    </row>
    <row r="58" spans="6:10" x14ac:dyDescent="0.25">
      <c r="F58" s="105">
        <v>41</v>
      </c>
      <c r="G58">
        <f t="shared" si="1"/>
        <v>1093.333333333333</v>
      </c>
      <c r="I58">
        <f t="shared" si="0"/>
        <v>18.222222222222218</v>
      </c>
      <c r="J58" t="s">
        <v>65</v>
      </c>
    </row>
    <row r="59" spans="6:10" x14ac:dyDescent="0.25">
      <c r="F59" s="105">
        <v>42</v>
      </c>
      <c r="G59">
        <f t="shared" si="1"/>
        <v>1119.9999999999998</v>
      </c>
      <c r="I59">
        <f t="shared" si="0"/>
        <v>18.666666666666664</v>
      </c>
      <c r="J59" t="s">
        <v>65</v>
      </c>
    </row>
    <row r="60" spans="6:10" x14ac:dyDescent="0.25">
      <c r="F60" s="105">
        <v>43</v>
      </c>
      <c r="G60">
        <f t="shared" si="1"/>
        <v>1146.6666666666665</v>
      </c>
      <c r="I60">
        <f t="shared" si="0"/>
        <v>19.111111111111107</v>
      </c>
      <c r="J60" t="s">
        <v>65</v>
      </c>
    </row>
    <row r="61" spans="6:10" x14ac:dyDescent="0.25">
      <c r="F61" s="105">
        <v>44</v>
      </c>
      <c r="G61">
        <f>G60+$J$8</f>
        <v>1173.3333333333333</v>
      </c>
      <c r="I61">
        <f t="shared" si="0"/>
        <v>19.555555555555554</v>
      </c>
      <c r="J61" t="s">
        <v>65</v>
      </c>
    </row>
    <row r="62" spans="6:10" x14ac:dyDescent="0.25">
      <c r="F62" s="105">
        <v>45</v>
      </c>
      <c r="G62">
        <f>G61+$J$8</f>
        <v>1200</v>
      </c>
      <c r="I62">
        <f t="shared" si="0"/>
        <v>20</v>
      </c>
      <c r="J62" t="s">
        <v>65</v>
      </c>
    </row>
    <row r="63" spans="6:10" x14ac:dyDescent="0.25">
      <c r="F63" s="105">
        <v>46</v>
      </c>
      <c r="G63">
        <f>G62+$J$8</f>
        <v>1226.6666666666667</v>
      </c>
      <c r="I63">
        <f t="shared" si="0"/>
        <v>20.444444444444446</v>
      </c>
      <c r="J63" t="s">
        <v>65</v>
      </c>
    </row>
    <row r="64" spans="6:10" x14ac:dyDescent="0.25">
      <c r="F64" s="105">
        <v>47</v>
      </c>
      <c r="G64">
        <f t="shared" ref="G64:G126" si="2">G63+$J$8</f>
        <v>1253.3333333333335</v>
      </c>
      <c r="I64">
        <f t="shared" si="0"/>
        <v>20.888888888888893</v>
      </c>
      <c r="J64" t="s">
        <v>65</v>
      </c>
    </row>
    <row r="65" spans="6:10" x14ac:dyDescent="0.25">
      <c r="F65" s="105">
        <v>48</v>
      </c>
      <c r="G65">
        <f t="shared" si="2"/>
        <v>1280.0000000000002</v>
      </c>
      <c r="I65">
        <f t="shared" si="0"/>
        <v>21.333333333333336</v>
      </c>
      <c r="J65" t="s">
        <v>65</v>
      </c>
    </row>
    <row r="66" spans="6:10" x14ac:dyDescent="0.25">
      <c r="F66" s="105">
        <v>49</v>
      </c>
      <c r="G66">
        <f t="shared" si="2"/>
        <v>1306.666666666667</v>
      </c>
      <c r="I66">
        <f t="shared" si="0"/>
        <v>21.777777777777782</v>
      </c>
      <c r="J66" t="s">
        <v>65</v>
      </c>
    </row>
    <row r="67" spans="6:10" x14ac:dyDescent="0.25">
      <c r="F67" s="105">
        <v>50</v>
      </c>
      <c r="G67">
        <f t="shared" si="2"/>
        <v>1333.3333333333337</v>
      </c>
      <c r="I67">
        <f t="shared" si="0"/>
        <v>22.222222222222229</v>
      </c>
      <c r="J67" t="s">
        <v>65</v>
      </c>
    </row>
    <row r="68" spans="6:10" x14ac:dyDescent="0.25">
      <c r="F68" s="105">
        <v>51</v>
      </c>
      <c r="G68">
        <f t="shared" si="2"/>
        <v>1360.0000000000005</v>
      </c>
      <c r="I68">
        <f t="shared" si="0"/>
        <v>22.666666666666675</v>
      </c>
      <c r="J68" t="s">
        <v>65</v>
      </c>
    </row>
    <row r="69" spans="6:10" x14ac:dyDescent="0.25">
      <c r="F69" s="105">
        <v>52</v>
      </c>
      <c r="G69">
        <f t="shared" si="2"/>
        <v>1386.6666666666672</v>
      </c>
      <c r="I69">
        <f t="shared" si="0"/>
        <v>23.111111111111121</v>
      </c>
      <c r="J69" t="s">
        <v>65</v>
      </c>
    </row>
    <row r="70" spans="6:10" x14ac:dyDescent="0.25">
      <c r="F70" s="105">
        <v>53</v>
      </c>
      <c r="G70">
        <f t="shared" si="2"/>
        <v>1413.3333333333339</v>
      </c>
      <c r="I70">
        <f t="shared" si="0"/>
        <v>23.555555555555564</v>
      </c>
      <c r="J70" t="s">
        <v>65</v>
      </c>
    </row>
    <row r="71" spans="6:10" x14ac:dyDescent="0.25">
      <c r="F71" s="105">
        <v>54</v>
      </c>
      <c r="G71">
        <f t="shared" si="2"/>
        <v>1440.0000000000007</v>
      </c>
      <c r="I71">
        <f t="shared" si="0"/>
        <v>24.000000000000011</v>
      </c>
      <c r="J71" t="s">
        <v>65</v>
      </c>
    </row>
    <row r="72" spans="6:10" x14ac:dyDescent="0.25">
      <c r="F72" s="105">
        <v>55</v>
      </c>
      <c r="G72">
        <f t="shared" si="2"/>
        <v>1466.6666666666674</v>
      </c>
      <c r="I72">
        <f t="shared" si="0"/>
        <v>24.444444444444457</v>
      </c>
      <c r="J72" t="s">
        <v>65</v>
      </c>
    </row>
    <row r="73" spans="6:10" x14ac:dyDescent="0.25">
      <c r="F73" s="105">
        <v>56</v>
      </c>
      <c r="G73">
        <f t="shared" si="2"/>
        <v>1493.3333333333342</v>
      </c>
      <c r="I73">
        <f t="shared" si="0"/>
        <v>24.888888888888903</v>
      </c>
      <c r="J73" t="s">
        <v>65</v>
      </c>
    </row>
    <row r="74" spans="6:10" x14ac:dyDescent="0.25">
      <c r="F74" s="105">
        <v>57</v>
      </c>
      <c r="G74">
        <f t="shared" si="2"/>
        <v>1520.0000000000009</v>
      </c>
      <c r="I74">
        <f t="shared" si="0"/>
        <v>25.33333333333335</v>
      </c>
      <c r="J74" t="s">
        <v>65</v>
      </c>
    </row>
    <row r="75" spans="6:10" x14ac:dyDescent="0.25">
      <c r="F75" s="105">
        <v>58</v>
      </c>
      <c r="G75">
        <f t="shared" si="2"/>
        <v>1546.6666666666677</v>
      </c>
      <c r="I75">
        <f t="shared" si="0"/>
        <v>25.777777777777793</v>
      </c>
      <c r="J75" t="s">
        <v>65</v>
      </c>
    </row>
    <row r="76" spans="6:10" x14ac:dyDescent="0.25">
      <c r="F76" s="105">
        <v>59</v>
      </c>
      <c r="G76">
        <f t="shared" si="2"/>
        <v>1573.3333333333344</v>
      </c>
      <c r="I76">
        <f t="shared" si="0"/>
        <v>26.222222222222239</v>
      </c>
      <c r="J76" t="s">
        <v>65</v>
      </c>
    </row>
    <row r="77" spans="6:10" x14ac:dyDescent="0.25">
      <c r="F77" s="105">
        <v>60</v>
      </c>
      <c r="G77">
        <f t="shared" si="2"/>
        <v>1600.0000000000011</v>
      </c>
      <c r="I77">
        <f t="shared" si="0"/>
        <v>26.666666666666686</v>
      </c>
      <c r="J77" t="s">
        <v>65</v>
      </c>
    </row>
    <row r="78" spans="6:10" x14ac:dyDescent="0.25">
      <c r="F78" s="105">
        <v>61</v>
      </c>
      <c r="G78">
        <f t="shared" si="2"/>
        <v>1626.6666666666679</v>
      </c>
      <c r="I78">
        <f t="shared" si="0"/>
        <v>27.111111111111132</v>
      </c>
      <c r="J78" t="s">
        <v>65</v>
      </c>
    </row>
    <row r="79" spans="6:10" x14ac:dyDescent="0.25">
      <c r="F79" s="105">
        <v>62</v>
      </c>
      <c r="G79">
        <f t="shared" si="2"/>
        <v>1653.3333333333346</v>
      </c>
      <c r="I79">
        <f t="shared" si="0"/>
        <v>27.555555555555578</v>
      </c>
      <c r="J79" t="s">
        <v>65</v>
      </c>
    </row>
    <row r="80" spans="6:10" x14ac:dyDescent="0.25">
      <c r="F80" s="105">
        <v>63</v>
      </c>
      <c r="G80">
        <f t="shared" si="2"/>
        <v>1680.0000000000014</v>
      </c>
      <c r="I80">
        <f t="shared" si="0"/>
        <v>28.000000000000021</v>
      </c>
      <c r="J80" t="s">
        <v>65</v>
      </c>
    </row>
    <row r="81" spans="6:10" x14ac:dyDescent="0.25">
      <c r="F81" s="105">
        <v>64</v>
      </c>
      <c r="G81">
        <f t="shared" si="2"/>
        <v>1706.6666666666681</v>
      </c>
      <c r="I81">
        <f t="shared" si="0"/>
        <v>28.444444444444468</v>
      </c>
      <c r="J81" t="s">
        <v>65</v>
      </c>
    </row>
    <row r="82" spans="6:10" x14ac:dyDescent="0.25">
      <c r="F82" s="105">
        <v>65</v>
      </c>
      <c r="G82">
        <f t="shared" si="2"/>
        <v>1733.3333333333348</v>
      </c>
      <c r="I82">
        <f t="shared" si="0"/>
        <v>28.888888888888914</v>
      </c>
      <c r="J82" t="s">
        <v>65</v>
      </c>
    </row>
    <row r="83" spans="6:10" x14ac:dyDescent="0.25">
      <c r="F83" s="105">
        <v>66</v>
      </c>
      <c r="G83">
        <f t="shared" si="2"/>
        <v>1760.0000000000016</v>
      </c>
      <c r="I83">
        <f t="shared" ref="I83:I118" si="3">G83/60</f>
        <v>29.333333333333361</v>
      </c>
      <c r="J83" t="s">
        <v>65</v>
      </c>
    </row>
    <row r="84" spans="6:10" x14ac:dyDescent="0.25">
      <c r="F84" s="105">
        <v>67</v>
      </c>
      <c r="G84">
        <f t="shared" si="2"/>
        <v>1786.6666666666683</v>
      </c>
      <c r="I84">
        <f t="shared" si="3"/>
        <v>29.777777777777807</v>
      </c>
      <c r="J84" t="s">
        <v>65</v>
      </c>
    </row>
    <row r="85" spans="6:10" x14ac:dyDescent="0.25">
      <c r="F85" s="105">
        <v>68</v>
      </c>
      <c r="G85">
        <f t="shared" si="2"/>
        <v>1813.3333333333351</v>
      </c>
      <c r="I85">
        <f t="shared" si="3"/>
        <v>30.22222222222225</v>
      </c>
      <c r="J85" t="s">
        <v>65</v>
      </c>
    </row>
    <row r="86" spans="6:10" x14ac:dyDescent="0.25">
      <c r="F86" s="105">
        <v>69</v>
      </c>
      <c r="G86">
        <f t="shared" si="2"/>
        <v>1840.0000000000018</v>
      </c>
      <c r="I86">
        <f t="shared" si="3"/>
        <v>30.666666666666696</v>
      </c>
      <c r="J86" t="s">
        <v>65</v>
      </c>
    </row>
    <row r="87" spans="6:10" x14ac:dyDescent="0.25">
      <c r="F87" s="105">
        <v>70</v>
      </c>
      <c r="G87">
        <f t="shared" si="2"/>
        <v>1866.6666666666686</v>
      </c>
      <c r="I87">
        <f t="shared" si="3"/>
        <v>31.111111111111143</v>
      </c>
      <c r="J87" t="s">
        <v>65</v>
      </c>
    </row>
    <row r="88" spans="6:10" x14ac:dyDescent="0.25">
      <c r="F88" s="105">
        <v>71</v>
      </c>
      <c r="G88">
        <f t="shared" si="2"/>
        <v>1893.3333333333353</v>
      </c>
      <c r="I88">
        <f t="shared" si="3"/>
        <v>31.555555555555589</v>
      </c>
      <c r="J88" t="s">
        <v>65</v>
      </c>
    </row>
    <row r="89" spans="6:10" x14ac:dyDescent="0.25">
      <c r="F89" s="105">
        <v>72</v>
      </c>
      <c r="G89">
        <f t="shared" si="2"/>
        <v>1920.000000000002</v>
      </c>
      <c r="I89">
        <f t="shared" si="3"/>
        <v>32.000000000000036</v>
      </c>
      <c r="J89" t="s">
        <v>65</v>
      </c>
    </row>
    <row r="90" spans="6:10" x14ac:dyDescent="0.25">
      <c r="F90" s="105">
        <v>73</v>
      </c>
      <c r="G90">
        <f t="shared" si="2"/>
        <v>1946.6666666666688</v>
      </c>
      <c r="I90">
        <f t="shared" si="3"/>
        <v>32.444444444444478</v>
      </c>
      <c r="J90" t="s">
        <v>65</v>
      </c>
    </row>
    <row r="91" spans="6:10" x14ac:dyDescent="0.25">
      <c r="F91" s="105">
        <v>74</v>
      </c>
      <c r="G91">
        <f t="shared" si="2"/>
        <v>1973.3333333333355</v>
      </c>
      <c r="I91">
        <f t="shared" si="3"/>
        <v>32.888888888888928</v>
      </c>
      <c r="J91" t="s">
        <v>65</v>
      </c>
    </row>
    <row r="92" spans="6:10" x14ac:dyDescent="0.25">
      <c r="F92" s="105">
        <v>75</v>
      </c>
      <c r="G92">
        <f t="shared" si="2"/>
        <v>2000.0000000000023</v>
      </c>
      <c r="I92">
        <f t="shared" si="3"/>
        <v>33.333333333333371</v>
      </c>
      <c r="J92" t="s">
        <v>65</v>
      </c>
    </row>
    <row r="93" spans="6:10" x14ac:dyDescent="0.25">
      <c r="F93" s="105">
        <v>76</v>
      </c>
      <c r="G93">
        <f t="shared" si="2"/>
        <v>2026.666666666669</v>
      </c>
      <c r="I93">
        <f t="shared" si="3"/>
        <v>33.777777777777814</v>
      </c>
      <c r="J93" t="s">
        <v>65</v>
      </c>
    </row>
    <row r="94" spans="6:10" x14ac:dyDescent="0.25">
      <c r="F94" s="105">
        <v>77</v>
      </c>
      <c r="G94">
        <f t="shared" si="2"/>
        <v>2053.3333333333358</v>
      </c>
      <c r="I94">
        <f t="shared" si="3"/>
        <v>34.222222222222264</v>
      </c>
      <c r="J94" t="s">
        <v>65</v>
      </c>
    </row>
    <row r="95" spans="6:10" x14ac:dyDescent="0.25">
      <c r="F95" s="105">
        <v>78</v>
      </c>
      <c r="G95">
        <f t="shared" si="2"/>
        <v>2080.0000000000023</v>
      </c>
      <c r="I95">
        <f t="shared" si="3"/>
        <v>34.666666666666707</v>
      </c>
      <c r="J95" t="s">
        <v>65</v>
      </c>
    </row>
    <row r="96" spans="6:10" x14ac:dyDescent="0.25">
      <c r="F96" s="105">
        <v>79</v>
      </c>
      <c r="G96">
        <f t="shared" si="2"/>
        <v>2106.6666666666688</v>
      </c>
      <c r="I96">
        <f t="shared" si="3"/>
        <v>35.11111111111115</v>
      </c>
      <c r="J96" t="s">
        <v>65</v>
      </c>
    </row>
    <row r="97" spans="6:10" x14ac:dyDescent="0.25">
      <c r="F97" s="105">
        <v>80</v>
      </c>
      <c r="G97">
        <f t="shared" si="2"/>
        <v>2133.3333333333353</v>
      </c>
      <c r="I97">
        <f t="shared" si="3"/>
        <v>35.555555555555586</v>
      </c>
      <c r="J97" t="s">
        <v>65</v>
      </c>
    </row>
    <row r="98" spans="6:10" x14ac:dyDescent="0.25">
      <c r="F98" s="105">
        <v>81</v>
      </c>
      <c r="G98">
        <f t="shared" si="2"/>
        <v>2160.0000000000018</v>
      </c>
      <c r="I98">
        <f t="shared" si="3"/>
        <v>36.000000000000028</v>
      </c>
      <c r="J98" t="s">
        <v>65</v>
      </c>
    </row>
    <row r="99" spans="6:10" x14ac:dyDescent="0.25">
      <c r="F99" s="105">
        <v>82</v>
      </c>
      <c r="G99">
        <f t="shared" si="2"/>
        <v>2186.6666666666683</v>
      </c>
      <c r="I99">
        <f t="shared" si="3"/>
        <v>36.444444444444471</v>
      </c>
      <c r="J99" t="s">
        <v>65</v>
      </c>
    </row>
    <row r="100" spans="6:10" x14ac:dyDescent="0.25">
      <c r="F100" s="105">
        <v>83</v>
      </c>
      <c r="G100">
        <f t="shared" si="2"/>
        <v>2213.3333333333348</v>
      </c>
      <c r="I100">
        <f t="shared" si="3"/>
        <v>36.888888888888914</v>
      </c>
      <c r="J100" t="s">
        <v>65</v>
      </c>
    </row>
    <row r="101" spans="6:10" x14ac:dyDescent="0.25">
      <c r="F101" s="105">
        <v>84</v>
      </c>
      <c r="G101">
        <f t="shared" si="2"/>
        <v>2240.0000000000014</v>
      </c>
      <c r="I101">
        <f t="shared" si="3"/>
        <v>37.333333333333357</v>
      </c>
      <c r="J101" t="s">
        <v>65</v>
      </c>
    </row>
    <row r="102" spans="6:10" x14ac:dyDescent="0.25">
      <c r="F102" s="105">
        <v>85</v>
      </c>
      <c r="G102">
        <f t="shared" si="2"/>
        <v>2266.6666666666679</v>
      </c>
      <c r="I102">
        <f t="shared" si="3"/>
        <v>37.7777777777778</v>
      </c>
      <c r="J102" t="s">
        <v>65</v>
      </c>
    </row>
    <row r="103" spans="6:10" x14ac:dyDescent="0.25">
      <c r="F103" s="105">
        <v>86</v>
      </c>
      <c r="G103">
        <f t="shared" si="2"/>
        <v>2293.3333333333344</v>
      </c>
      <c r="I103">
        <f t="shared" si="3"/>
        <v>38.222222222222243</v>
      </c>
      <c r="J103" t="s">
        <v>65</v>
      </c>
    </row>
    <row r="104" spans="6:10" x14ac:dyDescent="0.25">
      <c r="F104" s="105">
        <v>87</v>
      </c>
      <c r="G104">
        <f t="shared" si="2"/>
        <v>2320.0000000000009</v>
      </c>
      <c r="I104">
        <f t="shared" si="3"/>
        <v>38.666666666666679</v>
      </c>
      <c r="J104" t="s">
        <v>65</v>
      </c>
    </row>
    <row r="105" spans="6:10" x14ac:dyDescent="0.25">
      <c r="F105" s="105">
        <v>88</v>
      </c>
      <c r="G105">
        <f t="shared" si="2"/>
        <v>2346.6666666666674</v>
      </c>
      <c r="I105">
        <f t="shared" si="3"/>
        <v>39.111111111111121</v>
      </c>
      <c r="J105" t="s">
        <v>65</v>
      </c>
    </row>
    <row r="106" spans="6:10" x14ac:dyDescent="0.25">
      <c r="F106" s="105">
        <v>89</v>
      </c>
      <c r="G106">
        <f t="shared" si="2"/>
        <v>2373.3333333333339</v>
      </c>
      <c r="I106">
        <f t="shared" si="3"/>
        <v>39.555555555555564</v>
      </c>
      <c r="J106" t="s">
        <v>65</v>
      </c>
    </row>
    <row r="107" spans="6:10" x14ac:dyDescent="0.25">
      <c r="F107" s="105">
        <v>90</v>
      </c>
      <c r="G107">
        <f t="shared" si="2"/>
        <v>2400.0000000000005</v>
      </c>
      <c r="I107">
        <f t="shared" si="3"/>
        <v>40.000000000000007</v>
      </c>
      <c r="J107" t="s">
        <v>65</v>
      </c>
    </row>
    <row r="108" spans="6:10" x14ac:dyDescent="0.25">
      <c r="F108" s="105">
        <v>91</v>
      </c>
      <c r="G108">
        <f t="shared" si="2"/>
        <v>2426.666666666667</v>
      </c>
      <c r="I108">
        <f t="shared" si="3"/>
        <v>40.44444444444445</v>
      </c>
      <c r="J108" t="s">
        <v>65</v>
      </c>
    </row>
    <row r="109" spans="6:10" x14ac:dyDescent="0.25">
      <c r="F109" s="105">
        <v>92</v>
      </c>
      <c r="G109">
        <f t="shared" si="2"/>
        <v>2453.3333333333335</v>
      </c>
      <c r="I109">
        <f t="shared" si="3"/>
        <v>40.888888888888893</v>
      </c>
      <c r="J109" t="s">
        <v>65</v>
      </c>
    </row>
    <row r="110" spans="6:10" x14ac:dyDescent="0.25">
      <c r="F110" s="105">
        <v>93</v>
      </c>
      <c r="G110">
        <f t="shared" si="2"/>
        <v>2480</v>
      </c>
      <c r="I110">
        <f t="shared" si="3"/>
        <v>41.333333333333336</v>
      </c>
      <c r="J110" t="s">
        <v>65</v>
      </c>
    </row>
    <row r="111" spans="6:10" x14ac:dyDescent="0.25">
      <c r="F111" s="105">
        <v>94</v>
      </c>
      <c r="G111">
        <f t="shared" si="2"/>
        <v>2506.6666666666665</v>
      </c>
      <c r="I111">
        <f t="shared" si="3"/>
        <v>41.777777777777779</v>
      </c>
      <c r="J111" t="s">
        <v>65</v>
      </c>
    </row>
    <row r="112" spans="6:10" x14ac:dyDescent="0.25">
      <c r="F112" s="105">
        <v>95</v>
      </c>
      <c r="G112">
        <f t="shared" si="2"/>
        <v>2533.333333333333</v>
      </c>
      <c r="I112">
        <f t="shared" si="3"/>
        <v>42.222222222222214</v>
      </c>
      <c r="J112" t="s">
        <v>65</v>
      </c>
    </row>
    <row r="113" spans="6:10" x14ac:dyDescent="0.25">
      <c r="F113" s="105">
        <v>96</v>
      </c>
      <c r="G113">
        <f t="shared" si="2"/>
        <v>2559.9999999999995</v>
      </c>
      <c r="I113">
        <f t="shared" si="3"/>
        <v>42.666666666666657</v>
      </c>
      <c r="J113" t="s">
        <v>65</v>
      </c>
    </row>
    <row r="114" spans="6:10" x14ac:dyDescent="0.25">
      <c r="F114" s="105">
        <v>97</v>
      </c>
      <c r="G114">
        <f t="shared" si="2"/>
        <v>2586.6666666666661</v>
      </c>
      <c r="I114">
        <f t="shared" si="3"/>
        <v>43.1111111111111</v>
      </c>
      <c r="J114" t="s">
        <v>65</v>
      </c>
    </row>
    <row r="115" spans="6:10" x14ac:dyDescent="0.25">
      <c r="F115" s="105">
        <v>98</v>
      </c>
      <c r="G115">
        <f t="shared" si="2"/>
        <v>2613.3333333333326</v>
      </c>
      <c r="I115">
        <f t="shared" si="3"/>
        <v>43.555555555555543</v>
      </c>
      <c r="J115" t="s">
        <v>65</v>
      </c>
    </row>
    <row r="116" spans="6:10" x14ac:dyDescent="0.25">
      <c r="F116" s="105">
        <v>99</v>
      </c>
      <c r="G116">
        <f t="shared" si="2"/>
        <v>2639.9999999999991</v>
      </c>
      <c r="I116">
        <f t="shared" si="3"/>
        <v>43.999999999999986</v>
      </c>
      <c r="J116" t="s">
        <v>65</v>
      </c>
    </row>
    <row r="117" spans="6:10" x14ac:dyDescent="0.25">
      <c r="F117" s="105">
        <v>100</v>
      </c>
      <c r="G117">
        <f t="shared" si="2"/>
        <v>2666.6666666666656</v>
      </c>
      <c r="I117">
        <f t="shared" si="3"/>
        <v>44.444444444444429</v>
      </c>
      <c r="J117" t="s">
        <v>65</v>
      </c>
    </row>
    <row r="118" spans="6:10" x14ac:dyDescent="0.25">
      <c r="G118">
        <f t="shared" si="2"/>
        <v>2693.3333333333321</v>
      </c>
      <c r="I118">
        <f t="shared" si="3"/>
        <v>44.888888888888872</v>
      </c>
      <c r="J118" t="s">
        <v>65</v>
      </c>
    </row>
    <row r="119" spans="6:10" x14ac:dyDescent="0.25">
      <c r="G119">
        <f t="shared" si="2"/>
        <v>2719.9999999999986</v>
      </c>
    </row>
    <row r="120" spans="6:10" x14ac:dyDescent="0.25">
      <c r="G120">
        <f t="shared" si="2"/>
        <v>2746.6666666666652</v>
      </c>
    </row>
    <row r="121" spans="6:10" x14ac:dyDescent="0.25">
      <c r="G121">
        <f t="shared" si="2"/>
        <v>2773.3333333333317</v>
      </c>
    </row>
    <row r="122" spans="6:10" x14ac:dyDescent="0.25">
      <c r="G122">
        <f t="shared" si="2"/>
        <v>2799.9999999999982</v>
      </c>
    </row>
    <row r="123" spans="6:10" x14ac:dyDescent="0.25">
      <c r="G123">
        <f t="shared" si="2"/>
        <v>2826.6666666666647</v>
      </c>
    </row>
    <row r="124" spans="6:10" x14ac:dyDescent="0.25">
      <c r="G124">
        <f t="shared" si="2"/>
        <v>2853.3333333333312</v>
      </c>
    </row>
    <row r="125" spans="6:10" x14ac:dyDescent="0.25">
      <c r="G125">
        <f t="shared" si="2"/>
        <v>2879.9999999999977</v>
      </c>
    </row>
    <row r="126" spans="6:10" x14ac:dyDescent="0.25">
      <c r="G126">
        <f t="shared" si="2"/>
        <v>2906.6666666666642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abSelected="1" workbookViewId="0">
      <selection activeCell="D5" sqref="D5"/>
    </sheetView>
  </sheetViews>
  <sheetFormatPr baseColWidth="10" defaultRowHeight="15" x14ac:dyDescent="0.25"/>
  <cols>
    <col min="4" max="4" width="14.140625" customWidth="1"/>
    <col min="5" max="5" width="13.85546875" customWidth="1"/>
  </cols>
  <sheetData>
    <row r="3" spans="3:5" x14ac:dyDescent="0.25">
      <c r="C3" s="156" t="s">
        <v>75</v>
      </c>
      <c r="D3" s="156"/>
      <c r="E3" s="156"/>
    </row>
    <row r="4" spans="3:5" x14ac:dyDescent="0.25">
      <c r="C4" s="128"/>
      <c r="D4" s="32" t="s">
        <v>69</v>
      </c>
      <c r="E4" s="32" t="s">
        <v>70</v>
      </c>
    </row>
    <row r="5" spans="3:5" x14ac:dyDescent="0.25">
      <c r="C5" s="128" t="s">
        <v>23</v>
      </c>
      <c r="D5" s="129">
        <v>0.51329999999999998</v>
      </c>
      <c r="E5" s="129">
        <v>1</v>
      </c>
    </row>
    <row r="6" spans="3:5" x14ac:dyDescent="0.25">
      <c r="C6" s="128" t="s">
        <v>42</v>
      </c>
      <c r="D6" s="129">
        <v>0.4546</v>
      </c>
      <c r="E6" s="129">
        <v>0.99980000000000002</v>
      </c>
    </row>
    <row r="7" spans="3:5" x14ac:dyDescent="0.25">
      <c r="C7" s="128" t="s">
        <v>45</v>
      </c>
      <c r="D7" s="130">
        <v>0.19</v>
      </c>
      <c r="E7" s="130">
        <v>1</v>
      </c>
    </row>
    <row r="11" spans="3:5" x14ac:dyDescent="0.25">
      <c r="C11" s="156" t="s">
        <v>71</v>
      </c>
      <c r="D11" s="156"/>
      <c r="E11" s="156"/>
    </row>
    <row r="12" spans="3:5" x14ac:dyDescent="0.25">
      <c r="C12" s="128"/>
      <c r="D12" s="32" t="s">
        <v>69</v>
      </c>
      <c r="E12" s="32" t="s">
        <v>70</v>
      </c>
    </row>
    <row r="13" spans="3:5" x14ac:dyDescent="0.25">
      <c r="C13" s="128" t="s">
        <v>23</v>
      </c>
      <c r="D13" s="131"/>
      <c r="E13" s="133">
        <v>1.15E-2</v>
      </c>
    </row>
    <row r="14" spans="3:5" x14ac:dyDescent="0.25">
      <c r="C14" s="128" t="s">
        <v>42</v>
      </c>
      <c r="D14" s="131">
        <v>2.27</v>
      </c>
      <c r="E14" s="134">
        <v>9.4000000000000004E-3</v>
      </c>
    </row>
    <row r="15" spans="3:5" x14ac:dyDescent="0.25">
      <c r="C15" s="128" t="s">
        <v>45</v>
      </c>
      <c r="D15" s="132">
        <v>2.23E-2</v>
      </c>
      <c r="E15" s="134">
        <v>1.1900000000000001E-2</v>
      </c>
    </row>
  </sheetData>
  <mergeCells count="2">
    <mergeCell ref="C3:E3"/>
    <mergeCell ref="C11:E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workbookViewId="0">
      <selection activeCell="P4" sqref="P4"/>
    </sheetView>
  </sheetViews>
  <sheetFormatPr baseColWidth="10" defaultRowHeight="15" x14ac:dyDescent="0.25"/>
  <sheetData>
    <row r="3" spans="3:16" x14ac:dyDescent="0.25">
      <c r="C3" s="156" t="s">
        <v>74</v>
      </c>
      <c r="D3" s="156"/>
      <c r="E3" s="156"/>
      <c r="P3">
        <f>SUM(O6:O25)</f>
        <v>368918</v>
      </c>
    </row>
    <row r="4" spans="3:16" x14ac:dyDescent="0.25">
      <c r="C4" s="128"/>
      <c r="D4" s="32">
        <v>0.04</v>
      </c>
      <c r="E4" s="32">
        <v>0.1</v>
      </c>
    </row>
    <row r="5" spans="3:16" x14ac:dyDescent="0.25">
      <c r="C5" s="128" t="s">
        <v>42</v>
      </c>
      <c r="D5" s="129">
        <v>0.4546</v>
      </c>
      <c r="E5" s="129">
        <v>0.99980000000000002</v>
      </c>
      <c r="O5" t="s">
        <v>17</v>
      </c>
    </row>
    <row r="6" spans="3:16" x14ac:dyDescent="0.25">
      <c r="C6" s="128"/>
      <c r="D6" s="130"/>
      <c r="E6" s="130"/>
      <c r="O6">
        <v>18475</v>
      </c>
    </row>
    <row r="7" spans="3:16" x14ac:dyDescent="0.25">
      <c r="O7">
        <v>18419</v>
      </c>
    </row>
    <row r="8" spans="3:16" x14ac:dyDescent="0.25">
      <c r="O8">
        <v>18408</v>
      </c>
    </row>
    <row r="9" spans="3:16" x14ac:dyDescent="0.25">
      <c r="O9">
        <v>18442</v>
      </c>
    </row>
    <row r="10" spans="3:16" x14ac:dyDescent="0.25">
      <c r="O10">
        <v>18482</v>
      </c>
    </row>
    <row r="11" spans="3:16" x14ac:dyDescent="0.25">
      <c r="O11">
        <v>18480</v>
      </c>
    </row>
    <row r="12" spans="3:16" x14ac:dyDescent="0.25">
      <c r="O12">
        <v>18467</v>
      </c>
    </row>
    <row r="13" spans="3:16" x14ac:dyDescent="0.25">
      <c r="O13">
        <v>18426</v>
      </c>
    </row>
    <row r="14" spans="3:16" x14ac:dyDescent="0.25">
      <c r="O14">
        <v>18475</v>
      </c>
    </row>
    <row r="15" spans="3:16" x14ac:dyDescent="0.25">
      <c r="O15">
        <v>18402</v>
      </c>
    </row>
    <row r="16" spans="3:16" x14ac:dyDescent="0.25">
      <c r="O16">
        <v>18488</v>
      </c>
    </row>
    <row r="17" spans="3:15" x14ac:dyDescent="0.25">
      <c r="O17">
        <v>18489</v>
      </c>
    </row>
    <row r="18" spans="3:15" x14ac:dyDescent="0.25">
      <c r="O18">
        <v>18408</v>
      </c>
    </row>
    <row r="19" spans="3:15" x14ac:dyDescent="0.25">
      <c r="C19" s="156" t="s">
        <v>74</v>
      </c>
      <c r="D19" s="156"/>
      <c r="E19" s="156"/>
      <c r="O19">
        <v>18411</v>
      </c>
    </row>
    <row r="20" spans="3:15" x14ac:dyDescent="0.25">
      <c r="C20" s="128"/>
      <c r="D20" s="32">
        <v>0.04</v>
      </c>
      <c r="E20" s="32">
        <v>0.1</v>
      </c>
      <c r="O20">
        <v>18483</v>
      </c>
    </row>
    <row r="21" spans="3:15" x14ac:dyDescent="0.25">
      <c r="C21" s="128" t="s">
        <v>42</v>
      </c>
      <c r="D21" s="129">
        <v>0.4546</v>
      </c>
      <c r="E21" s="129">
        <v>0.99980000000000002</v>
      </c>
      <c r="F21" s="122"/>
      <c r="O21">
        <v>18428</v>
      </c>
    </row>
    <row r="22" spans="3:15" x14ac:dyDescent="0.25">
      <c r="C22" s="128"/>
      <c r="D22" s="130"/>
      <c r="E22" s="130"/>
      <c r="O22">
        <v>18428</v>
      </c>
    </row>
    <row r="23" spans="3:15" x14ac:dyDescent="0.25">
      <c r="O23">
        <v>18402</v>
      </c>
    </row>
    <row r="24" spans="3:15" x14ac:dyDescent="0.25">
      <c r="O24">
        <v>18432</v>
      </c>
    </row>
    <row r="25" spans="3:15" x14ac:dyDescent="0.25">
      <c r="O25">
        <v>18473</v>
      </c>
    </row>
    <row r="31" spans="3:15" x14ac:dyDescent="0.25">
      <c r="C31" s="156" t="s">
        <v>74</v>
      </c>
      <c r="D31" s="156"/>
      <c r="E31" s="156"/>
    </row>
    <row r="32" spans="3:15" x14ac:dyDescent="0.25">
      <c r="C32" s="128"/>
      <c r="D32" s="32">
        <v>300</v>
      </c>
      <c r="E32" s="32">
        <v>600</v>
      </c>
      <c r="F32">
        <v>1800</v>
      </c>
    </row>
    <row r="33" spans="3:6" x14ac:dyDescent="0.25">
      <c r="C33" s="128" t="s">
        <v>23</v>
      </c>
      <c r="D33" s="129">
        <v>0.4546</v>
      </c>
      <c r="E33" s="129">
        <v>0.99980000000000002</v>
      </c>
      <c r="F33" s="122">
        <v>1</v>
      </c>
    </row>
    <row r="34" spans="3:6" x14ac:dyDescent="0.25">
      <c r="C34" s="128"/>
      <c r="D34" s="130"/>
      <c r="E34" s="130"/>
    </row>
  </sheetData>
  <mergeCells count="3">
    <mergeCell ref="C3:E3"/>
    <mergeCell ref="C19:E19"/>
    <mergeCell ref="C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PLC</vt:lpstr>
      <vt:lpstr>Hoja3</vt:lpstr>
      <vt:lpstr>Analisis por f</vt:lpstr>
      <vt:lpstr>Analisis por densidad</vt:lpstr>
      <vt:lpstr>Mesh Log</vt:lpstr>
      <vt:lpstr>Hoja2</vt:lpstr>
      <vt:lpstr>ANALISIS PLC VS PLC 1M</vt:lpstr>
      <vt:lpstr>Analisis mesh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2014-12-19T08:20:03Z</dcterms:modified>
</cp:coreProperties>
</file>