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66925"/>
  <bookViews>
    <workbookView xWindow="0" yWindow="0" windowWidth="22260" windowHeight="12650" tabRatio="798" firstSheet="2" activeTab="2"/>
  </bookViews>
  <sheets>
    <sheet name="usage guide" sheetId="4" r:id="rId1"/>
    <sheet name="landing" sheetId="2" r:id="rId2"/>
    <sheet name="questionnaire" sheetId="16" r:id="rId3"/>
    <sheet name="Preloaded values" sheetId="18" r:id="rId4"/>
    <sheet name="results" sheetId="12" r:id="rId5"/>
    <sheet name="Report" sheetId="17" r:id="rId6"/>
    <sheet name="Calculations" sheetId="15" r:id="rId7"/>
    <sheet name="Graphics" sheetId="19" r:id="rId8"/>
    <sheet name="score" sheetId="11" r:id="rId9"/>
    <sheet name="pdf content" sheetId="5" r:id="rId10"/>
    <sheet name="pdf info" sheetId="8" r:id="rId11"/>
    <sheet name="docx content" sheetId="6" r:id="rId12"/>
    <sheet name="docx info" sheetId="13" r:id="rId13"/>
    <sheet name="pptx content" sheetId="7" r:id="rId14"/>
    <sheet name="pptx info" sheetId="14" r:id="rId15"/>
    <sheet name="pick list" sheetId="1" r:id="rId16"/>
    <sheet name="sal scalar" sheetId="9" r:id="rId17"/>
    <sheet name="Rev scalar" sheetId="10" r:id="rId18"/>
  </sheets>
  <externalReferences>
    <externalReference r:id="rId19"/>
  </externalReferences>
  <definedNames>
    <definedName name="OLE_LINK2" localSheetId="5">Report!$C$7</definedName>
    <definedName name="question_answer_type_list">[1]List!$A$2:$A$20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3" i="15" l="1"/>
  <c r="C78" i="15" l="1"/>
  <c r="I18" i="16" l="1"/>
  <c r="I16" i="16"/>
  <c r="I15" i="16"/>
  <c r="H18" i="16"/>
  <c r="H16" i="16"/>
  <c r="H15" i="16"/>
  <c r="I13" i="16"/>
  <c r="H13" i="16"/>
  <c r="C2" i="18"/>
  <c r="H9" i="16" s="1"/>
  <c r="H6" i="16"/>
  <c r="C189" i="15" l="1"/>
  <c r="C159" i="15"/>
  <c r="H125" i="16"/>
  <c r="H122" i="16"/>
  <c r="C91" i="18" s="1"/>
  <c r="H129" i="16" s="1"/>
  <c r="H114" i="16"/>
  <c r="H110" i="16"/>
  <c r="H105" i="16"/>
  <c r="H102" i="16"/>
  <c r="H83" i="16"/>
  <c r="H79" i="16"/>
  <c r="H71" i="16"/>
  <c r="H68" i="16"/>
  <c r="H57" i="16"/>
  <c r="H48" i="16"/>
  <c r="H45" i="16"/>
  <c r="C94" i="18"/>
  <c r="H132" i="16" s="1"/>
  <c r="C84" i="18"/>
  <c r="C12" i="18"/>
  <c r="H50" i="16" s="1"/>
  <c r="C79" i="18"/>
  <c r="H117" i="16" s="1"/>
  <c r="C61" i="18"/>
  <c r="H99" i="16" s="1"/>
  <c r="C49" i="18"/>
  <c r="H87" i="16" s="1"/>
  <c r="C22" i="18"/>
  <c r="C25" i="18" s="1"/>
  <c r="H63" i="16" s="1"/>
  <c r="C19" i="18"/>
  <c r="H60" i="16" l="1"/>
  <c r="C36" i="18"/>
  <c r="H74" i="16" s="1"/>
  <c r="C53" i="18"/>
  <c r="H91" i="16" s="1"/>
  <c r="C136" i="15" s="1"/>
  <c r="C141" i="15" s="1"/>
  <c r="C142" i="15" s="1"/>
  <c r="C165" i="15"/>
  <c r="C151" i="15"/>
  <c r="C153" i="15"/>
  <c r="C152" i="15"/>
  <c r="C135" i="15"/>
  <c r="C138" i="15" s="1"/>
  <c r="C143" i="15" l="1"/>
  <c r="C139" i="15"/>
  <c r="C140" i="15" s="1"/>
  <c r="C10" i="15" l="1"/>
  <c r="C124" i="15"/>
  <c r="C9" i="15" l="1"/>
  <c r="C150" i="15" s="1"/>
  <c r="C154" i="15" s="1"/>
  <c r="C155" i="15" s="1"/>
  <c r="C156" i="15" s="1"/>
  <c r="C8" i="15"/>
  <c r="C166" i="15" s="1"/>
  <c r="C168" i="15" s="1"/>
  <c r="C44" i="15"/>
  <c r="C43" i="15"/>
  <c r="C51" i="15"/>
  <c r="C169" i="15" l="1"/>
  <c r="C170" i="15" s="1"/>
  <c r="C120" i="15"/>
  <c r="C119" i="15"/>
  <c r="C127" i="15"/>
  <c r="C126" i="15"/>
  <c r="C128" i="15" l="1"/>
  <c r="C129" i="15" s="1"/>
  <c r="C121" i="15"/>
  <c r="C122" i="15" s="1"/>
  <c r="C115" i="15"/>
  <c r="C112" i="15"/>
  <c r="C93" i="15"/>
  <c r="C92" i="15"/>
  <c r="C91" i="15"/>
  <c r="C90" i="15"/>
  <c r="C104" i="15" s="1"/>
  <c r="C188" i="15" s="1"/>
  <c r="C71" i="15"/>
  <c r="C74" i="15" s="1"/>
  <c r="C70" i="15"/>
  <c r="C73" i="15" s="1"/>
  <c r="C69" i="15"/>
  <c r="C77" i="15" s="1"/>
  <c r="C45" i="15"/>
  <c r="C47" i="15" s="1"/>
  <c r="C42" i="15"/>
  <c r="C60" i="15" s="1"/>
  <c r="C31" i="15"/>
  <c r="C61" i="15" l="1"/>
  <c r="C62" i="15" s="1"/>
  <c r="C182" i="15" s="1"/>
  <c r="C82" i="15"/>
  <c r="C84" i="15" s="1"/>
  <c r="C52" i="15"/>
  <c r="C53" i="15"/>
  <c r="C94" i="15"/>
  <c r="C32" i="15"/>
  <c r="C33" i="15" s="1"/>
  <c r="C95" i="15"/>
  <c r="C5" i="19" l="1"/>
  <c r="C79" i="15"/>
  <c r="C80" i="15" s="1"/>
  <c r="C174" i="15"/>
  <c r="C175" i="15" s="1"/>
  <c r="C54" i="15"/>
  <c r="C178" i="15" s="1"/>
  <c r="C11" i="19" s="1"/>
  <c r="C96" i="15"/>
  <c r="C97" i="15" s="1"/>
  <c r="C21" i="15"/>
  <c r="C20" i="15"/>
  <c r="C24" i="15" s="1"/>
  <c r="C19" i="15"/>
  <c r="C18" i="15"/>
  <c r="C3" i="15"/>
  <c r="C103" i="15" l="1"/>
  <c r="C105" i="15" s="1"/>
  <c r="C106" i="15" s="1"/>
  <c r="C180" i="15" s="1"/>
  <c r="C13" i="19" s="1"/>
  <c r="C158" i="15"/>
  <c r="C160" i="15" s="1"/>
  <c r="C183" i="15" s="1"/>
  <c r="C26" i="15"/>
  <c r="C27" i="15" s="1"/>
  <c r="C179" i="15" s="1"/>
  <c r="C12" i="19" l="1"/>
  <c r="C181" i="15"/>
  <c r="C4" i="19"/>
  <c r="C184" i="15"/>
  <c r="C185" i="15" s="1"/>
  <c r="C24" i="11"/>
  <c r="C22" i="11"/>
  <c r="C19" i="11"/>
  <c r="C18" i="11"/>
  <c r="B4" i="16" l="1"/>
  <c r="B10" i="11"/>
  <c r="D2" i="16"/>
  <c r="E7" i="11"/>
  <c r="G6" i="11"/>
  <c r="F7" i="11" s="1"/>
  <c r="G5" i="11"/>
  <c r="F6" i="11" s="1"/>
  <c r="G4" i="11"/>
  <c r="F5" i="11" s="1"/>
  <c r="G3" i="11"/>
  <c r="F4" i="11" s="1"/>
</calcChain>
</file>

<file path=xl/comments1.xml><?xml version="1.0" encoding="utf-8"?>
<comments xmlns="http://schemas.openxmlformats.org/spreadsheetml/2006/main">
  <authors>
    <author>Author</author>
  </authors>
  <commentList>
    <comment ref="G50" authorId="0" shapeId="0">
      <text>
        <r>
          <rPr>
            <b/>
            <sz val="9"/>
            <color indexed="81"/>
            <rFont val="Tahoma"/>
            <charset val="1"/>
          </rPr>
          <t>Author:</t>
        </r>
        <r>
          <rPr>
            <sz val="9"/>
            <color indexed="81"/>
            <rFont val="Tahoma"/>
            <charset val="1"/>
          </rPr>
          <t xml:space="preserve">
DP3 deleted.</t>
        </r>
      </text>
    </comment>
  </commentList>
</comments>
</file>

<file path=xl/comments2.xml><?xml version="1.0" encoding="utf-8"?>
<comments xmlns="http://schemas.openxmlformats.org/spreadsheetml/2006/main">
  <authors>
    <author>Author</author>
  </authors>
  <commentList>
    <comment ref="D16" authorId="0" shapeId="0">
      <text>
        <r>
          <rPr>
            <b/>
            <sz val="9"/>
            <color indexed="81"/>
            <rFont val="Tahoma"/>
            <charset val="1"/>
          </rPr>
          <t>Author:</t>
        </r>
        <r>
          <rPr>
            <sz val="9"/>
            <color indexed="81"/>
            <rFont val="Tahoma"/>
            <charset val="1"/>
          </rPr>
          <t xml:space="preserve">
Corrected.</t>
        </r>
      </text>
    </comment>
  </commentList>
</comments>
</file>

<file path=xl/sharedStrings.xml><?xml version="1.0" encoding="utf-8"?>
<sst xmlns="http://schemas.openxmlformats.org/spreadsheetml/2006/main" count="867" uniqueCount="570">
  <si>
    <t>Question Answer Type</t>
  </si>
  <si>
    <t>Logical Path</t>
  </si>
  <si>
    <t>Express Only</t>
  </si>
  <si>
    <t>Radio - 1 choice</t>
  </si>
  <si>
    <t>Advanced Only</t>
  </si>
  <si>
    <t>Radio - 1 choice, and other</t>
  </si>
  <si>
    <t>Express &amp; Advanced</t>
  </si>
  <si>
    <t>Dropdown - 1 choice</t>
  </si>
  <si>
    <t>Dropdown - 1 choice, and other</t>
  </si>
  <si>
    <t>Checkbox - multiple choices</t>
  </si>
  <si>
    <t>Textbox - number, no decimal</t>
  </si>
  <si>
    <t>Textbox - number, 1 decimal</t>
  </si>
  <si>
    <t>Textbox - percent, ≤ 100%</t>
  </si>
  <si>
    <t>Textbox - percent, Σ 100%, ≤ 100%</t>
  </si>
  <si>
    <t>Textbox - other, text, ≤ 100 chars</t>
  </si>
  <si>
    <t>Textbox - other, number, no decimal</t>
  </si>
  <si>
    <t>Textbox - other, number, 1 decimal</t>
  </si>
  <si>
    <t>Textbox - number range, slider (low, high)</t>
  </si>
  <si>
    <t>Textbox - currency code (3 chars), MILLIONS</t>
  </si>
  <si>
    <t>Textbox - email</t>
  </si>
  <si>
    <t>Textbox - phone number</t>
  </si>
  <si>
    <t>DatePicker - Textbox with date format</t>
  </si>
  <si>
    <t>- Select Answer Type -</t>
  </si>
  <si>
    <t>Excel Tab Colors</t>
  </si>
  <si>
    <r>
      <rPr>
        <b/>
        <sz val="11"/>
        <color theme="1"/>
        <rFont val="Calibri"/>
        <family val="2"/>
        <scheme val="minor"/>
      </rPr>
      <t>IDC Internal ONLY:</t>
    </r>
    <r>
      <rPr>
        <sz val="11"/>
        <color theme="1"/>
        <rFont val="Calibri"/>
        <family val="2"/>
        <scheme val="minor"/>
      </rPr>
      <t xml:space="preserve"> this content is used by IDC Internal employees to develop the tool.</t>
    </r>
  </si>
  <si>
    <r>
      <rPr>
        <b/>
        <sz val="11"/>
        <color theme="1"/>
        <rFont val="Calibri"/>
        <family val="2"/>
        <scheme val="minor"/>
      </rPr>
      <t xml:space="preserve">Public: </t>
    </r>
    <r>
      <rPr>
        <sz val="11"/>
        <color theme="1"/>
        <rFont val="Calibri"/>
        <family val="2"/>
        <scheme val="minor"/>
      </rPr>
      <t>anyone who has access to the tool URL can view content.</t>
    </r>
  </si>
  <si>
    <r>
      <rPr>
        <b/>
        <sz val="11"/>
        <color theme="1"/>
        <rFont val="Calibri"/>
        <family val="2"/>
        <scheme val="minor"/>
      </rPr>
      <t xml:space="preserve">Gated: </t>
    </r>
    <r>
      <rPr>
        <sz val="11"/>
        <color theme="1"/>
        <rFont val="Calibri"/>
        <family val="2"/>
        <scheme val="minor"/>
      </rPr>
      <t>users must signed in to view/create/edit/delete content.</t>
    </r>
  </si>
  <si>
    <t>Question ID</t>
  </si>
  <si>
    <t>Tooltip</t>
  </si>
  <si>
    <t>Selection
Answer Choice</t>
  </si>
  <si>
    <t>Score
Answer Weight</t>
  </si>
  <si>
    <t>Notes
Version Control</t>
  </si>
  <si>
    <t>Display Group</t>
  </si>
  <si>
    <t>Section Name</t>
  </si>
  <si>
    <t>Section Weight</t>
  </si>
  <si>
    <t>Cisco Business Cloud Advisor Adoption Tool</t>
  </si>
  <si>
    <t>Landing page image</t>
  </si>
  <si>
    <t>current image, see https://test-v2-ciscobusinesscloudadvisoradoptiontool-com.webappuat.com ; recommend to change image</t>
  </si>
  <si>
    <t>Landing page content</t>
  </si>
  <si>
    <t>Cloud Solutions for Better Business Outcomes</t>
  </si>
  <si>
    <t>The Cisco Business Cloud Advisor Adoption Tool provides an independently sourced, facts-based framework to help IT organizations make business and IT decisions associated with the adoption of cloud services.</t>
  </si>
  <si>
    <t>To access the tool please Register first. Cisco employees cannot use their existing Cisco.com username and password. Thank you.</t>
  </si>
  <si>
    <t>Footer</t>
  </si>
  <si>
    <t>Privacy Statement  |   Cookie Policy  |   Trademarks</t>
  </si>
  <si>
    <t>Location</t>
  </si>
  <si>
    <t>Content</t>
  </si>
  <si>
    <t>Notes</t>
  </si>
  <si>
    <t>Call to Action (CTA)
(buttons)</t>
  </si>
  <si>
    <t>Register
Sign In</t>
  </si>
  <si>
    <r>
      <rPr>
        <b/>
        <sz val="11"/>
        <color theme="1"/>
        <rFont val="Calibri"/>
        <family val="2"/>
        <scheme val="minor"/>
      </rPr>
      <t>Ouptput:</t>
    </r>
    <r>
      <rPr>
        <sz val="11"/>
        <color theme="1"/>
        <rFont val="Calibri"/>
        <family val="2"/>
        <scheme val="minor"/>
      </rPr>
      <t xml:space="preserve"> this content is use to produce output reports on web/.docx /.pptx /.xlsx</t>
    </r>
  </si>
  <si>
    <t>image 1</t>
  </si>
  <si>
    <t>chart 1</t>
  </si>
  <si>
    <t>industry</t>
  </si>
  <si>
    <t>country</t>
  </si>
  <si>
    <t>staff type (IT, and IT user)</t>
  </si>
  <si>
    <t>number of employees</t>
  </si>
  <si>
    <t>country ( use region as proxy)</t>
  </si>
  <si>
    <t>Header/Tool Name</t>
  </si>
  <si>
    <t>Slider - 1 answer, ≤ 100%</t>
  </si>
  <si>
    <t>Slider - 1 answer, steps</t>
  </si>
  <si>
    <t>Logical Persona</t>
  </si>
  <si>
    <t>- Select Persona -</t>
  </si>
  <si>
    <t>Persona 1</t>
  </si>
  <si>
    <t>Persona 2</t>
  </si>
  <si>
    <t>Persona 3</t>
  </si>
  <si>
    <t>Logical Path
(project specific)</t>
  </si>
  <si>
    <t>Logical Persona
(project specific)</t>
  </si>
  <si>
    <t>Questions and Answers text</t>
  </si>
  <si>
    <t>Intermediate
Calculations</t>
  </si>
  <si>
    <t>Autofill
Answers</t>
  </si>
  <si>
    <t>At a Glance</t>
  </si>
  <si>
    <t>Interactive Sales (IS) Tool Framework Usage Guide</t>
  </si>
  <si>
    <t>DO NOT LINK CELLS TO EXTERNAL DATA SOURCES.</t>
  </si>
  <si>
    <t>https://insideidc-my.sharepoint.com/personal/nselig_idc_com/_layouts/15/guestaccess.aspx?docid=03966c8d14b684ef59634731f85ac03a4&amp;authkey=AYa1ne8rA98EpkZvYPbSCDQ&amp;expiration=2017-09-10T15%3a30%3a13.000Z</t>
  </si>
  <si>
    <t>-- Select Country --</t>
  </si>
  <si>
    <t>-- Select Industry --</t>
  </si>
  <si>
    <t>-- Select Current Title or Role --</t>
  </si>
  <si>
    <t>United States of America</t>
  </si>
  <si>
    <t>North America</t>
  </si>
  <si>
    <t>Aerospace &amp; Defense</t>
  </si>
  <si>
    <t>President, CEO, Owner, Managing Director</t>
  </si>
  <si>
    <t>Argentina</t>
  </si>
  <si>
    <t>Latin America</t>
  </si>
  <si>
    <t>Agriculture Forestry &amp; Fishing</t>
  </si>
  <si>
    <t>Chief Financial Officer (CFO)</t>
  </si>
  <si>
    <t>Australia</t>
  </si>
  <si>
    <t>Asia Pacific</t>
  </si>
  <si>
    <t>Automotive</t>
  </si>
  <si>
    <t>Chief Operations Officer (COO)</t>
  </si>
  <si>
    <t>Austria</t>
  </si>
  <si>
    <t>EMEA</t>
  </si>
  <si>
    <t>Banking</t>
  </si>
  <si>
    <t>Chief Marketing Officer (CMO)</t>
  </si>
  <si>
    <t>Belgium/Luxembourg</t>
  </si>
  <si>
    <t>Chemicals</t>
  </si>
  <si>
    <t>Chief Legal Officer (CLO)</t>
  </si>
  <si>
    <t>Brazil</t>
  </si>
  <si>
    <t>Civilian Government</t>
  </si>
  <si>
    <t>Chief Information Officer (CIO)</t>
  </si>
  <si>
    <t>Canada</t>
  </si>
  <si>
    <t>Construction &amp; Engineering</t>
  </si>
  <si>
    <t>Other CXO</t>
  </si>
  <si>
    <t>Chile</t>
  </si>
  <si>
    <t>Consumer Products</t>
  </si>
  <si>
    <t>Executive Vice President</t>
  </si>
  <si>
    <t>China</t>
  </si>
  <si>
    <t>Education (Higher / University)</t>
  </si>
  <si>
    <t>Vice President</t>
  </si>
  <si>
    <t>Colombia</t>
  </si>
  <si>
    <t>Education (Primary / Secondary)</t>
  </si>
  <si>
    <t>Director</t>
  </si>
  <si>
    <t>Czech Republic</t>
  </si>
  <si>
    <t>Energy</t>
  </si>
  <si>
    <t>Manager</t>
  </si>
  <si>
    <t>Denmark</t>
  </si>
  <si>
    <t>Federal / Central Government</t>
  </si>
  <si>
    <t>Supervisor</t>
  </si>
  <si>
    <t>Finland</t>
  </si>
  <si>
    <t>Financial Services</t>
  </si>
  <si>
    <t>Individual Contributor or Other Staff Level Title</t>
  </si>
  <si>
    <t>France</t>
  </si>
  <si>
    <t>Healthcare</t>
  </si>
  <si>
    <t>Other, please specify</t>
  </si>
  <si>
    <t>Germany</t>
  </si>
  <si>
    <t>High Technology Software &amp; Hardware</t>
  </si>
  <si>
    <t>Hong Kong</t>
  </si>
  <si>
    <t>Hospitality</t>
  </si>
  <si>
    <t>Hungary</t>
  </si>
  <si>
    <t>Insurance</t>
  </si>
  <si>
    <t>Iceland</t>
  </si>
  <si>
    <t>IT Services</t>
  </si>
  <si>
    <t>India</t>
  </si>
  <si>
    <t>Manufacturing</t>
  </si>
  <si>
    <t>Indonesia</t>
  </si>
  <si>
    <t>Media / Entertainment</t>
  </si>
  <si>
    <t>Ireland</t>
  </si>
  <si>
    <t>Mining &amp; Natural Resources</t>
  </si>
  <si>
    <t>Israel</t>
  </si>
  <si>
    <t>Non-Profit Organization</t>
  </si>
  <si>
    <t>Italy</t>
  </si>
  <si>
    <t>Pharmaceuticals</t>
  </si>
  <si>
    <t>Japan</t>
  </si>
  <si>
    <t>Public Sector</t>
  </si>
  <si>
    <t>Malaysia</t>
  </si>
  <si>
    <t>Regional / State / Local Government</t>
  </si>
  <si>
    <t>Mexico</t>
  </si>
  <si>
    <t>Retail</t>
  </si>
  <si>
    <t>Netherlands</t>
  </si>
  <si>
    <t>Service Provider / Professional Services</t>
  </si>
  <si>
    <t>New Zealand</t>
  </si>
  <si>
    <t>Telecommunications</t>
  </si>
  <si>
    <t>Norway</t>
  </si>
  <si>
    <t>Transportation &amp; Logistics</t>
  </si>
  <si>
    <t>Poland</t>
  </si>
  <si>
    <t>Travel</t>
  </si>
  <si>
    <t>Portugal</t>
  </si>
  <si>
    <t>Utilities</t>
  </si>
  <si>
    <t>Puerto Rico</t>
  </si>
  <si>
    <t>Wholesale &amp; Distribution</t>
  </si>
  <si>
    <t>Russia</t>
  </si>
  <si>
    <t>Other / Combination</t>
  </si>
  <si>
    <t>Singapore</t>
  </si>
  <si>
    <t>South Africa</t>
  </si>
  <si>
    <t>South Korea</t>
  </si>
  <si>
    <t>Spain</t>
  </si>
  <si>
    <t>Sweden</t>
  </si>
  <si>
    <t>Switzerland</t>
  </si>
  <si>
    <t>Taiwan</t>
  </si>
  <si>
    <t>Turkey</t>
  </si>
  <si>
    <t>United Kingdom</t>
  </si>
  <si>
    <t>Venezuela</t>
  </si>
  <si>
    <t>Vietnam</t>
  </si>
  <si>
    <t>Other Americas</t>
  </si>
  <si>
    <t>Other EMEA</t>
  </si>
  <si>
    <t>Other AP</t>
  </si>
  <si>
    <t>Other</t>
  </si>
  <si>
    <t>Rest of World</t>
  </si>
  <si>
    <t>Latest list</t>
  </si>
  <si>
    <t>Standard Region Mapping
User selects country
Region is auto select in code</t>
  </si>
  <si>
    <t>Field</t>
  </si>
  <si>
    <t>Place holder
Notes</t>
  </si>
  <si>
    <t>- Select Path -</t>
  </si>
  <si>
    <r>
      <t xml:space="preserve">Answer Type
</t>
    </r>
    <r>
      <rPr>
        <i/>
        <sz val="10"/>
        <rFont val="Arial"/>
        <family val="2"/>
      </rPr>
      <t>updated: June 12, 2017</t>
    </r>
  </si>
  <si>
    <r>
      <t xml:space="preserve">Country
</t>
    </r>
    <r>
      <rPr>
        <i/>
        <sz val="10"/>
        <color theme="1"/>
        <rFont val="Arial"/>
        <family val="2"/>
      </rPr>
      <t>updated: June 12, 2017</t>
    </r>
  </si>
  <si>
    <r>
      <t xml:space="preserve">Region
</t>
    </r>
    <r>
      <rPr>
        <i/>
        <sz val="10"/>
        <color theme="1"/>
        <rFont val="Arial"/>
        <family val="2"/>
      </rPr>
      <t>updated: June 12, 2017</t>
    </r>
  </si>
  <si>
    <r>
      <t xml:space="preserve">Industry
</t>
    </r>
    <r>
      <rPr>
        <i/>
        <sz val="10"/>
        <color theme="1"/>
        <rFont val="Arial"/>
        <family val="2"/>
      </rPr>
      <t>updated: June 12, 2017</t>
    </r>
  </si>
  <si>
    <r>
      <t xml:space="preserve">Title or Role
</t>
    </r>
    <r>
      <rPr>
        <i/>
        <sz val="10"/>
        <color theme="1"/>
        <rFont val="Arial"/>
        <family val="2"/>
      </rPr>
      <t>updated: June 12, 2017</t>
    </r>
  </si>
  <si>
    <t>Sliders - multi-answer, Σ 100%, ≤ 100%</t>
  </si>
  <si>
    <r>
      <t xml:space="preserve">Question Weight
</t>
    </r>
    <r>
      <rPr>
        <b/>
        <sz val="11"/>
        <color rgb="FFFF0000"/>
        <rFont val="Calibri"/>
        <family val="2"/>
        <scheme val="minor"/>
      </rPr>
      <t>Σ 100%</t>
    </r>
  </si>
  <si>
    <t>Bite-size content linked to Q&amp;A</t>
  </si>
  <si>
    <t>A</t>
  </si>
  <si>
    <t>D</t>
  </si>
  <si>
    <t>All</t>
  </si>
  <si>
    <t>Logic</t>
  </si>
  <si>
    <t>Blank</t>
  </si>
  <si>
    <t>Comments</t>
  </si>
  <si>
    <t>Where to get dynamic content</t>
  </si>
  <si>
    <t>General Information</t>
  </si>
  <si>
    <t>Conditionally Required Text Box</t>
  </si>
  <si>
    <t>From Cloudview study 07-13-17 (Enterprises over 100 employees)</t>
  </si>
  <si>
    <t>Level</t>
  </si>
  <si>
    <t>Code</t>
  </si>
  <si>
    <t>Value</t>
  </si>
  <si>
    <t>Split</t>
  </si>
  <si>
    <t>Low score (&gt;)</t>
  </si>
  <si>
    <t>high score (&lt;=)</t>
  </si>
  <si>
    <t xml:space="preserve"> Ad hoc –</t>
  </si>
  <si>
    <t>E</t>
  </si>
  <si>
    <t xml:space="preserve">Opportunistic – </t>
  </si>
  <si>
    <t>Repeatable</t>
  </si>
  <si>
    <t>C</t>
  </si>
  <si>
    <t xml:space="preserve"> Managed – </t>
  </si>
  <si>
    <t>B</t>
  </si>
  <si>
    <t xml:space="preserve"> Optimized –</t>
  </si>
  <si>
    <t>Section Score</t>
  </si>
  <si>
    <t>Overall Score:</t>
  </si>
  <si>
    <t>Public cloud</t>
  </si>
  <si>
    <t>How many business applications are you running today?</t>
  </si>
  <si>
    <t>How many new business applications are you adding each year?</t>
  </si>
  <si>
    <t>And where are you running those applications today and in next 2 years?</t>
  </si>
  <si>
    <t>On premises</t>
  </si>
  <si>
    <t>Hosted – Co-location</t>
  </si>
  <si>
    <t>Private cloud – on premises</t>
  </si>
  <si>
    <t>Private cloud – at hoster’s site</t>
  </si>
  <si>
    <t>Hybrid cloud</t>
  </si>
  <si>
    <t>Let’s learn a little bit about you so we can customize the data specifically to your needs</t>
  </si>
  <si>
    <t>How many employees in your organization?</t>
  </si>
  <si>
    <t xml:space="preserve">What is your industry? </t>
  </si>
  <si>
    <t>In which region is the bulk of your operations?</t>
  </si>
  <si>
    <t>[ ] Next Generation Security</t>
  </si>
  <si>
    <t xml:space="preserve">You selected Data protection – we will need some additional information </t>
  </si>
  <si>
    <t>You selected hybrid cloud – we will need some additional information</t>
  </si>
  <si>
    <t>How many users ? &lt;1,000&gt;</t>
  </si>
  <si>
    <t>How many IT staff are managing the servers &lt;5&gt;</t>
  </si>
  <si>
    <t>You selected more frequent server refreshes – we will need some additional information</t>
  </si>
  <si>
    <t>You selected Next generation security solutions – we will need some additional information</t>
  </si>
  <si>
    <t>You selected Automated provisioning and configuration of IT resources:– we will need some additional information</t>
  </si>
  <si>
    <t>You selected DevOps approach to application delivery – we will need some additional information</t>
  </si>
  <si>
    <t>You are currently delivering &lt;3&gt; new applications annually</t>
  </si>
  <si>
    <t>You selected Use of containers and microservices – we will need some additional information</t>
  </si>
  <si>
    <t>You selected Converged or Hyper-converged infrastructure – we will need some additional information</t>
  </si>
  <si>
    <t>What % of your  total IT environment do you want to replace with Converged or Hyper-converged infrastructure,? &lt;45%&gt;</t>
  </si>
  <si>
    <t>How many servers would be replaced? &lt;56&gt;</t>
  </si>
  <si>
    <t>You selected All-flash storage – we will need some additional information</t>
  </si>
  <si>
    <t>Should =100% without Hybrid cloud</t>
  </si>
  <si>
    <t>Q1</t>
  </si>
  <si>
    <t>Q2</t>
  </si>
  <si>
    <t>Q3</t>
  </si>
  <si>
    <t>Q4</t>
  </si>
  <si>
    <t>Q5</t>
  </si>
  <si>
    <t>Q6</t>
  </si>
  <si>
    <t>Q7</t>
  </si>
  <si>
    <t>All-Flash Storage</t>
  </si>
  <si>
    <t>Hybrid Cloud</t>
  </si>
  <si>
    <t>Server Refresh</t>
  </si>
  <si>
    <t>Converged/Hyper-converged Infrastructure</t>
  </si>
  <si>
    <t>Automated Provisioning</t>
  </si>
  <si>
    <t xml:space="preserve">DevOps </t>
  </si>
  <si>
    <t>Containers/Microservices</t>
  </si>
  <si>
    <t>DP1</t>
  </si>
  <si>
    <t>DP2</t>
  </si>
  <si>
    <t>How much data are you looking to protect? (TBs)</t>
  </si>
  <si>
    <t xml:space="preserve">Have you already implemented data protection initiatives, including back-up and recovery? </t>
  </si>
  <si>
    <t>DP3</t>
  </si>
  <si>
    <t>Yes</t>
  </si>
  <si>
    <t>No</t>
  </si>
  <si>
    <t>What % of your data is currently covered?</t>
  </si>
  <si>
    <t>HC1</t>
  </si>
  <si>
    <t>HC2</t>
  </si>
  <si>
    <t>HC3</t>
  </si>
  <si>
    <t>SER2</t>
  </si>
  <si>
    <t>SER1</t>
  </si>
  <si>
    <t>SER3</t>
  </si>
  <si>
    <t>What is your current server lifecycle? (years)</t>
  </si>
  <si>
    <t xml:space="preserve">And what life cycle do you want to evaluate? (years) </t>
  </si>
  <si>
    <t>(pre-loaded values)</t>
  </si>
  <si>
    <t>How many servers are supporting the apps?</t>
  </si>
  <si>
    <t xml:space="preserve">How many servers are we evaluating? </t>
  </si>
  <si>
    <t xml:space="preserve">How much of your future IT environment (2 years) do you want to  protect? </t>
  </si>
  <si>
    <t xml:space="preserve">How much of your current IT environment is protected by Next generation security solutions today? </t>
  </si>
  <si>
    <t>SCTY1</t>
  </si>
  <si>
    <t>SCTY2</t>
  </si>
  <si>
    <t>AP1</t>
  </si>
  <si>
    <t>How many IT users of business applications will be affected?</t>
  </si>
  <si>
    <t>AP2</t>
  </si>
  <si>
    <t>You are currently running  &lt; 4 &gt; of your applications in a hybrid cloud and plan to increase to  &lt;8&gt; over then next two years. For the  &lt;4&gt; applications you plan on migrating;</t>
  </si>
  <si>
    <t>DO1</t>
  </si>
  <si>
    <t>DO2</t>
  </si>
  <si>
    <t>DO3</t>
  </si>
  <si>
    <t>Today</t>
  </si>
  <si>
    <t>In 2 years</t>
  </si>
  <si>
    <t xml:space="preserve">How many  DevOps team members are involved? </t>
  </si>
  <si>
    <t>How long does adoption of that new application require?</t>
  </si>
  <si>
    <t xml:space="preserve">For what % of business applications do you want to evaluate containers and microservices?&lt;35%&gt; </t>
  </si>
  <si>
    <t>MICRO1</t>
  </si>
  <si>
    <t>CON1</t>
  </si>
  <si>
    <t>CON2</t>
  </si>
  <si>
    <t>FLASH1</t>
  </si>
  <si>
    <t>FLASH2</t>
  </si>
  <si>
    <t>FLASH3</t>
  </si>
  <si>
    <t xml:space="preserve">What % of your current storage environment  is All-flash storage today? </t>
  </si>
  <si>
    <t>and  how much do you want to migrate?(TBs)</t>
  </si>
  <si>
    <t>How much data is contained in your storage environment (TBs)</t>
  </si>
  <si>
    <t>FLASH4</t>
  </si>
  <si>
    <t>How many IT staff manage you storage environment? ( FTEs)</t>
  </si>
  <si>
    <t>Data Protection - Next Gen Security</t>
  </si>
  <si>
    <t>Which of the following ITX initiatives do you want to assess? (Rank by order of importance -  up to 5)</t>
  </si>
  <si>
    <t>45% quicker adoption</t>
  </si>
  <si>
    <t>27%  less downtime</t>
  </si>
  <si>
    <t>27% increase in business agility</t>
  </si>
  <si>
    <t>46% increase in business agility</t>
  </si>
  <si>
    <t>23% higher performance</t>
  </si>
  <si>
    <t>48% faster deployment of new servers</t>
  </si>
  <si>
    <t>Flash Storage</t>
  </si>
  <si>
    <t>42% more efficient operations</t>
  </si>
  <si>
    <t xml:space="preserve">52% more scalable </t>
  </si>
  <si>
    <t>Let's see how those &lt;5&gt; cutting-edge technologies will impact your organization.</t>
  </si>
  <si>
    <t>To get a financial analysis of how these initiatives will turn your IT into a revenue generator and multiplier - complete the following questions.</t>
  </si>
  <si>
    <t>Converged/Hyperconverged Infrastructure</t>
  </si>
  <si>
    <t>IT Transformation Initiative</t>
  </si>
  <si>
    <t>Description</t>
  </si>
  <si>
    <t>IT benefit</t>
  </si>
  <si>
    <t>67% fewer security breaches</t>
  </si>
  <si>
    <t>Average # of Secirity breeces per TB</t>
  </si>
  <si>
    <t>% of Breeches impactiing rvenue</t>
  </si>
  <si>
    <t>Average MTTR</t>
  </si>
  <si>
    <t>Current IT Staff costs</t>
  </si>
  <si>
    <t>Average revenue per breech</t>
  </si>
  <si>
    <t>Current revenue loss</t>
  </si>
  <si>
    <t xml:space="preserve">Future </t>
  </si>
  <si>
    <t xml:space="preserve">Current IT staff costs </t>
  </si>
  <si>
    <t>Future with flash</t>
  </si>
  <si>
    <t xml:space="preserve"> Current storage infrstructure costs</t>
  </si>
  <si>
    <t>43% lower storage costs</t>
  </si>
  <si>
    <t>45% reduction in TCO</t>
  </si>
  <si>
    <t>Current costs</t>
  </si>
  <si>
    <t>Hardware</t>
  </si>
  <si>
    <t>IT labor</t>
  </si>
  <si>
    <t>Downtime</t>
  </si>
  <si>
    <t>Future</t>
  </si>
  <si>
    <t xml:space="preserve">The implementation of hybrid IT — or a mix of on-premises IT and cloud computing capabilities — is a good option. In implementing hybrid environments, IT can define an architectural approach, an IT investment strategy, and an IT staffing model that can help increase revenue and propel growth by: </t>
  </si>
  <si>
    <t></t>
  </si>
  <si>
    <t xml:space="preserve">Modernizing traditional IT workload environments and infrastructures to make strategic use of a broad range of cloud-computing environments. These improve IT agility and scalability while reducing capital outlays. Cloud options include clouds hosted by third parties, including software-as-a-service and infrastructure-as-a-service offerings. </t>
  </si>
  <si>
    <t xml:space="preserve">Many IT organizations choose to invest in converged infrastructures, or those that combine network, computing, and storage onto a single system, complete with management capabilities. Converged systems provide a stable, reliable and operationally efficient platform for business-critical databases and applications that IT chooses not to run on a cloud. They improve the performance of these applications and databases while streamlining infrastructure management and reducing associated facilities costs. </t>
  </si>
  <si>
    <t xml:space="preserve">In large part because of more agile IT infrastructures, but also because of adoption of DevOps approaches and self-service capabilities, study participants have significantly reduced the friction that reduces the effectiveness of their software development efforts. As a result, application development teams are creating much higher value for their organizations. As shown in Table 3, this value manifests itself in increased number of application and new feature releases, and faster times to delivery for applications and releases. </t>
  </si>
  <si>
    <t xml:space="preserve">This means that fewer users are experiencing delays in obtaining requested functionality, and ensure that customer-facing services meet expectations. Further, study participants’ ITX initiatives are helping them deliver higher quality and more functional applications and features: For example, 25% more applications have full functionality for mobile users, and users adopt new applications in 10% less time, on average. </t>
  </si>
  <si>
    <t>“Moving to hybrid cloud is helping us reduce the time to market for our services. We spend less time managing the infrastructure and more time delivering what our customers require. And, we are able to remain competitive against our major competitors targeting the same customers.”</t>
  </si>
  <si>
    <t>Improved data protection- replication, snapshot, backup, archive, continuous availability and recovery</t>
  </si>
  <si>
    <t>Call out box</t>
  </si>
  <si>
    <t>IDC assessed 16 organizations around the world about the impact of IT transformation initiatives on their business results. These organizations have an average of nearly 10,000 employees (2,500 median), and are generating an average of $1.61 billion of revenue per year. Assessments were in-depth and covered various topics related to understanding the qualitative and quantitative impact of study participants’ IT Transformation initiatives. Interviews reflect the experiences of organizations located in North America, EMEA, and Asia-Pacific, and a cross-section of industry verticals.</t>
  </si>
  <si>
    <t>Benefits of Adopting IT Transformation Initiatives</t>
  </si>
  <si>
    <t xml:space="preserve"> </t>
  </si>
  <si>
    <t>46% increase in business agility generating $650,000 in additional revenue</t>
  </si>
  <si>
    <t>Figure 1: Total Additional Revenue per Year</t>
  </si>
  <si>
    <t>Figure 2: Technical Debt per Year</t>
  </si>
  <si>
    <t>Action Plan</t>
  </si>
  <si>
    <t>Transform IT like you mean business. Get started on implementing your IT initiatives today with Dell EMC and Intel®. ‘Visit DellEMC.com/IT Transformation for more information.’</t>
  </si>
  <si>
    <t>https://www.dellemc.com/en-us/it-transformation/index.htm</t>
  </si>
  <si>
    <t>Your Customized Assessment: The Economic Impact of IT Transformation for &lt;ACME&gt;</t>
  </si>
  <si>
    <t>&lt;ACME&gt; from registration</t>
  </si>
  <si>
    <t>This report presents the potential benefit for &lt;ACME&gt; in adopting the &lt;4&gt; IT transformation initiatives you selected.</t>
  </si>
  <si>
    <t xml:space="preserve">Business Value Highlights for &lt;ACME&gt; </t>
  </si>
  <si>
    <t xml:space="preserve">&lt;ACME&gt; has selected the following IT Transformation initiatives: Undertaking data protection and next generation security, flash storage deployment, migrating/deploying applications to a hybrid cloud environment, refreshed server environments, converged/hyper-converged infrastructure, automated provisioning of IT services, implementing a DevOps approach to software development efforts and containers/microservices deployment.,  </t>
  </si>
  <si>
    <t>By selecting these initiatives, &lt;ACME&gt; can potentially generate the following benefits:</t>
  </si>
  <si>
    <t>The results in this document are based on a model developed to quantify the value of these initiatives combined with a high-level assessment of &lt;ACME&gt; and are meant to be directional and not precise.</t>
  </si>
  <si>
    <t>These selections could result in greater collaboration between IT and business teams, and help &lt;ACME&gt; win more business and increase revenue by better addressing business opportunities and serving customers. The Business Value Tool calculates that &lt;ACME&gt; will realize potential revenue gains worth &lt;$20M&gt; per year over five years through IT Transformation initiatives by:</t>
  </si>
  <si>
    <t>Employees</t>
  </si>
  <si>
    <t>IT Staff salary</t>
  </si>
  <si>
    <t>User salary</t>
  </si>
  <si>
    <t>from salary scalar based on industry and country</t>
  </si>
  <si>
    <t>% of Employees Using Information Systems (IT) forJobs</t>
  </si>
  <si>
    <t>Average MTTR (hours)</t>
  </si>
  <si>
    <t>from McAfee NSP Model</t>
  </si>
  <si>
    <t>Work hours per year</t>
  </si>
  <si>
    <t>reduced breaches</t>
  </si>
  <si>
    <t>Current annual IT Staff costs</t>
  </si>
  <si>
    <t>Future annual IT Staff costs</t>
  </si>
  <si>
    <t>IT Staff savings</t>
  </si>
  <si>
    <t>Average # of Security breaches per year</t>
  </si>
  <si>
    <t>% of Breeches impacting revenue</t>
  </si>
  <si>
    <t>Current Annual revenue loss</t>
  </si>
  <si>
    <t>Future Annual revenue loss</t>
  </si>
  <si>
    <t>Revenue Savings</t>
  </si>
  <si>
    <t xml:space="preserve">Current Annual IT staff costs </t>
  </si>
  <si>
    <t xml:space="preserve">How many IT staff are managing the servers </t>
  </si>
  <si>
    <t xml:space="preserve">How many users ? </t>
  </si>
  <si>
    <t>Converged systems</t>
  </si>
  <si>
    <t xml:space="preserve">65% lower downtime </t>
  </si>
  <si>
    <t>Annual IT staffing costs Current</t>
  </si>
  <si>
    <t>Annual IT staffing costs Future</t>
  </si>
  <si>
    <t>Average annual FTEs per server</t>
  </si>
  <si>
    <t>reduction %</t>
  </si>
  <si>
    <t>Annual IT staffing savings</t>
  </si>
  <si>
    <t>From Copy of dell aging servers</t>
  </si>
  <si>
    <t>Downtime instances per year per server</t>
  </si>
  <si>
    <t>MTTR</t>
  </si>
  <si>
    <t>% of users impacted</t>
  </si>
  <si>
    <t>% productivity impact</t>
  </si>
  <si>
    <t>Annual Lost productivity Current</t>
  </si>
  <si>
    <t>Annual Lost productivity Future</t>
  </si>
  <si>
    <t>Improvement %</t>
  </si>
  <si>
    <t>Annual lost productivity savings</t>
  </si>
  <si>
    <t xml:space="preserve">77% more reliable business operations </t>
  </si>
  <si>
    <t xml:space="preserve">28% increase in compute scalability </t>
  </si>
  <si>
    <t xml:space="preserve">What % of your  total IT environment do you want to replace with Converged or Hyper-converged infrastructure,? </t>
  </si>
  <si>
    <t xml:space="preserve">How many servers would be replaced? </t>
  </si>
  <si>
    <t>Average Lost revenue per instance</t>
  </si>
  <si>
    <t>Dell EMC Converged infrastructure model</t>
  </si>
  <si>
    <t>Average cost per server (annual cost- 5 years)</t>
  </si>
  <si>
    <t>Uplift for networking storage and facilities/power</t>
  </si>
  <si>
    <t>annual infrastructure cost Current</t>
  </si>
  <si>
    <t>annual infrastructure cost future</t>
  </si>
  <si>
    <t>Annual infrastructure costs savings</t>
  </si>
  <si>
    <t>% reduction</t>
  </si>
  <si>
    <t>From Dell ITX model</t>
  </si>
  <si>
    <t>Lost revenue per year current</t>
  </si>
  <si>
    <t>Lost revenue per year future</t>
  </si>
  <si>
    <t>Annual revenue savings</t>
  </si>
  <si>
    <t>IT staff savings</t>
  </si>
  <si>
    <t>Infrastructure savings</t>
  </si>
  <si>
    <t>Performance speed value?</t>
  </si>
  <si>
    <t>Annual Infrastructure costs per TB for Non-Flash</t>
  </si>
  <si>
    <t>Annual Infrastructure costs per TB for Flash</t>
  </si>
  <si>
    <t>From Sandisk</t>
  </si>
  <si>
    <t>From Sandisk adjusted for current costs ( includes storage, servers, facilities, power and cooling and maintenance)</t>
  </si>
  <si>
    <t>% affecting revenue</t>
  </si>
  <si>
    <t xml:space="preserve">Sandisk updated </t>
  </si>
  <si>
    <t>Revenue current</t>
  </si>
  <si>
    <t>Revenue future</t>
  </si>
  <si>
    <t>Revenue Gain</t>
  </si>
  <si>
    <t>Storage downtime instances per TB per Year</t>
  </si>
  <si>
    <t xml:space="preserve">Sandisk </t>
  </si>
  <si>
    <t>Average revenue loss per incident</t>
  </si>
  <si>
    <t xml:space="preserve">currently running  &lt; 4 &gt; of your applications in a hybrid cloud </t>
  </si>
  <si>
    <t>Number of applications migrating to hybid cloud in 2 years</t>
  </si>
  <si>
    <t>Total applications today</t>
  </si>
  <si>
    <t>Apps added each year</t>
  </si>
  <si>
    <t>TCO reduction</t>
  </si>
  <si>
    <t>Business Agility benefit</t>
  </si>
  <si>
    <t>38% more efficient IT operations</t>
  </si>
  <si>
    <t xml:space="preserve">35% faster development </t>
  </si>
  <si>
    <t xml:space="preserve">27% less downtime </t>
  </si>
  <si>
    <t>Annual cost of a server(cost + 15% maintenance)</t>
  </si>
  <si>
    <t>Dell EMC Converged Platforms model</t>
  </si>
  <si>
    <t>Total current TCO</t>
  </si>
  <si>
    <t>Future TCO</t>
  </si>
  <si>
    <t>current revenue</t>
  </si>
  <si>
    <t>Revenue benefit</t>
  </si>
  <si>
    <t>Annual revenue assumption - per employee</t>
  </si>
  <si>
    <t>Revenue increase from Hybrid cloud</t>
  </si>
  <si>
    <t>Typical deployment time (days)</t>
  </si>
  <si>
    <t>How many servers will be affected</t>
  </si>
  <si>
    <t xml:space="preserve">Changed question 021318 </t>
  </si>
  <si>
    <t>Total lost user productivity Future</t>
  </si>
  <si>
    <t>User productivity savings</t>
  </si>
  <si>
    <t>How many new servers will be affected</t>
  </si>
  <si>
    <t>Annual lost user productivity Current (5 year cycle)</t>
  </si>
  <si>
    <t>IT costs to deploy current</t>
  </si>
  <si>
    <t>IT costs to deploy future</t>
  </si>
  <si>
    <t>IT effivciency savings</t>
  </si>
  <si>
    <t xml:space="preserve">35% increase in developer productivity </t>
  </si>
  <si>
    <t>Number of new apps developed each year</t>
  </si>
  <si>
    <t xml:space="preserve">How long does it take to develop a new app (weeks)? </t>
  </si>
  <si>
    <t>Weeks added 021318</t>
  </si>
  <si>
    <t xml:space="preserve">How long does it take to develop/deploy a new app (weeks)? </t>
  </si>
  <si>
    <t>Current costs to deploy the apps</t>
  </si>
  <si>
    <t>Future costs to deply the apps</t>
  </si>
  <si>
    <t>Inprease in Developer productivity</t>
  </si>
  <si>
    <t>Revenue increase from DevOps</t>
  </si>
  <si>
    <t>Current Infrastructure costs</t>
  </si>
  <si>
    <t>servers per on prem app</t>
  </si>
  <si>
    <t xml:space="preserve">Number of applications being considered </t>
  </si>
  <si>
    <t>Scalability savings</t>
  </si>
  <si>
    <t>Future costs</t>
  </si>
  <si>
    <t>Current Downtime</t>
  </si>
  <si>
    <t>Future Downtime</t>
  </si>
  <si>
    <t>Downtime savings</t>
  </si>
  <si>
    <t>40 ems per app</t>
  </si>
  <si>
    <t>How many IT staff manage your storage environment? ( FTEs)</t>
  </si>
  <si>
    <t>Total benefits</t>
  </si>
  <si>
    <t>Reducing Infrastructure costs</t>
  </si>
  <si>
    <t>Reducing IT staffing costs</t>
  </si>
  <si>
    <t>Reducing User productivity Loss</t>
  </si>
  <si>
    <t>Reducing revenue loss</t>
  </si>
  <si>
    <t>Enhancing revenue</t>
  </si>
  <si>
    <t>Total costs reduction</t>
  </si>
  <si>
    <t>Total revenue benefit</t>
  </si>
  <si>
    <t>&lt;ACME&gt; from registration. &lt;$20M&gt; from Calculations (C184)</t>
  </si>
  <si>
    <t>&lt;$20M&gt; from Calculations (C184)</t>
  </si>
  <si>
    <t>  &lt;8%&gt;  revenue growth</t>
  </si>
  <si>
    <t>  &lt;$200000&gt; reduction in technical debt</t>
  </si>
  <si>
    <t>27% increase in business agility generating &lt;$450,000&gt; in additional revenue</t>
  </si>
  <si>
    <t>67% increase in the value of the IT security staff -&lt;$350,000&gt; in higher staff productivity</t>
  </si>
  <si>
    <t>&lt;$450&gt; from Calculations (C33)</t>
  </si>
  <si>
    <t>&lt;$350&gt; from Calculations (C27)</t>
  </si>
  <si>
    <t>23% higher application performance generating &lt;$350,000&gt; in additional revenue</t>
  </si>
  <si>
    <t>45% lower storage costs reducing infrastructure costs by &lt;$250,000&gt;</t>
  </si>
  <si>
    <t>&lt;$20M&gt; from Calculations (C54)</t>
  </si>
  <si>
    <t>&lt;$20M&gt; from Calculations (C62)</t>
  </si>
  <si>
    <t>46% increase in business agility generating &lt;$650,000&gt; in additional revenue</t>
  </si>
  <si>
    <t>&lt;$20M&gt; from Calculations (C84)</t>
  </si>
  <si>
    <t>&lt;$20M&gt; from Calculations (C80)</t>
  </si>
  <si>
    <t>45% reduction in TCO through optimizing cloud use will reduce technical debt by&lt;$50000&gt;</t>
  </si>
  <si>
    <t>65% lower downtime generating &lt;$650,000&gt; in employee productivity gains</t>
  </si>
  <si>
    <t>42% more efficient operations -&lt;$350,000&gt; savings in IT staff productivity</t>
  </si>
  <si>
    <t>&lt;$20M&gt; from Calculations (C97)</t>
  </si>
  <si>
    <t>&lt;$20M&gt; from Calculations (C106)</t>
  </si>
  <si>
    <t>77% more reliable business operations generating &lt;$650,000&gt; in revenue</t>
  </si>
  <si>
    <t>28% increase in compute scalability resulting in &lt;$250,000&gt; lower infrastructure costs</t>
  </si>
  <si>
    <t>&lt;$20M&gt; from Calculations (C122)</t>
  </si>
  <si>
    <t>&lt;$20M&gt; from Calculations (C129)</t>
  </si>
  <si>
    <t>38% more efficient IT operations, increasing the value of the IT staff resulting in &lt;$350,000&gt; in higher staff productivity levels</t>
  </si>
  <si>
    <t>&lt;$20M&gt; from Calculations (C140)</t>
  </si>
  <si>
    <t>&lt;$20M&gt; from Calculations (C143)</t>
  </si>
  <si>
    <t>48% faster deployment of new servers speeding time to market and generating &lt;$100,000&gt; in employee productivity</t>
  </si>
  <si>
    <t>35% quicker development and 45% quicker adoption increasing new customers and generating &lt;$650,000&gt; in additional revenue</t>
  </si>
  <si>
    <t>45% increase in developer productivity – resulting in &lt;$350,000&gt; of higher value for developers</t>
  </si>
  <si>
    <t>&lt;$20M&gt; from Calculations (C160)</t>
  </si>
  <si>
    <t>&lt;$20M&gt; from Calculations (C156)</t>
  </si>
  <si>
    <t>52% more scalable environment resulting in &lt;$250,000&gt; lower infrastructure costs</t>
  </si>
  <si>
    <t>&lt;$20M&gt; from Calculations (C170)</t>
  </si>
  <si>
    <t>&lt;$20M&gt; from Calculations (C175)</t>
  </si>
  <si>
    <t>27% less downtime saving &lt;$650,000&gt; in user productivity</t>
  </si>
  <si>
    <t xml:space="preserve">Accelerating Revenue Growth. The value of being faster to the market, with better, new products and services is significant. The Business Value Tool calculates that &lt;ACME&gt; will achieve a &lt;20%&gt; revenue increase over five years thanks to your IT Transformation initiatives. You will increase revenue by an average of &lt;$7 million&gt;. In addition, &lt;ACME&gt; can add &lt;$106,458&gt; annually in recovered revenue per year by reducing the impact of outages on business. These benefits will accrue through IT Transformation capabilities that help companies better compete. Capabilities improve the availability and agility of IT, boost productivity, and enable organizations to expand into new geographic territories. </t>
  </si>
  <si>
    <t>% revenue increase</t>
  </si>
  <si>
    <t>Reducing the IT Technical Debt: By modernizing and automating infrastructure, IT can recast its strategic position. Rather than provide a back-office support role, IT can become a service-centric business partner intent on driving revenue growth. Through selected modernization initiatives, IDC calculates that &lt;ACME&gt; could reduce technical debt by an average of &lt;$9,038,214&gt; per year, over a 5-year period, by:</t>
  </si>
  <si>
    <t>&lt;ACME&gt; from registration. reduce technical debt by &lt;$20M&gt; from Calculations (C181)</t>
  </si>
  <si>
    <t>% reduce Infrastructure</t>
  </si>
  <si>
    <t>e</t>
  </si>
  <si>
    <t xml:space="preserve">% reduce IT staff costs </t>
  </si>
  <si>
    <t>% reduce downtime</t>
  </si>
  <si>
    <t>% reduce Security breaches</t>
  </si>
  <si>
    <t xml:space="preserve">·         Eliminating the negative business impact of unplanned downtime and security breaches on users and business operations. IDC calculates that &lt;ACME&gt; may capture value through lowering the impact of  unplanned downtime by &lt;92%&gt; &lt;and  reducing security breaches by &lt;86%&gt;; generating higher employee productivity worth an average of &lt;$15,587,217&gt; per year. </t>
  </si>
  <si>
    <t>&lt;ACME&gt; from registration. lowering unplanned downtime by &lt;92%&gt; from Calculations (C188). &lt;and  reducing security breaches by &lt;86%&gt; from Calculations (C189). If data protection not selected delete security breach benefit.  higher employee productivity worth an average of &lt;$15,587,217&gt; from Calculations (C180)</t>
  </si>
  <si>
    <t>  Average higher revenue of &lt;$206M&gt;</t>
  </si>
  <si>
    <t xml:space="preserve"> &lt;8%&gt;  revenue growth  from Calculations (C185)</t>
  </si>
  <si>
    <t>New revenue</t>
  </si>
  <si>
    <t>Recovered revenue from reducing downtime</t>
  </si>
  <si>
    <t>Three columns</t>
  </si>
  <si>
    <t>Two columns</t>
  </si>
  <si>
    <t xml:space="preserve">Figure 2: Annual Technical Debt Reduction </t>
  </si>
  <si>
    <t xml:space="preserve">Infrastructure scalability </t>
  </si>
  <si>
    <t>It staff productivity</t>
  </si>
  <si>
    <t xml:space="preserve">User productivity </t>
  </si>
  <si>
    <r>
      <t xml:space="preserve">Data Protection - Next Gen Security </t>
    </r>
    <r>
      <rPr>
        <b/>
        <sz val="11"/>
        <color theme="1"/>
        <rFont val="Arial"/>
        <family val="2"/>
      </rPr>
      <t xml:space="preserve">- </t>
    </r>
    <r>
      <rPr>
        <sz val="11"/>
        <color theme="1"/>
        <rFont val="Arial"/>
        <family val="2"/>
      </rPr>
      <t>Includes advanced encryption technologies, data loss prevention, behavioral analytics, data tokenization and masking. IDC defines next-gen security as the recognition of the direct link between mastery of data and the ability to protect it.  </t>
    </r>
  </si>
  <si>
    <r>
      <t xml:space="preserve">Flash Storage </t>
    </r>
    <r>
      <rPr>
        <b/>
        <sz val="11"/>
        <color theme="1"/>
        <rFont val="Arial"/>
        <family val="2"/>
      </rPr>
      <t xml:space="preserve">- </t>
    </r>
    <r>
      <rPr>
        <sz val="11"/>
        <color theme="1"/>
        <rFont val="Arial"/>
        <family val="2"/>
      </rPr>
      <t>Any type of storage that uses flash memory to keep data for an extended period of time. Flash storage uses memory cells to store data.</t>
    </r>
  </si>
  <si>
    <r>
      <t xml:space="preserve">Hybrid Cloud </t>
    </r>
    <r>
      <rPr>
        <b/>
        <sz val="11"/>
        <color theme="1"/>
        <rFont val="Arial"/>
        <family val="2"/>
      </rPr>
      <t xml:space="preserve">- </t>
    </r>
    <r>
      <rPr>
        <sz val="11"/>
        <color theme="1"/>
        <rFont val="Arial"/>
        <family val="2"/>
      </rPr>
      <t>A compute environment that uses multiple different types of cloud, including a mix of on-premises, private cloud, and public cloud services with orchestration between the different platforms.</t>
    </r>
  </si>
  <si>
    <r>
      <t xml:space="preserve">Server Refresh </t>
    </r>
    <r>
      <rPr>
        <b/>
        <sz val="11"/>
        <color theme="1"/>
        <rFont val="Arial"/>
        <family val="2"/>
      </rPr>
      <t xml:space="preserve">– </t>
    </r>
    <r>
      <rPr>
        <sz val="11"/>
        <color theme="1"/>
        <rFont val="Arial"/>
        <family val="2"/>
      </rPr>
      <t xml:space="preserve">A consistent, standardized process of replacing server infrastructure that enables an organization to take advantage of the performance and efficiency benefits of new equipment when appropriate to achieve the best performance for money spent. </t>
    </r>
  </si>
  <si>
    <r>
      <t xml:space="preserve">Converged/Hyper-converged Infrastructure </t>
    </r>
    <r>
      <rPr>
        <b/>
        <sz val="11"/>
        <color theme="1"/>
        <rFont val="Arial"/>
        <family val="2"/>
      </rPr>
      <t xml:space="preserve">- </t>
    </r>
    <r>
      <rPr>
        <sz val="11"/>
        <color theme="1"/>
        <rFont val="Arial"/>
        <family val="2"/>
      </rPr>
      <t>Multiple IT components (often servers, storage, network gear, and system management software) are configured and sold as an integrated, complete system.</t>
    </r>
  </si>
  <si>
    <r>
      <t xml:space="preserve">Automated Provisioning </t>
    </r>
    <r>
      <rPr>
        <b/>
        <sz val="11"/>
        <color theme="1"/>
        <rFont val="Arial"/>
        <family val="2"/>
      </rPr>
      <t xml:space="preserve">- </t>
    </r>
    <r>
      <rPr>
        <sz val="11"/>
        <color theme="1"/>
        <rFont val="Arial"/>
        <family val="2"/>
      </rPr>
      <t>The ability to deploy infrastructure or services by using pre-defined procedures and protocols. The deployment is done automatically and doesn’t require a human to manually provision.</t>
    </r>
  </si>
  <si>
    <r>
      <t xml:space="preserve">DevOps </t>
    </r>
    <r>
      <rPr>
        <b/>
        <sz val="11"/>
        <color theme="1"/>
        <rFont val="Arial"/>
        <family val="2"/>
      </rPr>
      <t xml:space="preserve">- </t>
    </r>
    <r>
      <rPr>
        <sz val="11"/>
        <color theme="1"/>
        <rFont val="Arial"/>
        <family val="2"/>
      </rPr>
      <t>A concept or strategy that closely aligns software development with software operation with the goal of rapid and continuous improvement.</t>
    </r>
  </si>
  <si>
    <r>
      <t xml:space="preserve">Containers/Microservices - </t>
    </r>
    <r>
      <rPr>
        <sz val="11"/>
        <color theme="1"/>
        <rFont val="Arial"/>
        <family val="2"/>
      </rPr>
      <t>A way to separate applications from the environments on which they run. Container-based apps or microservices can be deployed consistently in an enterprise datacenter, the public cloud, or a personal laptop.</t>
    </r>
  </si>
  <si>
    <r>
      <t xml:space="preserve">·         </t>
    </r>
    <r>
      <rPr>
        <sz val="11"/>
        <color theme="1"/>
        <rFont val="Arial"/>
        <family val="2"/>
      </rPr>
      <t>Increasing business agility</t>
    </r>
  </si>
  <si>
    <r>
      <t xml:space="preserve">·         </t>
    </r>
    <r>
      <rPr>
        <sz val="11"/>
        <color theme="1"/>
        <rFont val="Arial"/>
        <family val="2"/>
      </rPr>
      <t>Speeding time to market for new products and services</t>
    </r>
  </si>
  <si>
    <r>
      <t xml:space="preserve">·         </t>
    </r>
    <r>
      <rPr>
        <sz val="11"/>
        <color theme="1"/>
        <rFont val="Arial"/>
        <family val="2"/>
      </rPr>
      <t>Improving existing services and products, thereby attracting new business</t>
    </r>
  </si>
  <si>
    <r>
      <t xml:space="preserve">·         </t>
    </r>
    <r>
      <rPr>
        <sz val="11"/>
        <color theme="1"/>
        <rFont val="Arial"/>
        <family val="2"/>
      </rPr>
      <t>Creating a more scalable and cost-effective IT environment</t>
    </r>
  </si>
  <si>
    <r>
      <t xml:space="preserve">·         </t>
    </r>
    <r>
      <rPr>
        <sz val="11"/>
        <color theme="1"/>
        <rFont val="Arial"/>
        <family val="2"/>
      </rPr>
      <t>Delivering a more efficient IT management staff</t>
    </r>
  </si>
  <si>
    <t>&lt;ACME&gt; from registration. &lt;4- number  of initiatives selected&gt; from Q7 Which of the following ITX initiatives do you want to assess? (Rank by order of importance -  up to 5)</t>
  </si>
  <si>
    <t>&lt;$50000&gt; increase in IT staff productivity</t>
  </si>
  <si>
    <t>&lt;$50000&gt; increase from Calculations (C179)</t>
  </si>
  <si>
    <t>&lt;$50000&gt; increase in user productivity</t>
  </si>
  <si>
    <t>&lt;$50000&gt; increase from Calculations (C180)</t>
  </si>
  <si>
    <t>added 021518</t>
  </si>
  <si>
    <t>Changed 021518</t>
  </si>
  <si>
    <t>Default number based on average for a broad range of organizations</t>
  </si>
  <si>
    <t>Default value based on average from  organizations of your size</t>
  </si>
  <si>
    <t>Default value based on average from  organizations of your size.</t>
  </si>
  <si>
    <t>Default value based on your input and average from  organizations of your size.</t>
  </si>
  <si>
    <r>
      <t>&lt;ACME&gt; from registration. &lt;20%&gt; revenue increase  from Calculations (C184).   IT Transformation initiatives. Increase revenue by &lt;$20M&gt; from Calculations (C183). $106,458&gt; annually in recovered revenue  from Calculations</t>
    </r>
    <r>
      <rPr>
        <sz val="11"/>
        <color rgb="FFFF0000"/>
        <rFont val="Arial"/>
        <family val="2"/>
      </rPr>
      <t>(C182)</t>
    </r>
  </si>
  <si>
    <t xml:space="preserve"> &lt;$200000&gt; reduction from Calculations (C181)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</si>
</sst>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s>
  <fonts count="4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sz val="10"/>
      <name val="Arial"/>
      <family val="2"/>
    </font>
    <font>
      <sz val="18"/>
      <color theme="1"/>
      <name val="Calibri"/>
      <family val="2"/>
      <scheme val="minor"/>
    </font>
    <font>
      <sz val="11"/>
      <name val="Calibri"/>
      <family val="2"/>
      <scheme val="minor"/>
    </font>
    <font>
      <u/>
      <sz val="11"/>
      <color theme="10"/>
      <name val="Calibri"/>
      <family val="2"/>
      <scheme val="minor"/>
    </font>
    <font>
      <b/>
      <sz val="10"/>
      <color theme="1"/>
      <name val="Arial"/>
      <family val="2"/>
    </font>
    <font>
      <sz val="10"/>
      <color theme="1"/>
      <name val="Arial"/>
      <family val="2"/>
    </font>
    <font>
      <sz val="10"/>
      <color rgb="FF00B0F0"/>
      <name val="Arial"/>
      <family val="2"/>
    </font>
    <font>
      <sz val="10"/>
      <color theme="0" tint="-0.499984740745262"/>
      <name val="Arial"/>
      <family val="2"/>
    </font>
    <font>
      <b/>
      <sz val="10"/>
      <color rgb="FF00B0F0"/>
      <name val="Arial"/>
      <family val="2"/>
    </font>
    <font>
      <u/>
      <sz val="10"/>
      <color rgb="FF00B0F0"/>
      <name val="Arial"/>
      <family val="2"/>
    </font>
    <font>
      <i/>
      <sz val="10"/>
      <name val="Arial"/>
      <family val="2"/>
    </font>
    <font>
      <i/>
      <sz val="10"/>
      <color theme="1"/>
      <name val="Arial"/>
      <family val="2"/>
    </font>
    <font>
      <b/>
      <sz val="11"/>
      <color rgb="FFFF0000"/>
      <name val="Calibri"/>
      <family val="2"/>
      <scheme val="minor"/>
    </font>
    <font>
      <sz val="11"/>
      <color theme="1"/>
      <name val="Arial"/>
      <family val="2"/>
    </font>
    <font>
      <b/>
      <sz val="11"/>
      <color theme="1"/>
      <name val="Arial"/>
      <family val="2"/>
    </font>
    <font>
      <i/>
      <sz val="11"/>
      <color theme="1"/>
      <name val="Arial"/>
      <family val="2"/>
    </font>
    <font>
      <b/>
      <i/>
      <sz val="11"/>
      <color theme="1"/>
      <name val="Arial"/>
      <family val="2"/>
    </font>
    <font>
      <sz val="11"/>
      <color indexed="8"/>
      <name val="Calibri"/>
      <family val="2"/>
      <charset val="1"/>
    </font>
    <font>
      <sz val="10"/>
      <color indexed="8"/>
      <name val="Arial"/>
      <family val="2"/>
    </font>
    <font>
      <sz val="10"/>
      <color indexed="18"/>
      <name val="Arial"/>
      <family val="2"/>
    </font>
    <font>
      <i/>
      <sz val="11"/>
      <color rgb="FFFF0000"/>
      <name val="Arial"/>
      <family val="2"/>
    </font>
    <font>
      <i/>
      <sz val="12"/>
      <color theme="1"/>
      <name val="Arial"/>
      <family val="2"/>
    </font>
    <font>
      <b/>
      <sz val="11"/>
      <color rgb="FFFF0000"/>
      <name val="Arial"/>
      <family val="2"/>
    </font>
    <font>
      <sz val="11"/>
      <color rgb="FFFF0000"/>
      <name val="Arial"/>
      <family val="2"/>
    </font>
    <font>
      <sz val="12"/>
      <color theme="1"/>
      <name val="Arial"/>
      <family val="2"/>
    </font>
    <font>
      <b/>
      <i/>
      <sz val="12"/>
      <color theme="1"/>
      <name val="Arial"/>
      <family val="2"/>
    </font>
    <font>
      <b/>
      <sz val="12"/>
      <color theme="1"/>
      <name val="Arial"/>
      <family val="2"/>
    </font>
    <font>
      <sz val="10"/>
      <color theme="1"/>
      <name val="Microsoft Sans Serif"/>
      <family val="2"/>
    </font>
    <font>
      <b/>
      <sz val="11"/>
      <color theme="1"/>
      <name val="Segoe UI Semilight"/>
      <family val="2"/>
    </font>
    <font>
      <sz val="11"/>
      <color rgb="FF197ABC"/>
      <name val="Arial"/>
      <family val="2"/>
    </font>
    <font>
      <sz val="11"/>
      <name val="Arial"/>
      <family val="2"/>
    </font>
    <font>
      <sz val="11"/>
      <color indexed="18"/>
      <name val="Arial"/>
      <family val="2"/>
    </font>
    <font>
      <b/>
      <sz val="11"/>
      <name val="Arial"/>
      <family val="2"/>
    </font>
    <font>
      <sz val="11"/>
      <color indexed="8"/>
      <name val="Arial"/>
      <family val="2"/>
    </font>
    <font>
      <b/>
      <sz val="11"/>
      <color rgb="FF44546A"/>
      <name val="Arial"/>
      <family val="2"/>
    </font>
    <font>
      <sz val="11"/>
      <color rgb="FF44546A"/>
      <name val="Arial"/>
      <family val="2"/>
    </font>
    <font>
      <b/>
      <sz val="11"/>
      <color rgb="FF0070C0"/>
      <name val="Arial"/>
      <family val="2"/>
    </font>
    <font>
      <sz val="11"/>
      <color rgb="FF0070C0"/>
      <name val="Arial"/>
      <family val="2"/>
    </font>
    <font>
      <sz val="11"/>
      <color rgb="FFC00000"/>
      <name val="Arial"/>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9" fontId="1" fillId="0" borderId="0" applyFon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xf numFmtId="0" fontId="22" fillId="0" borderId="0"/>
    <xf numFmtId="44" fontId="1" fillId="0" borderId="0" applyFont="0" applyFill="0" applyBorder="0" applyAlignment="0" applyProtection="0"/>
  </cellStyleXfs>
  <cellXfs count="128">
    <xf numFmtId="0" fontId="0" fillId="0" borderId="0" xfId="0"/>
    <xf numFmtId="0" fontId="0" fillId="2" borderId="0" xfId="0" applyFill="1"/>
    <xf numFmtId="0" fontId="0" fillId="3" borderId="0" xfId="0" applyFill="1"/>
    <xf numFmtId="0" fontId="3" fillId="0" borderId="0" xfId="0" applyFont="1"/>
    <xf numFmtId="0" fontId="2" fillId="0" borderId="0" xfId="0" applyFont="1"/>
    <xf numFmtId="0" fontId="2" fillId="4" borderId="0" xfId="0" applyFont="1" applyFill="1"/>
    <xf numFmtId="0" fontId="0" fillId="5" borderId="0" xfId="0" applyFill="1"/>
    <xf numFmtId="0" fontId="0" fillId="6" borderId="0" xfId="0" applyFill="1"/>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6" borderId="0" xfId="0" applyFont="1" applyFill="1"/>
    <xf numFmtId="0" fontId="3" fillId="6" borderId="0" xfId="0" applyFont="1" applyFill="1" applyAlignment="1">
      <alignment horizontal="left" vertical="top"/>
    </xf>
    <xf numFmtId="0" fontId="0" fillId="6" borderId="0" xfId="0" applyFill="1" applyAlignment="1">
      <alignment horizontal="left" vertical="top"/>
    </xf>
    <xf numFmtId="0" fontId="6" fillId="6" borderId="0" xfId="0" applyFont="1" applyFill="1"/>
    <xf numFmtId="0" fontId="5" fillId="0" borderId="0" xfId="0" applyFont="1" applyBorder="1"/>
    <xf numFmtId="10" fontId="0" fillId="6" borderId="0" xfId="1" applyNumberFormat="1" applyFont="1" applyFill="1" applyAlignment="1">
      <alignment horizontal="left"/>
    </xf>
    <xf numFmtId="0" fontId="7" fillId="6" borderId="0" xfId="0" applyFont="1" applyFill="1"/>
    <xf numFmtId="0" fontId="5" fillId="0" borderId="0" xfId="0" applyFont="1" applyFill="1" applyBorder="1"/>
    <xf numFmtId="0" fontId="4" fillId="6" borderId="0" xfId="0" applyFont="1" applyFill="1" applyBorder="1" applyAlignment="1">
      <alignment horizontal="left" vertical="top" wrapText="1"/>
    </xf>
    <xf numFmtId="0" fontId="3" fillId="6" borderId="0" xfId="0" applyFont="1" applyFill="1" applyAlignment="1">
      <alignment vertical="top"/>
    </xf>
    <xf numFmtId="0" fontId="3" fillId="6" borderId="0" xfId="0" applyFont="1" applyFill="1" applyAlignment="1">
      <alignment vertical="top" wrapText="1"/>
    </xf>
    <xf numFmtId="0" fontId="0" fillId="6" borderId="0" xfId="0" applyFill="1" applyAlignment="1">
      <alignment vertical="top"/>
    </xf>
    <xf numFmtId="0" fontId="9" fillId="6" borderId="0" xfId="0" applyFont="1" applyFill="1" applyBorder="1" applyAlignment="1">
      <alignment horizontal="left" vertical="top"/>
    </xf>
    <xf numFmtId="0" fontId="9" fillId="6" borderId="0" xfId="0" applyFont="1" applyFill="1" applyBorder="1" applyAlignment="1">
      <alignment horizontal="left" vertical="top" wrapText="1"/>
    </xf>
    <xf numFmtId="0" fontId="10" fillId="0" borderId="0" xfId="0" applyFont="1" applyBorder="1"/>
    <xf numFmtId="0" fontId="10" fillId="2" borderId="0" xfId="0" applyFont="1" applyFill="1" applyBorder="1"/>
    <xf numFmtId="0" fontId="10" fillId="0" borderId="0" xfId="0" applyFont="1"/>
    <xf numFmtId="0" fontId="9" fillId="0" borderId="0" xfId="0" applyFont="1" applyBorder="1" applyAlignment="1">
      <alignment vertical="top" wrapText="1"/>
    </xf>
    <xf numFmtId="0" fontId="10" fillId="0" borderId="0" xfId="0" applyFont="1" applyBorder="1" applyAlignment="1">
      <alignment vertical="top"/>
    </xf>
    <xf numFmtId="0" fontId="11" fillId="0" borderId="0" xfId="0" applyFont="1" applyBorder="1" applyAlignment="1">
      <alignment vertical="top" wrapText="1"/>
    </xf>
    <xf numFmtId="0" fontId="12" fillId="0" borderId="0" xfId="0" applyFont="1" applyBorder="1" applyAlignment="1">
      <alignment vertical="top"/>
    </xf>
    <xf numFmtId="0" fontId="12" fillId="0" borderId="0" xfId="0" quotePrefix="1" applyFont="1" applyFill="1" applyBorder="1" applyAlignment="1">
      <alignment vertical="top"/>
    </xf>
    <xf numFmtId="0" fontId="13" fillId="6" borderId="0" xfId="0" applyFont="1" applyFill="1" applyBorder="1" applyAlignment="1">
      <alignment horizontal="left" vertical="top"/>
    </xf>
    <xf numFmtId="0" fontId="14" fillId="0" borderId="0" xfId="2" applyFont="1" applyBorder="1" applyAlignment="1">
      <alignment vertical="top"/>
    </xf>
    <xf numFmtId="0" fontId="18" fillId="0" borderId="0" xfId="0" applyFont="1"/>
    <xf numFmtId="0" fontId="20" fillId="0" borderId="0" xfId="0" applyFont="1"/>
    <xf numFmtId="0" fontId="19" fillId="0" borderId="0" xfId="0" applyFont="1" applyAlignment="1">
      <alignment horizontal="left"/>
    </xf>
    <xf numFmtId="0" fontId="19" fillId="0" borderId="0" xfId="0" applyFont="1" applyAlignment="1">
      <alignment horizontal="center"/>
    </xf>
    <xf numFmtId="0" fontId="19" fillId="0" borderId="0" xfId="0" applyFont="1" applyFill="1" applyAlignment="1">
      <alignment horizontal="center"/>
    </xf>
    <xf numFmtId="0" fontId="19" fillId="0" borderId="2" xfId="0" applyFont="1" applyFill="1" applyBorder="1" applyAlignment="1">
      <alignment horizontal="center" wrapText="1"/>
    </xf>
    <xf numFmtId="9" fontId="18" fillId="0" borderId="0" xfId="1" applyFont="1"/>
    <xf numFmtId="9" fontId="18" fillId="0" borderId="2" xfId="1" applyFont="1" applyBorder="1"/>
    <xf numFmtId="9" fontId="18" fillId="0" borderId="2" xfId="1" applyNumberFormat="1" applyFont="1" applyBorder="1"/>
    <xf numFmtId="9" fontId="18" fillId="0" borderId="0" xfId="3" applyNumberFormat="1" applyFont="1"/>
    <xf numFmtId="0" fontId="9" fillId="0" borderId="0" xfId="0" applyFont="1" applyAlignment="1">
      <alignment horizontal="center"/>
    </xf>
    <xf numFmtId="164" fontId="7" fillId="6" borderId="0" xfId="0" applyNumberFormat="1" applyFont="1" applyFill="1"/>
    <xf numFmtId="9" fontId="0" fillId="0" borderId="0" xfId="0" applyNumberFormat="1"/>
    <xf numFmtId="0" fontId="18" fillId="0" borderId="0" xfId="0" applyFont="1" applyFill="1"/>
    <xf numFmtId="0" fontId="18" fillId="0" borderId="0" xfId="0" applyFont="1" applyAlignment="1">
      <alignment wrapText="1"/>
    </xf>
    <xf numFmtId="0" fontId="4" fillId="0" borderId="0" xfId="4" applyFont="1" applyBorder="1" applyAlignment="1">
      <alignment horizontal="left" vertical="center" wrapText="1"/>
    </xf>
    <xf numFmtId="0" fontId="19" fillId="6" borderId="0" xfId="0" applyFont="1" applyFill="1" applyAlignment="1">
      <alignment vertical="top"/>
    </xf>
    <xf numFmtId="0" fontId="18" fillId="6" borderId="0" xfId="0" applyFont="1" applyFill="1"/>
    <xf numFmtId="0" fontId="19" fillId="0" borderId="0" xfId="0" applyFont="1"/>
    <xf numFmtId="0" fontId="24" fillId="0" borderId="0" xfId="4" applyFont="1" applyBorder="1" applyAlignment="1">
      <alignment horizontal="left" vertical="center" wrapText="1"/>
    </xf>
    <xf numFmtId="0" fontId="23" fillId="0" borderId="0" xfId="4" applyFont="1" applyBorder="1" applyAlignment="1">
      <alignment horizontal="left" vertical="center" wrapText="1"/>
    </xf>
    <xf numFmtId="0" fontId="19" fillId="0" borderId="0" xfId="0" applyFont="1" applyAlignment="1">
      <alignment wrapText="1"/>
    </xf>
    <xf numFmtId="0" fontId="21" fillId="0" borderId="0" xfId="0" applyFont="1" applyAlignment="1">
      <alignment wrapText="1"/>
    </xf>
    <xf numFmtId="0" fontId="21" fillId="0" borderId="0" xfId="0" applyFont="1"/>
    <xf numFmtId="0" fontId="25" fillId="0" borderId="0" xfId="0" applyFont="1"/>
    <xf numFmtId="0" fontId="20" fillId="0" borderId="0" xfId="0" applyFont="1" applyAlignment="1">
      <alignment wrapText="1"/>
    </xf>
    <xf numFmtId="0" fontId="19" fillId="6" borderId="0" xfId="0" applyFont="1" applyFill="1" applyAlignment="1">
      <alignment vertical="top" wrapText="1"/>
    </xf>
    <xf numFmtId="0" fontId="18" fillId="2" borderId="1" xfId="0" applyFont="1" applyFill="1" applyBorder="1"/>
    <xf numFmtId="165" fontId="18" fillId="2" borderId="1" xfId="3" applyNumberFormat="1" applyFont="1" applyFill="1" applyBorder="1"/>
    <xf numFmtId="0" fontId="21" fillId="0" borderId="3" xfId="0" applyFont="1" applyBorder="1"/>
    <xf numFmtId="0" fontId="0" fillId="0" borderId="0" xfId="0" applyAlignment="1">
      <alignment wrapText="1"/>
    </xf>
    <xf numFmtId="0" fontId="20" fillId="0" borderId="3" xfId="0" applyFont="1" applyBorder="1" applyAlignment="1">
      <alignment wrapText="1"/>
    </xf>
    <xf numFmtId="0" fontId="20" fillId="0" borderId="3" xfId="0" applyFont="1" applyBorder="1" applyAlignment="1">
      <alignment horizontal="left" vertical="center" wrapText="1"/>
    </xf>
    <xf numFmtId="0" fontId="26" fillId="0" borderId="3" xfId="0" applyFont="1" applyBorder="1" applyAlignment="1">
      <alignment wrapText="1"/>
    </xf>
    <xf numFmtId="0" fontId="19" fillId="0" borderId="3" xfId="0" applyFont="1" applyBorder="1" applyAlignment="1">
      <alignment wrapText="1"/>
    </xf>
    <xf numFmtId="0" fontId="27" fillId="0" borderId="0" xfId="0" applyFont="1"/>
    <xf numFmtId="0" fontId="28" fillId="2" borderId="1" xfId="0" applyFont="1" applyFill="1" applyBorder="1"/>
    <xf numFmtId="0" fontId="29" fillId="0" borderId="0" xfId="0" applyFont="1"/>
    <xf numFmtId="0" fontId="29" fillId="0" borderId="0" xfId="0" applyFont="1" applyAlignment="1">
      <alignment wrapText="1"/>
    </xf>
    <xf numFmtId="0" fontId="30" fillId="0" borderId="0" xfId="0" applyFont="1"/>
    <xf numFmtId="0" fontId="31" fillId="0" borderId="0" xfId="0" applyFont="1" applyAlignment="1">
      <alignment horizontal="center"/>
    </xf>
    <xf numFmtId="0" fontId="31" fillId="0" borderId="0" xfId="0" applyFont="1"/>
    <xf numFmtId="0" fontId="31" fillId="0" borderId="0" xfId="0" applyFont="1" applyAlignment="1">
      <alignment wrapText="1"/>
    </xf>
    <xf numFmtId="9" fontId="0" fillId="0" borderId="0" xfId="1" applyFont="1"/>
    <xf numFmtId="0" fontId="32" fillId="0" borderId="0" xfId="0" applyFont="1" applyAlignment="1">
      <alignment vertical="center"/>
    </xf>
    <xf numFmtId="0" fontId="33" fillId="0" borderId="0" xfId="0" applyFont="1" applyAlignment="1">
      <alignment vertical="center"/>
    </xf>
    <xf numFmtId="0" fontId="33" fillId="0" borderId="0" xfId="0" applyFont="1" applyAlignment="1">
      <alignment vertical="center" wrapText="1"/>
    </xf>
    <xf numFmtId="0" fontId="34" fillId="0" borderId="0" xfId="0" applyFont="1" applyAlignment="1">
      <alignment horizontal="left" vertical="center" wrapText="1"/>
    </xf>
    <xf numFmtId="166" fontId="0" fillId="0" borderId="0" xfId="5" applyNumberFormat="1" applyFont="1"/>
    <xf numFmtId="6" fontId="0" fillId="0" borderId="0" xfId="0" applyNumberFormat="1"/>
    <xf numFmtId="166" fontId="0" fillId="0" borderId="0" xfId="0" applyNumberFormat="1"/>
    <xf numFmtId="43" fontId="0" fillId="0" borderId="0" xfId="3" applyFont="1"/>
    <xf numFmtId="165" fontId="0" fillId="0" borderId="0" xfId="3" applyNumberFormat="1" applyFont="1"/>
    <xf numFmtId="0" fontId="35" fillId="0" borderId="0" xfId="0" applyFont="1"/>
    <xf numFmtId="0" fontId="18" fillId="0" borderId="0" xfId="0" applyFont="1" applyAlignment="1">
      <alignment vertical="center"/>
    </xf>
    <xf numFmtId="0" fontId="36" fillId="0" borderId="0" xfId="4" applyFont="1" applyBorder="1" applyAlignment="1">
      <alignment horizontal="left" vertical="center" wrapText="1"/>
    </xf>
    <xf numFmtId="0" fontId="37" fillId="0" borderId="0" xfId="4" applyFont="1" applyBorder="1" applyAlignment="1">
      <alignment horizontal="left" vertical="center" wrapText="1"/>
    </xf>
    <xf numFmtId="0" fontId="18" fillId="0" borderId="0" xfId="0" applyFont="1" applyAlignment="1">
      <alignment horizontal="right"/>
    </xf>
    <xf numFmtId="0" fontId="37" fillId="0" borderId="0" xfId="0" applyFont="1" applyAlignment="1">
      <alignment horizontal="right"/>
    </xf>
    <xf numFmtId="166" fontId="18" fillId="0" borderId="0" xfId="5" applyNumberFormat="1" applyFont="1"/>
    <xf numFmtId="0" fontId="19" fillId="0" borderId="0" xfId="0" applyFont="1" applyAlignment="1">
      <alignment horizontal="right"/>
    </xf>
    <xf numFmtId="0" fontId="18" fillId="7" borderId="0" xfId="0" applyFont="1" applyFill="1"/>
    <xf numFmtId="0" fontId="21" fillId="7" borderId="0" xfId="0" applyFont="1" applyFill="1"/>
    <xf numFmtId="0" fontId="21" fillId="0" borderId="0" xfId="0" applyFont="1" applyAlignment="1"/>
    <xf numFmtId="0" fontId="18" fillId="0" borderId="0" xfId="0" applyFont="1" applyAlignment="1">
      <alignment horizontal="left"/>
    </xf>
    <xf numFmtId="0" fontId="21" fillId="8" borderId="0" xfId="0" applyFont="1" applyFill="1"/>
    <xf numFmtId="0" fontId="37" fillId="0" borderId="0" xfId="0" applyFont="1"/>
    <xf numFmtId="0" fontId="19" fillId="0" borderId="0" xfId="0" applyFont="1" applyAlignment="1">
      <alignment horizontal="right" indent="1"/>
    </xf>
    <xf numFmtId="0" fontId="38" fillId="0" borderId="0" xfId="4" applyFont="1" applyBorder="1" applyAlignment="1">
      <alignment horizontal="left" vertical="center" wrapText="1"/>
    </xf>
    <xf numFmtId="44" fontId="0" fillId="0" borderId="0" xfId="5" applyFont="1"/>
    <xf numFmtId="165" fontId="18" fillId="3" borderId="1" xfId="3" applyNumberFormat="1" applyFont="1" applyFill="1" applyBorder="1"/>
    <xf numFmtId="9" fontId="18" fillId="3" borderId="1" xfId="1" applyFont="1" applyFill="1" applyBorder="1"/>
    <xf numFmtId="0" fontId="18" fillId="3" borderId="1" xfId="0" applyFont="1" applyFill="1" applyBorder="1"/>
    <xf numFmtId="0" fontId="35" fillId="3" borderId="1" xfId="0" applyFont="1" applyFill="1" applyBorder="1"/>
    <xf numFmtId="0" fontId="39" fillId="0" borderId="0" xfId="0" applyFont="1" applyAlignment="1">
      <alignment horizontal="left" vertical="center" readingOrder="1"/>
    </xf>
    <xf numFmtId="0" fontId="40" fillId="0" borderId="0" xfId="0" applyFont="1" applyAlignment="1">
      <alignment horizontal="left" vertical="center" readingOrder="1"/>
    </xf>
    <xf numFmtId="0" fontId="18" fillId="0" borderId="0" xfId="0" applyFont="1" applyAlignment="1">
      <alignment vertical="center" wrapText="1"/>
    </xf>
    <xf numFmtId="0" fontId="34" fillId="0" borderId="0" xfId="0" applyFont="1" applyAlignment="1">
      <alignment horizontal="left" vertical="center" indent="5"/>
    </xf>
    <xf numFmtId="0" fontId="41" fillId="0" borderId="0" xfId="0" applyFont="1" applyAlignment="1">
      <alignment vertical="center" wrapText="1"/>
    </xf>
    <xf numFmtId="0" fontId="19" fillId="0" borderId="0" xfId="0" applyFont="1" applyAlignment="1">
      <alignment vertical="center"/>
    </xf>
    <xf numFmtId="0" fontId="19" fillId="0" borderId="0" xfId="0" applyFont="1" applyAlignment="1">
      <alignment vertical="center" wrapText="1"/>
    </xf>
    <xf numFmtId="0" fontId="41" fillId="0" borderId="0" xfId="0" applyFont="1" applyAlignment="1">
      <alignment vertical="center"/>
    </xf>
    <xf numFmtId="0" fontId="42" fillId="0" borderId="0" xfId="0" applyFont="1" applyAlignment="1">
      <alignment vertical="center"/>
    </xf>
    <xf numFmtId="0" fontId="41" fillId="0" borderId="0" xfId="0" applyFont="1" applyAlignment="1">
      <alignment horizontal="left" vertical="center" indent="2"/>
    </xf>
    <xf numFmtId="0" fontId="43" fillId="0" borderId="0" xfId="0" applyFont="1" applyAlignment="1">
      <alignment wrapText="1"/>
    </xf>
    <xf numFmtId="0" fontId="38" fillId="0" borderId="0" xfId="4" applyFont="1" applyFill="1" applyBorder="1" applyAlignment="1">
      <alignment horizontal="left" vertical="center" wrapText="1"/>
    </xf>
    <xf numFmtId="0" fontId="34" fillId="0" borderId="0" xfId="0" applyFont="1" applyAlignment="1">
      <alignment vertical="center"/>
    </xf>
    <xf numFmtId="0" fontId="28" fillId="0" borderId="0" xfId="0" applyFont="1"/>
    <xf numFmtId="9" fontId="28" fillId="2" borderId="1" xfId="1" applyFont="1" applyFill="1" applyBorder="1"/>
    <xf numFmtId="166" fontId="2" fillId="0" borderId="0" xfId="0" applyNumberFormat="1" applyFont="1"/>
    <xf numFmtId="166" fontId="2" fillId="0" borderId="0" xfId="5" applyNumberFormat="1" applyFont="1"/>
    <xf numFmtId="0" fontId="7" fillId="0" borderId="0" xfId="0" applyFont="1" applyFill="1"/>
  </cellXfs>
  <cellStyles count="6">
    <cellStyle name="Comma" xfId="3" builtinId="3"/>
    <cellStyle name="Currency" xfId="5" builtinId="4"/>
    <cellStyle name="Excel Built-in Normal" xfId="4"/>
    <cellStyle name="Hyperlink" xfId="2" builtinId="8"/>
    <cellStyle name="Normal" xfId="0" builtinId="0"/>
    <cellStyle name="Percent" xfId="1" builtinId="5"/>
  </cellStyles>
  <dxfs count="2">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358140</xdr:colOff>
      <xdr:row>9</xdr:row>
      <xdr:rowOff>152400</xdr:rowOff>
    </xdr:from>
    <xdr:to>
      <xdr:col>1</xdr:col>
      <xdr:colOff>632460</xdr:colOff>
      <xdr:row>11</xdr:row>
      <xdr:rowOff>30236</xdr:rowOff>
    </xdr:to>
    <xdr:pic>
      <xdr:nvPicPr>
        <xdr:cNvPr id="2" name="Picture 1" descr="Image result for warning icons">
          <a:extLst>
            <a:ext uri="{FF2B5EF4-FFF2-40B4-BE49-F238E27FC236}">
              <a16:creationId xmlns:a16="http://schemas.microsoft.com/office/drawing/2014/main" id="{B121CC2D-C25D-4080-8DC4-7D6C007267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 y="1912620"/>
          <a:ext cx="274320" cy="243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perry/Desktop/Former%20pc%20desktop%20files/Former%20pc%20desktop%20files/2015%20Projects/Dell%20Future%20Ready/Sales%20enablement%20tool/Copy%20of%20Dell%20Future%20Ready%20Enterprise%20Index%20framework%20SE%20Tool%20v%205.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w"/>
      <sheetName val="Begin Assessment"/>
      <sheetName val="Org Prof"/>
      <sheetName val="Apps"/>
      <sheetName val="Converged"/>
      <sheetName val="Cloud"/>
      <sheetName val="BDA"/>
      <sheetName val="IT Org"/>
      <sheetName val="Future Ready Scoring Model"/>
      <sheetName val="List"/>
      <sheetName val="Business Outcomes KPIs"/>
      <sheetName val="Calculations"/>
      <sheetName val="Report Graphics"/>
      <sheetName val="Peer Assessment"/>
      <sheetName val="Report"/>
      <sheetName val="Definitions"/>
      <sheetName val="AT A Glance Profile"/>
      <sheetName val="Future Ready levels "/>
      <sheetName val="Sheet1"/>
    </sheetNames>
    <sheetDataSet>
      <sheetData sheetId="0"/>
      <sheetData sheetId="1"/>
      <sheetData sheetId="2"/>
      <sheetData sheetId="3"/>
      <sheetData sheetId="4"/>
      <sheetData sheetId="5"/>
      <sheetData sheetId="6"/>
      <sheetData sheetId="7"/>
      <sheetData sheetId="8">
        <row r="4">
          <cell r="B4" t="str">
            <v>D</v>
          </cell>
        </row>
      </sheetData>
      <sheetData sheetId="9">
        <row r="2">
          <cell r="A2" t="str">
            <v>-- Select Answer Type --</v>
          </cell>
        </row>
        <row r="3">
          <cell r="A3" t="str">
            <v>Radio - 1 choice</v>
          </cell>
        </row>
        <row r="4">
          <cell r="A4" t="str">
            <v>Radio - 1 choice, and other</v>
          </cell>
        </row>
        <row r="5">
          <cell r="A5" t="str">
            <v>Dropdown - 1 choice</v>
          </cell>
        </row>
        <row r="6">
          <cell r="A6" t="str">
            <v>Dropdown - 1 choice, and other</v>
          </cell>
        </row>
        <row r="7">
          <cell r="A7" t="str">
            <v>Checkbox - multiple choices</v>
          </cell>
        </row>
        <row r="8">
          <cell r="A8" t="str">
            <v>Textbox - text, ≤ 100 chars</v>
          </cell>
        </row>
        <row r="9">
          <cell r="A9" t="str">
            <v>Textbox - number, no decimal</v>
          </cell>
        </row>
        <row r="10">
          <cell r="A10" t="str">
            <v>Textbox - number, 1 decimal</v>
          </cell>
        </row>
        <row r="11">
          <cell r="A11" t="str">
            <v>Textbox - percent, ≤ 100%</v>
          </cell>
        </row>
        <row r="12">
          <cell r="A12" t="str">
            <v>Textbox - percent, Σ 100%, ≤ 100%</v>
          </cell>
        </row>
        <row r="13">
          <cell r="A13" t="str">
            <v>Textbox - other, text, ≤ 100 chars</v>
          </cell>
        </row>
        <row r="14">
          <cell r="A14" t="str">
            <v>Textbox - other, number, no decimal</v>
          </cell>
        </row>
        <row r="15">
          <cell r="A15" t="str">
            <v>Textbox - other, number, 1 decimal</v>
          </cell>
        </row>
        <row r="16">
          <cell r="A16" t="str">
            <v>Textbox - number range, slider (low, high)</v>
          </cell>
        </row>
        <row r="17">
          <cell r="A17" t="str">
            <v>Textbox - currency code (3 chars), MILLIONS</v>
          </cell>
        </row>
        <row r="18">
          <cell r="A18" t="str">
            <v>Textbox - email</v>
          </cell>
        </row>
        <row r="19">
          <cell r="A19" t="str">
            <v>Textbox - phone number</v>
          </cell>
        </row>
        <row r="20">
          <cell r="A20" t="str">
            <v>DatePicker - Textbox with date format</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insideidc-my.sharepoint.com/personal/nselig_idc_com/_layouts/15/guestaccess.aspx?docid=03966c8d14b684ef59634731f85ac03a4&amp;authkey=AYa1ne8rA98EpkZvYPbSCDQ&amp;expiration=2017-09-10T15%3a30%3a13.000Z"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1"/>
  <sheetViews>
    <sheetView showGridLines="0" zoomScale="130" zoomScaleNormal="130" workbookViewId="0">
      <pane ySplit="1" topLeftCell="A2" activePane="bottomLeft" state="frozen"/>
      <selection pane="bottomLeft"/>
    </sheetView>
  </sheetViews>
  <sheetFormatPr defaultRowHeight="14.5" x14ac:dyDescent="0.35"/>
  <cols>
    <col min="2" max="2" width="14.54296875" customWidth="1"/>
  </cols>
  <sheetData>
    <row r="1" spans="1:3" s="7" customFormat="1" ht="23.5" x14ac:dyDescent="0.55000000000000004">
      <c r="A1" s="15" t="s">
        <v>71</v>
      </c>
    </row>
    <row r="4" spans="1:3" x14ac:dyDescent="0.35">
      <c r="B4" s="3" t="s">
        <v>23</v>
      </c>
    </row>
    <row r="5" spans="1:3" x14ac:dyDescent="0.35">
      <c r="B5" s="2"/>
      <c r="C5" t="s">
        <v>25</v>
      </c>
    </row>
    <row r="6" spans="1:3" x14ac:dyDescent="0.35">
      <c r="B6" s="5"/>
      <c r="C6" t="s">
        <v>26</v>
      </c>
    </row>
    <row r="7" spans="1:3" x14ac:dyDescent="0.35">
      <c r="B7" s="6"/>
      <c r="C7" t="s">
        <v>24</v>
      </c>
    </row>
    <row r="8" spans="1:3" x14ac:dyDescent="0.35">
      <c r="B8" s="1"/>
      <c r="C8" t="s">
        <v>49</v>
      </c>
    </row>
    <row r="11" spans="1:3" x14ac:dyDescent="0.35">
      <c r="C11" s="4" t="s">
        <v>72</v>
      </c>
    </row>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5"/>
  <sheetViews>
    <sheetView workbookViewId="0"/>
  </sheetViews>
  <sheetFormatPr defaultColWidth="15.7265625" defaultRowHeight="14.5" x14ac:dyDescent="0.35"/>
  <cols>
    <col min="1" max="1" width="9.7265625" bestFit="1" customWidth="1"/>
    <col min="2" max="2" width="10.26953125" bestFit="1" customWidth="1"/>
    <col min="3" max="3" width="5.26953125" bestFit="1" customWidth="1"/>
    <col min="4" max="4" width="10.1796875" bestFit="1" customWidth="1"/>
    <col min="5" max="5" width="27" bestFit="1" customWidth="1"/>
  </cols>
  <sheetData>
    <row r="1" spans="1:14" s="23" customFormat="1" x14ac:dyDescent="0.35">
      <c r="A1" s="21" t="s">
        <v>194</v>
      </c>
      <c r="B1" s="21" t="s">
        <v>45</v>
      </c>
      <c r="C1" s="21" t="s">
        <v>193</v>
      </c>
      <c r="D1" s="22" t="s">
        <v>195</v>
      </c>
      <c r="E1" s="21" t="s">
        <v>196</v>
      </c>
      <c r="F1" s="21"/>
      <c r="G1" s="21"/>
      <c r="H1" s="22"/>
      <c r="I1" s="22"/>
      <c r="J1" s="22"/>
      <c r="K1" s="22"/>
      <c r="L1" s="22"/>
      <c r="M1" s="22"/>
      <c r="N1" s="22"/>
    </row>
    <row r="2" spans="1:14" s="7" customFormat="1" x14ac:dyDescent="0.35">
      <c r="A2" s="7" t="s">
        <v>195</v>
      </c>
    </row>
    <row r="3" spans="1:14" x14ac:dyDescent="0.35">
      <c r="B3" t="s">
        <v>45</v>
      </c>
      <c r="C3" t="s">
        <v>193</v>
      </c>
    </row>
    <row r="5" spans="1:14" x14ac:dyDescent="0.35">
      <c r="B5" t="s">
        <v>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7"/>
  <sheetViews>
    <sheetView workbookViewId="0"/>
  </sheetViews>
  <sheetFormatPr defaultRowHeight="14.5" x14ac:dyDescent="0.35"/>
  <cols>
    <col min="2" max="2" width="8.81640625" customWidth="1"/>
  </cols>
  <sheetData>
    <row r="2" spans="2:2" x14ac:dyDescent="0.35">
      <c r="B2" t="s">
        <v>50</v>
      </c>
    </row>
    <row r="7" spans="2:2" x14ac:dyDescent="0.35">
      <c r="B7" t="s">
        <v>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topLeftCell="A4" workbookViewId="0"/>
  </sheetViews>
  <sheetFormatPr defaultRowHeight="14.5" x14ac:dyDescent="0.35"/>
  <cols>
    <col min="1" max="1" width="8.81640625" customWidth="1"/>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7"/>
  <sheetViews>
    <sheetView workbookViewId="0"/>
  </sheetViews>
  <sheetFormatPr defaultRowHeight="14.5" x14ac:dyDescent="0.35"/>
  <cols>
    <col min="2" max="2" width="8.81640625" customWidth="1"/>
  </cols>
  <sheetData>
    <row r="2" spans="2:2" x14ac:dyDescent="0.35">
      <c r="B2" t="s">
        <v>50</v>
      </c>
    </row>
    <row r="7" spans="2:2" x14ac:dyDescent="0.35">
      <c r="B7" t="s">
        <v>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4.5" x14ac:dyDescent="0.35"/>
  <cols>
    <col min="1" max="1" width="8.81640625" customWidth="1"/>
  </cols>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7"/>
  <sheetViews>
    <sheetView workbookViewId="0"/>
  </sheetViews>
  <sheetFormatPr defaultRowHeight="14.5" x14ac:dyDescent="0.35"/>
  <cols>
    <col min="2" max="2" width="8.81640625" customWidth="1"/>
  </cols>
  <sheetData>
    <row r="2" spans="2:2" x14ac:dyDescent="0.35">
      <c r="B2" t="s">
        <v>50</v>
      </c>
    </row>
    <row r="7" spans="2:2" x14ac:dyDescent="0.35">
      <c r="B7" t="s">
        <v>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50"/>
  <sheetViews>
    <sheetView workbookViewId="0">
      <pane ySplit="1" topLeftCell="A2" activePane="bottomLeft" state="frozen"/>
      <selection pane="bottomLeft"/>
    </sheetView>
  </sheetViews>
  <sheetFormatPr defaultColWidth="8.81640625" defaultRowHeight="12.5" x14ac:dyDescent="0.25"/>
  <cols>
    <col min="1" max="1" width="11.7265625" style="26" bestFit="1" customWidth="1"/>
    <col min="2" max="2" width="38.81640625" style="26" bestFit="1" customWidth="1"/>
    <col min="3" max="3" width="21.54296875" style="26" bestFit="1" customWidth="1"/>
    <col min="4" max="4" width="22.453125" style="26" customWidth="1"/>
    <col min="5" max="5" width="33.26953125" style="26" bestFit="1" customWidth="1"/>
    <col min="6" max="6" width="39.7265625" style="26" bestFit="1" customWidth="1"/>
    <col min="7" max="7" width="19.26953125" style="26" bestFit="1" customWidth="1"/>
    <col min="8" max="8" width="15.81640625" style="26" bestFit="1" customWidth="1"/>
    <col min="9" max="16384" width="8.81640625" style="26"/>
  </cols>
  <sheetData>
    <row r="1" spans="1:9" s="24" customFormat="1" ht="26" x14ac:dyDescent="0.35">
      <c r="A1" s="24" t="s">
        <v>179</v>
      </c>
      <c r="B1" s="20" t="s">
        <v>182</v>
      </c>
      <c r="C1" s="25" t="s">
        <v>183</v>
      </c>
      <c r="D1" s="25" t="s">
        <v>184</v>
      </c>
      <c r="E1" s="25" t="s">
        <v>185</v>
      </c>
      <c r="F1" s="25" t="s">
        <v>186</v>
      </c>
      <c r="G1" s="20" t="s">
        <v>65</v>
      </c>
      <c r="H1" s="25" t="s">
        <v>66</v>
      </c>
      <c r="I1" s="34" t="s">
        <v>177</v>
      </c>
    </row>
    <row r="2" spans="1:9" s="30" customFormat="1" ht="50" x14ac:dyDescent="0.35">
      <c r="A2" s="29" t="s">
        <v>180</v>
      </c>
      <c r="B2" s="33" t="s">
        <v>22</v>
      </c>
      <c r="C2" s="32" t="s">
        <v>74</v>
      </c>
      <c r="D2" s="31" t="s">
        <v>178</v>
      </c>
      <c r="E2" s="32" t="s">
        <v>75</v>
      </c>
      <c r="F2" s="32" t="s">
        <v>76</v>
      </c>
      <c r="G2" s="33" t="s">
        <v>181</v>
      </c>
      <c r="H2" s="33" t="s">
        <v>61</v>
      </c>
      <c r="I2" s="35" t="s">
        <v>73</v>
      </c>
    </row>
    <row r="3" spans="1:9" x14ac:dyDescent="0.25">
      <c r="B3" s="16" t="s">
        <v>3</v>
      </c>
      <c r="C3" s="26" t="s">
        <v>77</v>
      </c>
      <c r="D3" s="26" t="s">
        <v>78</v>
      </c>
      <c r="E3" s="26" t="s">
        <v>79</v>
      </c>
      <c r="F3" s="26" t="s">
        <v>80</v>
      </c>
      <c r="G3" s="27" t="s">
        <v>2</v>
      </c>
      <c r="H3" s="27" t="s">
        <v>192</v>
      </c>
    </row>
    <row r="4" spans="1:9" x14ac:dyDescent="0.25">
      <c r="B4" s="16" t="s">
        <v>5</v>
      </c>
      <c r="C4" s="26" t="s">
        <v>81</v>
      </c>
      <c r="D4" s="26" t="s">
        <v>82</v>
      </c>
      <c r="E4" s="26" t="s">
        <v>83</v>
      </c>
      <c r="F4" s="26" t="s">
        <v>84</v>
      </c>
      <c r="G4" s="27" t="s">
        <v>4</v>
      </c>
      <c r="H4" s="27" t="s">
        <v>62</v>
      </c>
    </row>
    <row r="5" spans="1:9" x14ac:dyDescent="0.25">
      <c r="B5" s="16" t="s">
        <v>7</v>
      </c>
      <c r="C5" s="26" t="s">
        <v>85</v>
      </c>
      <c r="D5" s="26" t="s">
        <v>86</v>
      </c>
      <c r="E5" s="26" t="s">
        <v>87</v>
      </c>
      <c r="F5" s="26" t="s">
        <v>88</v>
      </c>
      <c r="G5" s="27" t="s">
        <v>6</v>
      </c>
      <c r="H5" s="27" t="s">
        <v>63</v>
      </c>
    </row>
    <row r="6" spans="1:9" x14ac:dyDescent="0.25">
      <c r="B6" s="16" t="s">
        <v>8</v>
      </c>
      <c r="C6" s="26" t="s">
        <v>89</v>
      </c>
      <c r="D6" s="26" t="s">
        <v>90</v>
      </c>
      <c r="E6" s="26" t="s">
        <v>91</v>
      </c>
      <c r="F6" s="26" t="s">
        <v>92</v>
      </c>
      <c r="H6" s="27" t="s">
        <v>64</v>
      </c>
    </row>
    <row r="7" spans="1:9" x14ac:dyDescent="0.25">
      <c r="B7" s="16" t="s">
        <v>9</v>
      </c>
      <c r="C7" s="26" t="s">
        <v>93</v>
      </c>
      <c r="D7" s="26" t="s">
        <v>90</v>
      </c>
      <c r="E7" s="26" t="s">
        <v>94</v>
      </c>
      <c r="F7" s="26" t="s">
        <v>95</v>
      </c>
    </row>
    <row r="8" spans="1:9" x14ac:dyDescent="0.25">
      <c r="B8" s="16" t="s">
        <v>10</v>
      </c>
      <c r="C8" s="26" t="s">
        <v>96</v>
      </c>
      <c r="D8" s="28" t="s">
        <v>82</v>
      </c>
      <c r="E8" s="26" t="s">
        <v>97</v>
      </c>
      <c r="F8" s="26" t="s">
        <v>98</v>
      </c>
    </row>
    <row r="9" spans="1:9" x14ac:dyDescent="0.25">
      <c r="B9" s="16" t="s">
        <v>11</v>
      </c>
      <c r="C9" s="26" t="s">
        <v>99</v>
      </c>
      <c r="D9" s="26" t="s">
        <v>78</v>
      </c>
      <c r="E9" s="26" t="s">
        <v>100</v>
      </c>
      <c r="F9" s="26" t="s">
        <v>101</v>
      </c>
    </row>
    <row r="10" spans="1:9" x14ac:dyDescent="0.25">
      <c r="B10" s="16" t="s">
        <v>12</v>
      </c>
      <c r="C10" s="26" t="s">
        <v>102</v>
      </c>
      <c r="D10" s="26" t="s">
        <v>82</v>
      </c>
      <c r="E10" s="26" t="s">
        <v>103</v>
      </c>
      <c r="F10" s="26" t="s">
        <v>104</v>
      </c>
    </row>
    <row r="11" spans="1:9" x14ac:dyDescent="0.25">
      <c r="B11" s="16" t="s">
        <v>13</v>
      </c>
      <c r="C11" s="26" t="s">
        <v>105</v>
      </c>
      <c r="D11" s="26" t="s">
        <v>86</v>
      </c>
      <c r="E11" s="26" t="s">
        <v>106</v>
      </c>
      <c r="F11" s="26" t="s">
        <v>107</v>
      </c>
    </row>
    <row r="12" spans="1:9" x14ac:dyDescent="0.25">
      <c r="B12" s="16" t="s">
        <v>14</v>
      </c>
      <c r="C12" s="26" t="s">
        <v>108</v>
      </c>
      <c r="D12" s="26" t="s">
        <v>82</v>
      </c>
      <c r="E12" s="26" t="s">
        <v>109</v>
      </c>
      <c r="F12" s="26" t="s">
        <v>110</v>
      </c>
    </row>
    <row r="13" spans="1:9" x14ac:dyDescent="0.25">
      <c r="B13" s="16" t="s">
        <v>15</v>
      </c>
      <c r="C13" s="26" t="s">
        <v>111</v>
      </c>
      <c r="D13" s="26" t="s">
        <v>90</v>
      </c>
      <c r="E13" s="26" t="s">
        <v>112</v>
      </c>
      <c r="F13" s="26" t="s">
        <v>113</v>
      </c>
    </row>
    <row r="14" spans="1:9" x14ac:dyDescent="0.25">
      <c r="B14" s="16" t="s">
        <v>16</v>
      </c>
      <c r="C14" s="26" t="s">
        <v>114</v>
      </c>
      <c r="D14" s="26" t="s">
        <v>90</v>
      </c>
      <c r="E14" s="26" t="s">
        <v>115</v>
      </c>
      <c r="F14" s="26" t="s">
        <v>116</v>
      </c>
    </row>
    <row r="15" spans="1:9" x14ac:dyDescent="0.25">
      <c r="B15" s="16" t="s">
        <v>17</v>
      </c>
      <c r="C15" s="26" t="s">
        <v>117</v>
      </c>
      <c r="D15" s="26" t="s">
        <v>90</v>
      </c>
      <c r="E15" s="26" t="s">
        <v>118</v>
      </c>
      <c r="F15" s="26" t="s">
        <v>119</v>
      </c>
    </row>
    <row r="16" spans="1:9" x14ac:dyDescent="0.25">
      <c r="B16" s="16" t="s">
        <v>18</v>
      </c>
      <c r="C16" s="26" t="s">
        <v>120</v>
      </c>
      <c r="D16" s="26" t="s">
        <v>90</v>
      </c>
      <c r="E16" s="26" t="s">
        <v>121</v>
      </c>
      <c r="F16" s="26" t="s">
        <v>122</v>
      </c>
    </row>
    <row r="17" spans="2:5" x14ac:dyDescent="0.25">
      <c r="B17" s="16" t="s">
        <v>19</v>
      </c>
      <c r="C17" s="26" t="s">
        <v>123</v>
      </c>
      <c r="D17" s="26" t="s">
        <v>90</v>
      </c>
      <c r="E17" s="26" t="s">
        <v>124</v>
      </c>
    </row>
    <row r="18" spans="2:5" x14ac:dyDescent="0.25">
      <c r="B18" s="16" t="s">
        <v>20</v>
      </c>
      <c r="C18" s="26" t="s">
        <v>125</v>
      </c>
      <c r="D18" s="26" t="s">
        <v>86</v>
      </c>
      <c r="E18" s="26" t="s">
        <v>126</v>
      </c>
    </row>
    <row r="19" spans="2:5" x14ac:dyDescent="0.25">
      <c r="B19" s="16" t="s">
        <v>21</v>
      </c>
      <c r="C19" s="26" t="s">
        <v>127</v>
      </c>
      <c r="D19" s="26" t="s">
        <v>90</v>
      </c>
      <c r="E19" s="26" t="s">
        <v>128</v>
      </c>
    </row>
    <row r="20" spans="2:5" x14ac:dyDescent="0.25">
      <c r="B20" s="19" t="s">
        <v>58</v>
      </c>
      <c r="C20" s="26" t="s">
        <v>129</v>
      </c>
      <c r="D20" s="26" t="s">
        <v>90</v>
      </c>
      <c r="E20" s="26" t="s">
        <v>130</v>
      </c>
    </row>
    <row r="21" spans="2:5" x14ac:dyDescent="0.25">
      <c r="B21" s="19" t="s">
        <v>59</v>
      </c>
      <c r="C21" s="26" t="s">
        <v>131</v>
      </c>
      <c r="D21" s="26" t="s">
        <v>86</v>
      </c>
      <c r="E21" s="26" t="s">
        <v>132</v>
      </c>
    </row>
    <row r="22" spans="2:5" x14ac:dyDescent="0.25">
      <c r="B22" s="19" t="s">
        <v>187</v>
      </c>
      <c r="C22" s="26" t="s">
        <v>133</v>
      </c>
      <c r="D22" s="26" t="s">
        <v>86</v>
      </c>
      <c r="E22" s="26" t="s">
        <v>134</v>
      </c>
    </row>
    <row r="23" spans="2:5" x14ac:dyDescent="0.25">
      <c r="C23" s="26" t="s">
        <v>135</v>
      </c>
      <c r="D23" s="26" t="s">
        <v>90</v>
      </c>
      <c r="E23" s="26" t="s">
        <v>136</v>
      </c>
    </row>
    <row r="24" spans="2:5" x14ac:dyDescent="0.25">
      <c r="C24" s="26" t="s">
        <v>137</v>
      </c>
      <c r="D24" s="26" t="s">
        <v>90</v>
      </c>
      <c r="E24" s="26" t="s">
        <v>138</v>
      </c>
    </row>
    <row r="25" spans="2:5" x14ac:dyDescent="0.25">
      <c r="C25" s="26" t="s">
        <v>139</v>
      </c>
      <c r="D25" s="26" t="s">
        <v>90</v>
      </c>
      <c r="E25" s="26" t="s">
        <v>140</v>
      </c>
    </row>
    <row r="26" spans="2:5" x14ac:dyDescent="0.25">
      <c r="C26" s="26" t="s">
        <v>141</v>
      </c>
      <c r="D26" s="26" t="s">
        <v>86</v>
      </c>
      <c r="E26" s="26" t="s">
        <v>142</v>
      </c>
    </row>
    <row r="27" spans="2:5" x14ac:dyDescent="0.25">
      <c r="C27" s="26" t="s">
        <v>143</v>
      </c>
      <c r="D27" s="26" t="s">
        <v>86</v>
      </c>
      <c r="E27" s="26" t="s">
        <v>144</v>
      </c>
    </row>
    <row r="28" spans="2:5" x14ac:dyDescent="0.25">
      <c r="C28" s="26" t="s">
        <v>145</v>
      </c>
      <c r="D28" s="26" t="s">
        <v>82</v>
      </c>
      <c r="E28" s="26" t="s">
        <v>146</v>
      </c>
    </row>
    <row r="29" spans="2:5" x14ac:dyDescent="0.25">
      <c r="C29" s="26" t="s">
        <v>147</v>
      </c>
      <c r="D29" s="26" t="s">
        <v>90</v>
      </c>
      <c r="E29" s="26" t="s">
        <v>148</v>
      </c>
    </row>
    <row r="30" spans="2:5" x14ac:dyDescent="0.25">
      <c r="C30" s="26" t="s">
        <v>149</v>
      </c>
      <c r="D30" s="26" t="s">
        <v>86</v>
      </c>
      <c r="E30" s="26" t="s">
        <v>150</v>
      </c>
    </row>
    <row r="31" spans="2:5" x14ac:dyDescent="0.25">
      <c r="C31" s="26" t="s">
        <v>151</v>
      </c>
      <c r="D31" s="26" t="s">
        <v>90</v>
      </c>
      <c r="E31" s="26" t="s">
        <v>152</v>
      </c>
    </row>
    <row r="32" spans="2:5" x14ac:dyDescent="0.25">
      <c r="C32" s="26" t="s">
        <v>153</v>
      </c>
      <c r="D32" s="26" t="s">
        <v>90</v>
      </c>
      <c r="E32" s="26" t="s">
        <v>154</v>
      </c>
    </row>
    <row r="33" spans="3:5" x14ac:dyDescent="0.25">
      <c r="C33" s="26" t="s">
        <v>155</v>
      </c>
      <c r="D33" s="26" t="s">
        <v>90</v>
      </c>
      <c r="E33" s="26" t="s">
        <v>156</v>
      </c>
    </row>
    <row r="34" spans="3:5" x14ac:dyDescent="0.25">
      <c r="C34" s="26" t="s">
        <v>157</v>
      </c>
      <c r="D34" s="26" t="s">
        <v>82</v>
      </c>
      <c r="E34" s="26" t="s">
        <v>158</v>
      </c>
    </row>
    <row r="35" spans="3:5" x14ac:dyDescent="0.25">
      <c r="C35" s="26" t="s">
        <v>159</v>
      </c>
      <c r="D35" s="26" t="s">
        <v>90</v>
      </c>
      <c r="E35" s="26" t="s">
        <v>160</v>
      </c>
    </row>
    <row r="36" spans="3:5" x14ac:dyDescent="0.25">
      <c r="C36" s="26" t="s">
        <v>161</v>
      </c>
      <c r="D36" s="26" t="s">
        <v>86</v>
      </c>
    </row>
    <row r="37" spans="3:5" x14ac:dyDescent="0.25">
      <c r="C37" s="26" t="s">
        <v>162</v>
      </c>
      <c r="D37" s="26" t="s">
        <v>90</v>
      </c>
    </row>
    <row r="38" spans="3:5" x14ac:dyDescent="0.25">
      <c r="C38" s="26" t="s">
        <v>163</v>
      </c>
      <c r="D38" s="26" t="s">
        <v>86</v>
      </c>
    </row>
    <row r="39" spans="3:5" x14ac:dyDescent="0.25">
      <c r="C39" s="26" t="s">
        <v>164</v>
      </c>
      <c r="D39" s="26" t="s">
        <v>90</v>
      </c>
    </row>
    <row r="40" spans="3:5" x14ac:dyDescent="0.25">
      <c r="C40" s="26" t="s">
        <v>165</v>
      </c>
      <c r="D40" s="26" t="s">
        <v>90</v>
      </c>
    </row>
    <row r="41" spans="3:5" x14ac:dyDescent="0.25">
      <c r="C41" s="26" t="s">
        <v>166</v>
      </c>
      <c r="D41" s="26" t="s">
        <v>90</v>
      </c>
    </row>
    <row r="42" spans="3:5" x14ac:dyDescent="0.25">
      <c r="C42" s="26" t="s">
        <v>167</v>
      </c>
      <c r="D42" s="26" t="s">
        <v>86</v>
      </c>
    </row>
    <row r="43" spans="3:5" x14ac:dyDescent="0.25">
      <c r="C43" s="26" t="s">
        <v>168</v>
      </c>
      <c r="D43" s="26" t="s">
        <v>90</v>
      </c>
    </row>
    <row r="44" spans="3:5" x14ac:dyDescent="0.25">
      <c r="C44" s="26" t="s">
        <v>169</v>
      </c>
      <c r="D44" s="26" t="s">
        <v>90</v>
      </c>
    </row>
    <row r="45" spans="3:5" x14ac:dyDescent="0.25">
      <c r="C45" s="26" t="s">
        <v>170</v>
      </c>
      <c r="D45" s="26" t="s">
        <v>82</v>
      </c>
    </row>
    <row r="46" spans="3:5" x14ac:dyDescent="0.25">
      <c r="C46" s="26" t="s">
        <v>171</v>
      </c>
      <c r="D46" s="26" t="s">
        <v>86</v>
      </c>
    </row>
    <row r="47" spans="3:5" x14ac:dyDescent="0.25">
      <c r="C47" s="26" t="s">
        <v>172</v>
      </c>
      <c r="D47" s="26" t="s">
        <v>82</v>
      </c>
    </row>
    <row r="48" spans="3:5" x14ac:dyDescent="0.25">
      <c r="C48" s="26" t="s">
        <v>173</v>
      </c>
      <c r="D48" s="26" t="s">
        <v>90</v>
      </c>
    </row>
    <row r="49" spans="3:4" x14ac:dyDescent="0.25">
      <c r="C49" s="26" t="s">
        <v>174</v>
      </c>
      <c r="D49" s="26" t="s">
        <v>86</v>
      </c>
    </row>
    <row r="50" spans="3:4" x14ac:dyDescent="0.25">
      <c r="C50" s="26" t="s">
        <v>175</v>
      </c>
      <c r="D50" s="26" t="s">
        <v>176</v>
      </c>
    </row>
  </sheetData>
  <hyperlinks>
    <hyperlink ref="I2" r:id="rId1"/>
  </hyperlinks>
  <pageMargins left="0.7" right="0.7" top="0.75" bottom="0.75" header="0.3" footer="0.3"/>
  <pageSetup orientation="portrait" horizontalDpi="0"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B4"/>
  <sheetViews>
    <sheetView workbookViewId="0"/>
  </sheetViews>
  <sheetFormatPr defaultRowHeight="14.5" x14ac:dyDescent="0.35"/>
  <cols>
    <col min="2" max="2" width="8.81640625" customWidth="1"/>
  </cols>
  <sheetData>
    <row r="2" spans="2:2" x14ac:dyDescent="0.35">
      <c r="B2" t="s">
        <v>53</v>
      </c>
    </row>
    <row r="3" spans="2:2" x14ac:dyDescent="0.35">
      <c r="B3" t="s">
        <v>52</v>
      </c>
    </row>
    <row r="4" spans="2:2" x14ac:dyDescent="0.35">
      <c r="B4" t="s">
        <v>54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B5"/>
  <sheetViews>
    <sheetView topLeftCell="A3" zoomScale="160" zoomScaleNormal="160" workbookViewId="0">
      <selection activeCell="H18" sqref="H18"/>
    </sheetView>
  </sheetViews>
  <sheetFormatPr defaultRowHeight="14.5" x14ac:dyDescent="0.35"/>
  <cols>
    <col min="2" max="2" width="8.81640625" customWidth="1"/>
    <col min="4" max="4" width="53.453125" customWidth="1"/>
  </cols>
  <sheetData>
    <row r="3" spans="2:2" x14ac:dyDescent="0.35">
      <c r="B3" t="s">
        <v>55</v>
      </c>
    </row>
    <row r="4" spans="2:2" x14ac:dyDescent="0.35">
      <c r="B4" t="s">
        <v>52</v>
      </c>
    </row>
    <row r="5" spans="2:2" x14ac:dyDescent="0.35">
      <c r="B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5"/>
  <sheetViews>
    <sheetView workbookViewId="0">
      <pane ySplit="2" topLeftCell="A3" activePane="bottomLeft" state="frozen"/>
      <selection pane="bottomLeft"/>
    </sheetView>
  </sheetViews>
  <sheetFormatPr defaultColWidth="8.81640625" defaultRowHeight="14.5" x14ac:dyDescent="0.35"/>
  <cols>
    <col min="1" max="1" width="19.453125" style="8" customWidth="1"/>
    <col min="2" max="2" width="100.26953125" style="8" customWidth="1"/>
    <col min="3" max="16384" width="8.81640625" style="8"/>
  </cols>
  <sheetData>
    <row r="1" spans="1:3" s="14" customFormat="1" x14ac:dyDescent="0.35">
      <c r="A1" s="13" t="s">
        <v>44</v>
      </c>
      <c r="B1" s="13" t="s">
        <v>45</v>
      </c>
      <c r="C1" s="13" t="s">
        <v>46</v>
      </c>
    </row>
    <row r="2" spans="1:3" s="14" customFormat="1" x14ac:dyDescent="0.35"/>
    <row r="4" spans="1:3" x14ac:dyDescent="0.35">
      <c r="A4" s="11" t="s">
        <v>57</v>
      </c>
      <c r="B4" s="9" t="s">
        <v>35</v>
      </c>
    </row>
    <row r="5" spans="1:3" x14ac:dyDescent="0.35">
      <c r="A5" s="11"/>
      <c r="B5" s="9"/>
    </row>
    <row r="6" spans="1:3" ht="29" x14ac:dyDescent="0.35">
      <c r="A6" s="11" t="s">
        <v>36</v>
      </c>
      <c r="B6" s="9" t="s">
        <v>37</v>
      </c>
    </row>
    <row r="7" spans="1:3" x14ac:dyDescent="0.35">
      <c r="A7" s="11"/>
      <c r="B7" s="9"/>
    </row>
    <row r="8" spans="1:3" x14ac:dyDescent="0.35">
      <c r="A8" s="11" t="s">
        <v>38</v>
      </c>
      <c r="B8" s="10" t="s">
        <v>39</v>
      </c>
    </row>
    <row r="9" spans="1:3" ht="29" x14ac:dyDescent="0.35">
      <c r="A9" s="11"/>
      <c r="B9" s="9" t="s">
        <v>40</v>
      </c>
    </row>
    <row r="10" spans="1:3" ht="29" x14ac:dyDescent="0.35">
      <c r="A10" s="11"/>
      <c r="B10" s="9" t="s">
        <v>41</v>
      </c>
    </row>
    <row r="11" spans="1:3" x14ac:dyDescent="0.35">
      <c r="A11" s="11"/>
      <c r="B11" s="9"/>
    </row>
    <row r="12" spans="1:3" ht="29" x14ac:dyDescent="0.35">
      <c r="A12" s="10" t="s">
        <v>47</v>
      </c>
      <c r="B12" s="9" t="s">
        <v>48</v>
      </c>
    </row>
    <row r="13" spans="1:3" x14ac:dyDescent="0.35">
      <c r="A13" s="11"/>
      <c r="B13" s="9"/>
    </row>
    <row r="14" spans="1:3" x14ac:dyDescent="0.35">
      <c r="A14" s="11" t="s">
        <v>42</v>
      </c>
      <c r="B14" s="9" t="s">
        <v>43</v>
      </c>
    </row>
    <row r="15" spans="1:3" x14ac:dyDescent="0.35">
      <c r="A1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133"/>
  <sheetViews>
    <sheetView tabSelected="1" topLeftCell="F1" zoomScale="90" zoomScaleNormal="90" workbookViewId="0">
      <pane ySplit="1080" topLeftCell="A37" activePane="bottomLeft"/>
      <selection activeCell="G1" sqref="G1:G1048576"/>
      <selection pane="bottomLeft" activeCell="G50" sqref="G50"/>
    </sheetView>
  </sheetViews>
  <sheetFormatPr defaultRowHeight="14.5" x14ac:dyDescent="0.35"/>
  <cols>
    <col min="1" max="1" width="21.26953125" customWidth="1"/>
    <col min="2" max="2" width="13.81640625" customWidth="1"/>
    <col min="3" max="3" width="15" customWidth="1"/>
    <col min="4" max="4" width="15.81640625" customWidth="1"/>
    <col min="5" max="5" width="13.26953125" customWidth="1"/>
    <col min="6" max="6" width="11.453125" customWidth="1"/>
    <col min="7" max="7" width="48.08984375" style="36" customWidth="1"/>
    <col min="8" max="8" width="21.26953125" style="36" customWidth="1"/>
    <col min="9" max="10" width="21.26953125" customWidth="1"/>
    <col min="11" max="12" width="15.7265625" customWidth="1"/>
    <col min="13" max="13" width="13.1796875" customWidth="1"/>
    <col min="14" max="15" width="21.26953125" customWidth="1"/>
  </cols>
  <sheetData>
    <row r="1" spans="1:15" s="23" customFormat="1" ht="29" x14ac:dyDescent="0.35">
      <c r="A1" s="21" t="s">
        <v>0</v>
      </c>
      <c r="B1" s="21" t="s">
        <v>1</v>
      </c>
      <c r="C1" s="21" t="s">
        <v>60</v>
      </c>
      <c r="D1" s="22" t="s">
        <v>188</v>
      </c>
      <c r="E1" s="21" t="s">
        <v>32</v>
      </c>
      <c r="F1" s="21" t="s">
        <v>27</v>
      </c>
      <c r="G1" s="52" t="s">
        <v>67</v>
      </c>
      <c r="H1" s="62" t="s">
        <v>29</v>
      </c>
      <c r="I1" s="22" t="s">
        <v>198</v>
      </c>
      <c r="J1" s="22" t="s">
        <v>30</v>
      </c>
      <c r="K1" s="22" t="s">
        <v>68</v>
      </c>
      <c r="L1" s="22" t="s">
        <v>69</v>
      </c>
      <c r="M1" s="22" t="s">
        <v>28</v>
      </c>
      <c r="N1" s="22" t="s">
        <v>189</v>
      </c>
      <c r="O1" s="22" t="s">
        <v>31</v>
      </c>
    </row>
    <row r="2" spans="1:15" s="7" customFormat="1" x14ac:dyDescent="0.35">
      <c r="D2" s="12" t="str">
        <f>CONCATENATE("Check: ",IF(SUM(D6:D1048576)=1,"Pass","Fail"))</f>
        <v>Check: Fail</v>
      </c>
      <c r="G2" s="53"/>
      <c r="H2" s="53"/>
    </row>
    <row r="3" spans="1:15" s="7" customFormat="1" x14ac:dyDescent="0.35">
      <c r="A3" s="12" t="s">
        <v>33</v>
      </c>
      <c r="B3" s="18" t="s">
        <v>197</v>
      </c>
      <c r="C3" s="18"/>
      <c r="G3" s="53"/>
      <c r="H3" s="53"/>
    </row>
    <row r="4" spans="1:15" s="7" customFormat="1" x14ac:dyDescent="0.35">
      <c r="A4" s="12" t="s">
        <v>214</v>
      </c>
      <c r="B4" s="47">
        <f>SUMPRODUCT(D6:D1048576,K6:K1048576)</f>
        <v>0</v>
      </c>
      <c r="C4" s="18"/>
      <c r="G4" s="53"/>
      <c r="H4" s="53"/>
    </row>
    <row r="5" spans="1:15" s="7" customFormat="1" x14ac:dyDescent="0.35">
      <c r="A5" s="12" t="s">
        <v>34</v>
      </c>
      <c r="B5" s="17">
        <v>0</v>
      </c>
      <c r="C5" s="17"/>
      <c r="G5" s="53"/>
      <c r="H5" s="53"/>
    </row>
    <row r="6" spans="1:15" x14ac:dyDescent="0.35">
      <c r="F6" t="s">
        <v>245</v>
      </c>
      <c r="G6" s="54" t="s">
        <v>217</v>
      </c>
      <c r="H6" s="72">
        <f>'Preloaded values'!C1</f>
        <v>100</v>
      </c>
      <c r="I6" s="4" t="s">
        <v>563</v>
      </c>
      <c r="M6" s="123" t="s">
        <v>564</v>
      </c>
    </row>
    <row r="7" spans="1:15" x14ac:dyDescent="0.35">
      <c r="M7" s="123" t="s">
        <v>564</v>
      </c>
    </row>
    <row r="9" spans="1:15" x14ac:dyDescent="0.35">
      <c r="F9" t="s">
        <v>246</v>
      </c>
      <c r="G9" s="54" t="s">
        <v>218</v>
      </c>
      <c r="H9" s="72">
        <f>'Preloaded values'!C2</f>
        <v>10</v>
      </c>
      <c r="I9" s="4" t="s">
        <v>563</v>
      </c>
    </row>
    <row r="12" spans="1:15" ht="28.5" x14ac:dyDescent="0.35">
      <c r="F12" t="s">
        <v>247</v>
      </c>
      <c r="G12" s="57" t="s">
        <v>219</v>
      </c>
      <c r="H12" s="36" t="s">
        <v>289</v>
      </c>
      <c r="I12" t="s">
        <v>290</v>
      </c>
      <c r="M12" s="123" t="s">
        <v>564</v>
      </c>
    </row>
    <row r="13" spans="1:15" x14ac:dyDescent="0.35">
      <c r="G13" s="36" t="s">
        <v>220</v>
      </c>
      <c r="H13" s="124">
        <f>'Preloaded values'!C97</f>
        <v>0.7</v>
      </c>
      <c r="I13" s="124">
        <f>'Preloaded values'!D97</f>
        <v>0.5</v>
      </c>
      <c r="J13" s="4" t="s">
        <v>563</v>
      </c>
    </row>
    <row r="14" spans="1:15" x14ac:dyDescent="0.35">
      <c r="G14" s="36" t="s">
        <v>221</v>
      </c>
      <c r="H14" s="124"/>
      <c r="I14" s="124"/>
      <c r="J14" s="4" t="s">
        <v>563</v>
      </c>
    </row>
    <row r="15" spans="1:15" x14ac:dyDescent="0.35">
      <c r="G15" s="36" t="s">
        <v>216</v>
      </c>
      <c r="H15" s="124">
        <f>'Preloaded values'!C99</f>
        <v>0.1</v>
      </c>
      <c r="I15" s="124">
        <f>'Preloaded values'!D99</f>
        <v>0.2</v>
      </c>
      <c r="J15" s="4" t="s">
        <v>563</v>
      </c>
    </row>
    <row r="16" spans="1:15" x14ac:dyDescent="0.35">
      <c r="G16" s="36" t="s">
        <v>222</v>
      </c>
      <c r="H16" s="124">
        <f>'Preloaded values'!C100</f>
        <v>0.2</v>
      </c>
      <c r="I16" s="124">
        <f>'Preloaded values'!D100</f>
        <v>0.3</v>
      </c>
      <c r="J16" s="4" t="s">
        <v>563</v>
      </c>
    </row>
    <row r="17" spans="6:11" x14ac:dyDescent="0.35">
      <c r="G17" s="36" t="s">
        <v>223</v>
      </c>
      <c r="H17" s="124"/>
      <c r="I17" s="124"/>
      <c r="J17" s="4" t="s">
        <v>563</v>
      </c>
    </row>
    <row r="18" spans="6:11" x14ac:dyDescent="0.35">
      <c r="G18" s="36" t="s">
        <v>224</v>
      </c>
      <c r="H18" s="124">
        <f>'Preloaded values'!C102</f>
        <v>0</v>
      </c>
      <c r="I18" s="124">
        <f>'Preloaded values'!D102</f>
        <v>0.2</v>
      </c>
      <c r="J18" s="4" t="s">
        <v>563</v>
      </c>
    </row>
    <row r="19" spans="6:11" x14ac:dyDescent="0.35">
      <c r="G19" s="37" t="s">
        <v>244</v>
      </c>
    </row>
    <row r="20" spans="6:11" ht="15" thickBot="1" x14ac:dyDescent="0.4"/>
    <row r="21" spans="6:11" ht="29.5" thickBot="1" x14ac:dyDescent="0.4">
      <c r="G21" s="67" t="s">
        <v>225</v>
      </c>
    </row>
    <row r="22" spans="6:11" x14ac:dyDescent="0.35">
      <c r="F22" t="s">
        <v>248</v>
      </c>
      <c r="G22" s="54" t="s">
        <v>226</v>
      </c>
      <c r="H22" s="64">
        <v>5000</v>
      </c>
    </row>
    <row r="25" spans="6:11" x14ac:dyDescent="0.35">
      <c r="F25" t="s">
        <v>249</v>
      </c>
      <c r="G25" s="54" t="s">
        <v>227</v>
      </c>
      <c r="H25" s="63"/>
    </row>
    <row r="27" spans="6:11" x14ac:dyDescent="0.35">
      <c r="G27" s="55"/>
    </row>
    <row r="28" spans="6:11" x14ac:dyDescent="0.35">
      <c r="F28" t="s">
        <v>250</v>
      </c>
      <c r="G28" s="54" t="s">
        <v>228</v>
      </c>
      <c r="H28" s="63"/>
    </row>
    <row r="29" spans="6:11" x14ac:dyDescent="0.35">
      <c r="G29" s="55"/>
    </row>
    <row r="30" spans="6:11" x14ac:dyDescent="0.35">
      <c r="G30" s="55"/>
    </row>
    <row r="31" spans="6:11" x14ac:dyDescent="0.35">
      <c r="F31" t="s">
        <v>251</v>
      </c>
      <c r="G31" s="71" t="s">
        <v>306</v>
      </c>
      <c r="K31" t="s">
        <v>229</v>
      </c>
    </row>
    <row r="32" spans="6:11" x14ac:dyDescent="0.35">
      <c r="G32" s="36" t="s">
        <v>305</v>
      </c>
      <c r="H32" s="72">
        <v>4</v>
      </c>
    </row>
    <row r="33" spans="6:8" x14ac:dyDescent="0.35">
      <c r="G33" s="36" t="s">
        <v>252</v>
      </c>
      <c r="H33" s="72">
        <v>1</v>
      </c>
    </row>
    <row r="34" spans="6:8" x14ac:dyDescent="0.35">
      <c r="G34" s="36" t="s">
        <v>253</v>
      </c>
      <c r="H34" s="72">
        <v>5</v>
      </c>
    </row>
    <row r="35" spans="6:8" x14ac:dyDescent="0.35">
      <c r="G35" s="36" t="s">
        <v>254</v>
      </c>
      <c r="H35" s="63"/>
    </row>
    <row r="36" spans="6:8" x14ac:dyDescent="0.35">
      <c r="G36" s="36" t="s">
        <v>255</v>
      </c>
      <c r="H36" s="63">
        <v>3</v>
      </c>
    </row>
    <row r="37" spans="6:8" x14ac:dyDescent="0.35">
      <c r="G37" s="36" t="s">
        <v>256</v>
      </c>
      <c r="H37" s="63"/>
    </row>
    <row r="38" spans="6:8" x14ac:dyDescent="0.35">
      <c r="G38" s="36" t="s">
        <v>257</v>
      </c>
      <c r="H38" s="63">
        <v>2</v>
      </c>
    </row>
    <row r="39" spans="6:8" x14ac:dyDescent="0.35">
      <c r="G39" s="36" t="s">
        <v>258</v>
      </c>
      <c r="H39" s="63"/>
    </row>
    <row r="40" spans="6:8" x14ac:dyDescent="0.35">
      <c r="G40" s="55"/>
    </row>
    <row r="41" spans="6:8" ht="15" thickBot="1" x14ac:dyDescent="0.4">
      <c r="G41" s="56"/>
    </row>
    <row r="42" spans="6:8" ht="29.5" thickBot="1" x14ac:dyDescent="0.4">
      <c r="G42" s="67" t="s">
        <v>230</v>
      </c>
    </row>
    <row r="43" spans="6:8" x14ac:dyDescent="0.35">
      <c r="F43" t="s">
        <v>259</v>
      </c>
      <c r="G43" s="54" t="s">
        <v>262</v>
      </c>
    </row>
    <row r="44" spans="6:8" x14ac:dyDescent="0.35">
      <c r="G44" s="55" t="s">
        <v>264</v>
      </c>
      <c r="H44" s="63"/>
    </row>
    <row r="45" spans="6:8" x14ac:dyDescent="0.35">
      <c r="G45" s="55" t="s">
        <v>265</v>
      </c>
      <c r="H45" s="63">
        <f>'Preloaded values'!C7</f>
        <v>1</v>
      </c>
    </row>
    <row r="46" spans="6:8" x14ac:dyDescent="0.35">
      <c r="G46" s="55"/>
    </row>
    <row r="47" spans="6:8" x14ac:dyDescent="0.35">
      <c r="G47" s="55"/>
    </row>
    <row r="48" spans="6:8" x14ac:dyDescent="0.35">
      <c r="F48" t="s">
        <v>260</v>
      </c>
      <c r="G48" s="51" t="s">
        <v>266</v>
      </c>
      <c r="H48" s="63">
        <f>'Preloaded values'!C10</f>
        <v>0</v>
      </c>
    </row>
    <row r="49" spans="6:13" x14ac:dyDescent="0.35">
      <c r="G49" s="60" t="s">
        <v>275</v>
      </c>
    </row>
    <row r="50" spans="6:13" x14ac:dyDescent="0.35">
      <c r="F50" t="s">
        <v>263</v>
      </c>
      <c r="G50" s="54" t="s">
        <v>261</v>
      </c>
      <c r="H50" s="63">
        <f>'Preloaded values'!C12</f>
        <v>500</v>
      </c>
      <c r="M50" s="123" t="s">
        <v>565</v>
      </c>
    </row>
    <row r="51" spans="6:13" x14ac:dyDescent="0.35">
      <c r="G51" s="60" t="s">
        <v>275</v>
      </c>
    </row>
    <row r="52" spans="6:13" ht="15" thickBot="1" x14ac:dyDescent="0.4"/>
    <row r="53" spans="6:13" ht="27.75" customHeight="1" thickBot="1" x14ac:dyDescent="0.4">
      <c r="G53" s="68" t="s">
        <v>231</v>
      </c>
    </row>
    <row r="54" spans="6:13" ht="42.5" x14ac:dyDescent="0.35">
      <c r="G54" s="58" t="s">
        <v>285</v>
      </c>
    </row>
    <row r="57" spans="6:13" x14ac:dyDescent="0.35">
      <c r="F57" t="s">
        <v>267</v>
      </c>
      <c r="G57" s="54" t="s">
        <v>232</v>
      </c>
      <c r="H57" s="63">
        <f>'Preloaded values'!C19</f>
        <v>5000</v>
      </c>
      <c r="I57" s="1"/>
      <c r="M57" s="123" t="s">
        <v>566</v>
      </c>
    </row>
    <row r="58" spans="6:13" x14ac:dyDescent="0.35">
      <c r="G58" s="60" t="s">
        <v>275</v>
      </c>
    </row>
    <row r="59" spans="6:13" x14ac:dyDescent="0.35">
      <c r="G59" s="54"/>
    </row>
    <row r="60" spans="6:13" x14ac:dyDescent="0.35">
      <c r="F60" t="s">
        <v>268</v>
      </c>
      <c r="G60" s="54" t="s">
        <v>276</v>
      </c>
      <c r="H60" s="63">
        <f>'Preloaded values'!C22</f>
        <v>700</v>
      </c>
      <c r="M60" s="123" t="s">
        <v>566</v>
      </c>
    </row>
    <row r="61" spans="6:13" x14ac:dyDescent="0.35">
      <c r="G61" s="60" t="s">
        <v>275</v>
      </c>
    </row>
    <row r="63" spans="6:13" x14ac:dyDescent="0.35">
      <c r="F63" t="s">
        <v>269</v>
      </c>
      <c r="G63" s="54" t="s">
        <v>233</v>
      </c>
      <c r="H63" s="63">
        <f>'Preloaded values'!C25</f>
        <v>14</v>
      </c>
      <c r="M63" s="123" t="s">
        <v>566</v>
      </c>
    </row>
    <row r="64" spans="6:13" x14ac:dyDescent="0.35">
      <c r="G64" s="60" t="s">
        <v>275</v>
      </c>
    </row>
    <row r="66" spans="6:13" ht="15" thickBot="1" x14ac:dyDescent="0.4"/>
    <row r="67" spans="6:13" ht="31.5" thickBot="1" x14ac:dyDescent="0.4">
      <c r="G67" s="69" t="s">
        <v>234</v>
      </c>
    </row>
    <row r="68" spans="6:13" x14ac:dyDescent="0.35">
      <c r="F68" t="s">
        <v>271</v>
      </c>
      <c r="G68" s="54" t="s">
        <v>273</v>
      </c>
      <c r="H68" s="63">
        <f>'Preloaded values'!C30</f>
        <v>5</v>
      </c>
    </row>
    <row r="69" spans="6:13" x14ac:dyDescent="0.35">
      <c r="G69" s="60" t="s">
        <v>275</v>
      </c>
    </row>
    <row r="71" spans="6:13" x14ac:dyDescent="0.35">
      <c r="F71" t="s">
        <v>270</v>
      </c>
      <c r="G71" s="54" t="s">
        <v>274</v>
      </c>
      <c r="H71" s="63">
        <f>'Preloaded values'!C33</f>
        <v>3</v>
      </c>
    </row>
    <row r="72" spans="6:13" x14ac:dyDescent="0.35">
      <c r="G72" s="60" t="s">
        <v>275</v>
      </c>
    </row>
    <row r="73" spans="6:13" x14ac:dyDescent="0.35">
      <c r="G73" s="60"/>
    </row>
    <row r="74" spans="6:13" x14ac:dyDescent="0.35">
      <c r="F74" t="s">
        <v>272</v>
      </c>
      <c r="G74" s="54" t="s">
        <v>277</v>
      </c>
      <c r="H74" s="63">
        <f>'Preloaded values'!C36</f>
        <v>700</v>
      </c>
      <c r="M74" s="123" t="s">
        <v>566</v>
      </c>
    </row>
    <row r="75" spans="6:13" x14ac:dyDescent="0.35">
      <c r="G75" s="60" t="s">
        <v>275</v>
      </c>
    </row>
    <row r="77" spans="6:13" ht="15" thickBot="1" x14ac:dyDescent="0.4"/>
    <row r="78" spans="6:13" ht="47" thickBot="1" x14ac:dyDescent="0.4">
      <c r="G78" s="69" t="s">
        <v>235</v>
      </c>
    </row>
    <row r="79" spans="6:13" ht="42.5" x14ac:dyDescent="0.35">
      <c r="F79" t="s">
        <v>280</v>
      </c>
      <c r="G79" s="57" t="s">
        <v>279</v>
      </c>
      <c r="H79" s="63">
        <f>'Preloaded values'!C41</f>
        <v>0.1</v>
      </c>
    </row>
    <row r="80" spans="6:13" x14ac:dyDescent="0.35">
      <c r="G80" s="60" t="s">
        <v>275</v>
      </c>
    </row>
    <row r="82" spans="6:13" ht="28.5" x14ac:dyDescent="0.35">
      <c r="F82" t="s">
        <v>281</v>
      </c>
      <c r="G82" s="57" t="s">
        <v>278</v>
      </c>
    </row>
    <row r="83" spans="6:13" x14ac:dyDescent="0.35">
      <c r="G83" s="60" t="s">
        <v>275</v>
      </c>
      <c r="H83" s="63">
        <f>'Preloaded values'!C45</f>
        <v>1</v>
      </c>
    </row>
    <row r="85" spans="6:13" ht="15" thickBot="1" x14ac:dyDescent="0.4"/>
    <row r="86" spans="6:13" ht="44" thickBot="1" x14ac:dyDescent="0.4">
      <c r="G86" s="67" t="s">
        <v>236</v>
      </c>
    </row>
    <row r="87" spans="6:13" x14ac:dyDescent="0.35">
      <c r="F87" t="s">
        <v>282</v>
      </c>
      <c r="G87" s="54" t="s">
        <v>283</v>
      </c>
      <c r="H87" s="63">
        <f>'Preloaded values'!C49</f>
        <v>4000</v>
      </c>
      <c r="M87" s="123" t="s">
        <v>567</v>
      </c>
    </row>
    <row r="88" spans="6:13" x14ac:dyDescent="0.35">
      <c r="G88" s="60" t="s">
        <v>275</v>
      </c>
    </row>
    <row r="91" spans="6:13" x14ac:dyDescent="0.35">
      <c r="F91" s="4" t="s">
        <v>284</v>
      </c>
      <c r="G91" s="71" t="s">
        <v>455</v>
      </c>
      <c r="H91" s="63">
        <f>'Preloaded values'!C53</f>
        <v>70</v>
      </c>
      <c r="I91" s="4" t="s">
        <v>452</v>
      </c>
    </row>
    <row r="92" spans="6:13" x14ac:dyDescent="0.35">
      <c r="G92" s="60" t="s">
        <v>275</v>
      </c>
    </row>
    <row r="94" spans="6:13" ht="15" thickBot="1" x14ac:dyDescent="0.4"/>
    <row r="95" spans="6:13" ht="29.5" thickBot="1" x14ac:dyDescent="0.4">
      <c r="G95" s="67" t="s">
        <v>237</v>
      </c>
    </row>
    <row r="96" spans="6:13" ht="15" thickBot="1" x14ac:dyDescent="0.4">
      <c r="G96" s="65" t="s">
        <v>238</v>
      </c>
      <c r="H96"/>
    </row>
    <row r="97" spans="6:13" x14ac:dyDescent="0.35">
      <c r="G97" s="59"/>
      <c r="H97"/>
    </row>
    <row r="98" spans="6:13" x14ac:dyDescent="0.35">
      <c r="G98" s="59"/>
      <c r="H98"/>
    </row>
    <row r="99" spans="6:13" x14ac:dyDescent="0.35">
      <c r="F99" t="s">
        <v>286</v>
      </c>
      <c r="G99" s="54" t="s">
        <v>291</v>
      </c>
      <c r="H99" s="63">
        <f>'Preloaded values'!C61</f>
        <v>20</v>
      </c>
      <c r="M99" s="123" t="s">
        <v>567</v>
      </c>
    </row>
    <row r="100" spans="6:13" x14ac:dyDescent="0.35">
      <c r="G100" s="60" t="s">
        <v>275</v>
      </c>
      <c r="H100"/>
    </row>
    <row r="101" spans="6:13" x14ac:dyDescent="0.35">
      <c r="G101" s="54"/>
      <c r="H101"/>
    </row>
    <row r="102" spans="6:13" x14ac:dyDescent="0.35">
      <c r="F102" t="s">
        <v>287</v>
      </c>
      <c r="G102" s="71" t="s">
        <v>464</v>
      </c>
      <c r="H102" s="63">
        <f>'Preloaded values'!C64</f>
        <v>24</v>
      </c>
      <c r="I102" s="4" t="s">
        <v>463</v>
      </c>
    </row>
    <row r="103" spans="6:13" x14ac:dyDescent="0.35">
      <c r="G103" s="60" t="s">
        <v>275</v>
      </c>
      <c r="H103"/>
    </row>
    <row r="104" spans="6:13" x14ac:dyDescent="0.35">
      <c r="G104" s="54"/>
      <c r="H104"/>
    </row>
    <row r="105" spans="6:13" x14ac:dyDescent="0.35">
      <c r="F105" t="s">
        <v>288</v>
      </c>
      <c r="G105" s="54" t="s">
        <v>292</v>
      </c>
      <c r="H105" s="63">
        <f>'Preloaded values'!C67</f>
        <v>12</v>
      </c>
    </row>
    <row r="106" spans="6:13" x14ac:dyDescent="0.35">
      <c r="G106" s="60" t="s">
        <v>275</v>
      </c>
    </row>
    <row r="107" spans="6:13" x14ac:dyDescent="0.35">
      <c r="G107" s="60"/>
    </row>
    <row r="108" spans="6:13" ht="15" thickBot="1" x14ac:dyDescent="0.4">
      <c r="G108" s="60"/>
    </row>
    <row r="109" spans="6:13" s="66" customFormat="1" ht="29.5" thickBot="1" x14ac:dyDescent="0.4">
      <c r="G109" s="67" t="s">
        <v>239</v>
      </c>
      <c r="H109" s="50"/>
    </row>
    <row r="110" spans="6:13" ht="28.5" x14ac:dyDescent="0.35">
      <c r="F110" t="s">
        <v>294</v>
      </c>
      <c r="G110" s="57" t="s">
        <v>293</v>
      </c>
      <c r="H110" s="63">
        <f>'Preloaded values'!C72</f>
        <v>0.5</v>
      </c>
    </row>
    <row r="111" spans="6:13" x14ac:dyDescent="0.35">
      <c r="G111" s="60" t="s">
        <v>275</v>
      </c>
    </row>
    <row r="112" spans="6:13" ht="15" thickBot="1" x14ac:dyDescent="0.4"/>
    <row r="113" spans="6:13" ht="43" thickBot="1" x14ac:dyDescent="0.4">
      <c r="G113" s="70" t="s">
        <v>240</v>
      </c>
    </row>
    <row r="114" spans="6:13" ht="42.5" x14ac:dyDescent="0.35">
      <c r="F114" t="s">
        <v>295</v>
      </c>
      <c r="G114" s="50" t="s">
        <v>241</v>
      </c>
      <c r="H114" s="63">
        <f>'Preloaded values'!C76</f>
        <v>0.75</v>
      </c>
    </row>
    <row r="115" spans="6:13" x14ac:dyDescent="0.35">
      <c r="G115" s="60" t="s">
        <v>275</v>
      </c>
      <c r="H115" s="50"/>
    </row>
    <row r="116" spans="6:13" x14ac:dyDescent="0.35">
      <c r="G116" s="50"/>
      <c r="H116" s="50"/>
    </row>
    <row r="117" spans="6:13" x14ac:dyDescent="0.35">
      <c r="F117" t="s">
        <v>296</v>
      </c>
      <c r="G117" s="36" t="s">
        <v>242</v>
      </c>
      <c r="H117" s="63">
        <f>'Preloaded values'!C79</f>
        <v>536</v>
      </c>
    </row>
    <row r="118" spans="6:13" x14ac:dyDescent="0.35">
      <c r="G118" s="60" t="s">
        <v>275</v>
      </c>
    </row>
    <row r="119" spans="6:13" x14ac:dyDescent="0.35">
      <c r="G119" s="60"/>
    </row>
    <row r="120" spans="6:13" x14ac:dyDescent="0.35">
      <c r="G120" s="60"/>
    </row>
    <row r="121" spans="6:13" ht="29" x14ac:dyDescent="0.35">
      <c r="G121" s="61" t="s">
        <v>243</v>
      </c>
    </row>
    <row r="122" spans="6:13" x14ac:dyDescent="0.35">
      <c r="F122" t="s">
        <v>297</v>
      </c>
      <c r="G122" s="54" t="s">
        <v>302</v>
      </c>
      <c r="H122" s="63">
        <f>'Preloaded values'!C84</f>
        <v>500</v>
      </c>
      <c r="M122" s="123" t="s">
        <v>567</v>
      </c>
    </row>
    <row r="123" spans="6:13" x14ac:dyDescent="0.35">
      <c r="G123" s="60" t="s">
        <v>275</v>
      </c>
    </row>
    <row r="124" spans="6:13" x14ac:dyDescent="0.35">
      <c r="G124" s="54"/>
    </row>
    <row r="125" spans="6:13" ht="28.5" x14ac:dyDescent="0.35">
      <c r="F125" t="s">
        <v>298</v>
      </c>
      <c r="G125" s="57" t="s">
        <v>300</v>
      </c>
      <c r="H125" s="63">
        <f>'Preloaded values'!C87</f>
        <v>0</v>
      </c>
    </row>
    <row r="126" spans="6:13" x14ac:dyDescent="0.35">
      <c r="G126" s="60" t="s">
        <v>275</v>
      </c>
    </row>
    <row r="127" spans="6:13" x14ac:dyDescent="0.35">
      <c r="G127" s="54"/>
    </row>
    <row r="128" spans="6:13" x14ac:dyDescent="0.35">
      <c r="G128" s="54"/>
    </row>
    <row r="129" spans="6:13" x14ac:dyDescent="0.35">
      <c r="F129" t="s">
        <v>299</v>
      </c>
      <c r="G129" s="54" t="s">
        <v>301</v>
      </c>
      <c r="H129" s="63">
        <f>'Preloaded values'!C91</f>
        <v>500</v>
      </c>
      <c r="M129" s="123" t="s">
        <v>567</v>
      </c>
    </row>
    <row r="130" spans="6:13" x14ac:dyDescent="0.35">
      <c r="G130" s="60" t="s">
        <v>275</v>
      </c>
    </row>
    <row r="131" spans="6:13" x14ac:dyDescent="0.35">
      <c r="G131" s="54"/>
    </row>
    <row r="132" spans="6:13" x14ac:dyDescent="0.35">
      <c r="F132" t="s">
        <v>303</v>
      </c>
      <c r="G132" s="54" t="s">
        <v>478</v>
      </c>
      <c r="H132" s="63">
        <f>'Preloaded values'!C94</f>
        <v>5</v>
      </c>
      <c r="M132" s="123" t="s">
        <v>567</v>
      </c>
    </row>
    <row r="133" spans="6:13" x14ac:dyDescent="0.35">
      <c r="G133" s="60" t="s">
        <v>275</v>
      </c>
    </row>
  </sheetData>
  <conditionalFormatting sqref="D2">
    <cfRule type="containsText" dxfId="1" priority="1" operator="containsText" text="Check: Pass">
      <formula>NOT(ISERROR(SEARCH("Check: Pass",D2)))</formula>
    </cfRule>
    <cfRule type="containsText" dxfId="0" priority="2" operator="containsText" text="Check: Fail">
      <formula>NOT(ISERROR(SEARCH("Check: Fail",D2)))</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30"/>
  <sheetViews>
    <sheetView topLeftCell="A93" zoomScale="150" zoomScaleNormal="150" workbookViewId="0">
      <selection activeCell="C97" sqref="C97:D102"/>
    </sheetView>
  </sheetViews>
  <sheetFormatPr defaultRowHeight="14.5" x14ac:dyDescent="0.35"/>
  <cols>
    <col min="2" max="2" width="75.26953125" customWidth="1"/>
    <col min="3" max="3" width="15.26953125" customWidth="1"/>
    <col min="4" max="4" width="11" customWidth="1"/>
  </cols>
  <sheetData>
    <row r="1" spans="2:5" x14ac:dyDescent="0.35">
      <c r="B1" s="71" t="s">
        <v>217</v>
      </c>
      <c r="C1" s="72">
        <v>100</v>
      </c>
      <c r="D1" s="4" t="s">
        <v>562</v>
      </c>
    </row>
    <row r="2" spans="2:5" x14ac:dyDescent="0.35">
      <c r="B2" s="71" t="s">
        <v>218</v>
      </c>
      <c r="C2" s="72">
        <f>0.1*questionnaire!H6</f>
        <v>10</v>
      </c>
      <c r="D2" s="4" t="s">
        <v>562</v>
      </c>
    </row>
    <row r="3" spans="2:5" ht="15" thickBot="1" x14ac:dyDescent="0.4"/>
    <row r="4" spans="2:5" ht="15" thickBot="1" x14ac:dyDescent="0.4">
      <c r="B4" s="67" t="s">
        <v>230</v>
      </c>
      <c r="C4" s="36"/>
    </row>
    <row r="5" spans="2:5" x14ac:dyDescent="0.35">
      <c r="B5" s="54" t="s">
        <v>262</v>
      </c>
      <c r="C5" s="36"/>
    </row>
    <row r="6" spans="2:5" x14ac:dyDescent="0.35">
      <c r="B6" s="55" t="s">
        <v>264</v>
      </c>
      <c r="C6" s="63"/>
    </row>
    <row r="7" spans="2:5" x14ac:dyDescent="0.35">
      <c r="B7" s="55" t="s">
        <v>265</v>
      </c>
      <c r="C7" s="108">
        <v>1</v>
      </c>
    </row>
    <row r="8" spans="2:5" x14ac:dyDescent="0.35">
      <c r="B8" s="55"/>
      <c r="C8" s="36"/>
    </row>
    <row r="9" spans="2:5" x14ac:dyDescent="0.35">
      <c r="B9" s="55"/>
      <c r="C9" s="36"/>
    </row>
    <row r="10" spans="2:5" x14ac:dyDescent="0.35">
      <c r="B10" s="51" t="s">
        <v>266</v>
      </c>
      <c r="C10" s="107">
        <v>0</v>
      </c>
    </row>
    <row r="11" spans="2:5" x14ac:dyDescent="0.35">
      <c r="B11" s="60" t="s">
        <v>275</v>
      </c>
      <c r="C11" s="36"/>
    </row>
    <row r="12" spans="2:5" x14ac:dyDescent="0.35">
      <c r="B12" s="54" t="s">
        <v>261</v>
      </c>
      <c r="C12" s="106">
        <f>questionnaire!H$22/10</f>
        <v>500</v>
      </c>
      <c r="E12" t="s">
        <v>477</v>
      </c>
    </row>
    <row r="13" spans="2:5" x14ac:dyDescent="0.35">
      <c r="B13" s="60" t="s">
        <v>275</v>
      </c>
      <c r="C13" s="36"/>
    </row>
    <row r="14" spans="2:5" ht="15" thickBot="1" x14ac:dyDescent="0.4">
      <c r="B14" s="36"/>
      <c r="C14" s="36"/>
    </row>
    <row r="15" spans="2:5" ht="15" thickBot="1" x14ac:dyDescent="0.4">
      <c r="B15" s="68" t="s">
        <v>231</v>
      </c>
      <c r="C15" s="36"/>
    </row>
    <row r="16" spans="2:5" ht="42.5" x14ac:dyDescent="0.35">
      <c r="B16" s="58" t="s">
        <v>285</v>
      </c>
      <c r="C16" s="36"/>
    </row>
    <row r="17" spans="2:3" x14ac:dyDescent="0.35">
      <c r="B17" s="36"/>
      <c r="C17" s="36"/>
    </row>
    <row r="18" spans="2:3" x14ac:dyDescent="0.35">
      <c r="B18" s="36"/>
      <c r="C18" s="36"/>
    </row>
    <row r="19" spans="2:3" x14ac:dyDescent="0.35">
      <c r="B19" s="54" t="s">
        <v>232</v>
      </c>
      <c r="C19" s="106">
        <f>questionnaire!H22</f>
        <v>5000</v>
      </c>
    </row>
    <row r="20" spans="2:3" x14ac:dyDescent="0.35">
      <c r="B20" s="60" t="s">
        <v>275</v>
      </c>
      <c r="C20" s="36"/>
    </row>
    <row r="21" spans="2:3" x14ac:dyDescent="0.35">
      <c r="B21" s="54"/>
      <c r="C21" s="36"/>
    </row>
    <row r="22" spans="2:3" x14ac:dyDescent="0.35">
      <c r="B22" s="54" t="s">
        <v>276</v>
      </c>
      <c r="C22" s="108">
        <f>questionnaire!H6*7</f>
        <v>700</v>
      </c>
    </row>
    <row r="23" spans="2:3" x14ac:dyDescent="0.35">
      <c r="B23" s="60" t="s">
        <v>275</v>
      </c>
      <c r="C23" s="36"/>
    </row>
    <row r="24" spans="2:3" x14ac:dyDescent="0.35">
      <c r="B24" s="36"/>
      <c r="C24" s="36"/>
    </row>
    <row r="25" spans="2:3" x14ac:dyDescent="0.35">
      <c r="B25" s="54" t="s">
        <v>233</v>
      </c>
      <c r="C25" s="108">
        <f>C22/50</f>
        <v>14</v>
      </c>
    </row>
    <row r="26" spans="2:3" x14ac:dyDescent="0.35">
      <c r="B26" s="60" t="s">
        <v>275</v>
      </c>
      <c r="C26" s="36"/>
    </row>
    <row r="27" spans="2:3" x14ac:dyDescent="0.35">
      <c r="B27" s="36"/>
      <c r="C27" s="36"/>
    </row>
    <row r="28" spans="2:3" ht="15" thickBot="1" x14ac:dyDescent="0.4">
      <c r="B28" s="36"/>
      <c r="C28" s="36"/>
    </row>
    <row r="29" spans="2:3" ht="31.5" thickBot="1" x14ac:dyDescent="0.4">
      <c r="B29" s="69" t="s">
        <v>234</v>
      </c>
      <c r="C29" s="36"/>
    </row>
    <row r="30" spans="2:3" x14ac:dyDescent="0.35">
      <c r="B30" s="54" t="s">
        <v>273</v>
      </c>
      <c r="C30" s="108">
        <v>5</v>
      </c>
    </row>
    <row r="31" spans="2:3" x14ac:dyDescent="0.35">
      <c r="B31" s="60" t="s">
        <v>275</v>
      </c>
      <c r="C31" s="36"/>
    </row>
    <row r="32" spans="2:3" x14ac:dyDescent="0.35">
      <c r="B32" s="36"/>
      <c r="C32" s="36"/>
    </row>
    <row r="33" spans="2:3" x14ac:dyDescent="0.35">
      <c r="B33" s="54" t="s">
        <v>274</v>
      </c>
      <c r="C33" s="108">
        <v>3</v>
      </c>
    </row>
    <row r="34" spans="2:3" x14ac:dyDescent="0.35">
      <c r="B34" s="60" t="s">
        <v>275</v>
      </c>
      <c r="C34" s="36"/>
    </row>
    <row r="35" spans="2:3" x14ac:dyDescent="0.35">
      <c r="B35" s="60"/>
      <c r="C35" s="36"/>
    </row>
    <row r="36" spans="2:3" x14ac:dyDescent="0.35">
      <c r="B36" s="54" t="s">
        <v>277</v>
      </c>
      <c r="C36" s="108">
        <f>C22</f>
        <v>700</v>
      </c>
    </row>
    <row r="37" spans="2:3" x14ac:dyDescent="0.35">
      <c r="B37" s="60" t="s">
        <v>275</v>
      </c>
      <c r="C37" s="36"/>
    </row>
    <row r="38" spans="2:3" x14ac:dyDescent="0.35">
      <c r="B38" s="36"/>
      <c r="C38" s="36"/>
    </row>
    <row r="39" spans="2:3" ht="15" thickBot="1" x14ac:dyDescent="0.4">
      <c r="B39" s="36"/>
      <c r="C39" s="36"/>
    </row>
    <row r="40" spans="2:3" ht="31.5" thickBot="1" x14ac:dyDescent="0.4">
      <c r="B40" s="69" t="s">
        <v>235</v>
      </c>
      <c r="C40" s="36"/>
    </row>
    <row r="41" spans="2:3" ht="28.5" x14ac:dyDescent="0.35">
      <c r="B41" s="57" t="s">
        <v>279</v>
      </c>
      <c r="C41" s="107">
        <v>0.1</v>
      </c>
    </row>
    <row r="42" spans="2:3" x14ac:dyDescent="0.35">
      <c r="B42" s="60" t="s">
        <v>275</v>
      </c>
      <c r="C42" s="36"/>
    </row>
    <row r="43" spans="2:3" x14ac:dyDescent="0.35">
      <c r="B43" s="36"/>
      <c r="C43" s="36"/>
    </row>
    <row r="44" spans="2:3" x14ac:dyDescent="0.35">
      <c r="B44" s="57" t="s">
        <v>278</v>
      </c>
      <c r="C44" s="36"/>
    </row>
    <row r="45" spans="2:3" x14ac:dyDescent="0.35">
      <c r="B45" s="60" t="s">
        <v>275</v>
      </c>
      <c r="C45" s="107">
        <v>1</v>
      </c>
    </row>
    <row r="46" spans="2:3" x14ac:dyDescent="0.35">
      <c r="B46" s="36"/>
      <c r="C46" s="36"/>
    </row>
    <row r="47" spans="2:3" ht="15" thickBot="1" x14ac:dyDescent="0.4">
      <c r="B47" s="36"/>
      <c r="C47" s="36"/>
    </row>
    <row r="48" spans="2:3" ht="29.5" thickBot="1" x14ac:dyDescent="0.4">
      <c r="B48" s="67" t="s">
        <v>236</v>
      </c>
      <c r="C48" s="36"/>
    </row>
    <row r="49" spans="2:3" x14ac:dyDescent="0.35">
      <c r="B49" s="54" t="s">
        <v>283</v>
      </c>
      <c r="C49" s="106">
        <f>questionnaire!H22*0.8</f>
        <v>4000</v>
      </c>
    </row>
    <row r="50" spans="2:3" x14ac:dyDescent="0.35">
      <c r="B50" s="60" t="s">
        <v>275</v>
      </c>
      <c r="C50" s="36"/>
    </row>
    <row r="51" spans="2:3" x14ac:dyDescent="0.35">
      <c r="B51" s="36"/>
      <c r="C51" s="36"/>
    </row>
    <row r="52" spans="2:3" x14ac:dyDescent="0.35">
      <c r="B52" s="36"/>
      <c r="C52" s="36"/>
    </row>
    <row r="53" spans="2:3" x14ac:dyDescent="0.35">
      <c r="B53" s="71" t="s">
        <v>455</v>
      </c>
      <c r="C53" s="109">
        <f>C22*questionnaire!H9/questionnaire!H6</f>
        <v>70</v>
      </c>
    </row>
    <row r="54" spans="2:3" x14ac:dyDescent="0.35">
      <c r="B54" s="60" t="s">
        <v>275</v>
      </c>
      <c r="C54" s="36"/>
    </row>
    <row r="55" spans="2:3" x14ac:dyDescent="0.35">
      <c r="B55" s="36"/>
      <c r="C55" s="36"/>
    </row>
    <row r="56" spans="2:3" ht="15" thickBot="1" x14ac:dyDescent="0.4">
      <c r="B56" s="36"/>
      <c r="C56" s="36"/>
    </row>
    <row r="57" spans="2:3" ht="29.5" thickBot="1" x14ac:dyDescent="0.4">
      <c r="B57" s="67" t="s">
        <v>237</v>
      </c>
      <c r="C57" s="36"/>
    </row>
    <row r="58" spans="2:3" ht="15" thickBot="1" x14ac:dyDescent="0.4">
      <c r="B58" s="65" t="s">
        <v>238</v>
      </c>
    </row>
    <row r="59" spans="2:3" x14ac:dyDescent="0.35">
      <c r="B59" s="59"/>
    </row>
    <row r="60" spans="2:3" x14ac:dyDescent="0.35">
      <c r="B60" s="59"/>
    </row>
    <row r="61" spans="2:3" x14ac:dyDescent="0.35">
      <c r="B61" s="54" t="s">
        <v>291</v>
      </c>
      <c r="C61" s="108">
        <f>questionnaire!H6/5</f>
        <v>20</v>
      </c>
    </row>
    <row r="62" spans="2:3" x14ac:dyDescent="0.35">
      <c r="B62" s="60" t="s">
        <v>275</v>
      </c>
    </row>
    <row r="63" spans="2:3" x14ac:dyDescent="0.35">
      <c r="B63" s="54"/>
    </row>
    <row r="64" spans="2:3" x14ac:dyDescent="0.35">
      <c r="B64" s="71" t="s">
        <v>464</v>
      </c>
      <c r="C64" s="108">
        <v>24</v>
      </c>
    </row>
    <row r="65" spans="2:3" x14ac:dyDescent="0.35">
      <c r="B65" s="60" t="s">
        <v>275</v>
      </c>
    </row>
    <row r="66" spans="2:3" x14ac:dyDescent="0.35">
      <c r="B66" s="54"/>
    </row>
    <row r="67" spans="2:3" x14ac:dyDescent="0.35">
      <c r="B67" s="54" t="s">
        <v>292</v>
      </c>
      <c r="C67" s="108">
        <v>12</v>
      </c>
    </row>
    <row r="68" spans="2:3" x14ac:dyDescent="0.35">
      <c r="B68" s="60" t="s">
        <v>275</v>
      </c>
      <c r="C68" s="36"/>
    </row>
    <row r="69" spans="2:3" x14ac:dyDescent="0.35">
      <c r="B69" s="60"/>
      <c r="C69" s="36"/>
    </row>
    <row r="70" spans="2:3" ht="15" thickBot="1" x14ac:dyDescent="0.4">
      <c r="B70" s="60"/>
      <c r="C70" s="36"/>
    </row>
    <row r="71" spans="2:3" ht="29.5" thickBot="1" x14ac:dyDescent="0.4">
      <c r="B71" s="67" t="s">
        <v>239</v>
      </c>
      <c r="C71" s="50"/>
    </row>
    <row r="72" spans="2:3" ht="28.5" x14ac:dyDescent="0.35">
      <c r="B72" s="57" t="s">
        <v>293</v>
      </c>
      <c r="C72" s="107">
        <v>0.5</v>
      </c>
    </row>
    <row r="73" spans="2:3" x14ac:dyDescent="0.35">
      <c r="B73" s="60" t="s">
        <v>275</v>
      </c>
      <c r="C73" s="36"/>
    </row>
    <row r="74" spans="2:3" ht="15" thickBot="1" x14ac:dyDescent="0.4">
      <c r="B74" s="36"/>
      <c r="C74" s="36"/>
    </row>
    <row r="75" spans="2:3" ht="29" thickBot="1" x14ac:dyDescent="0.4">
      <c r="B75" s="70" t="s">
        <v>240</v>
      </c>
      <c r="C75" s="36"/>
    </row>
    <row r="76" spans="2:3" ht="28.5" x14ac:dyDescent="0.35">
      <c r="B76" s="50" t="s">
        <v>241</v>
      </c>
      <c r="C76" s="108">
        <v>0.75</v>
      </c>
    </row>
    <row r="77" spans="2:3" x14ac:dyDescent="0.35">
      <c r="B77" s="60" t="s">
        <v>275</v>
      </c>
      <c r="C77" s="50"/>
    </row>
    <row r="78" spans="2:3" x14ac:dyDescent="0.35">
      <c r="B78" s="50"/>
      <c r="C78" s="50"/>
    </row>
    <row r="79" spans="2:3" x14ac:dyDescent="0.35">
      <c r="B79" s="36" t="s">
        <v>242</v>
      </c>
      <c r="C79" s="108">
        <f>ROUND(questionnaire!H22/7*questionnaire!H114,0)</f>
        <v>536</v>
      </c>
    </row>
    <row r="80" spans="2:3" x14ac:dyDescent="0.35">
      <c r="B80" s="60" t="s">
        <v>275</v>
      </c>
      <c r="C80" s="36"/>
    </row>
    <row r="81" spans="2:3" x14ac:dyDescent="0.35">
      <c r="B81" s="60"/>
      <c r="C81" s="36"/>
    </row>
    <row r="82" spans="2:3" x14ac:dyDescent="0.35">
      <c r="B82" s="60"/>
      <c r="C82" s="36"/>
    </row>
    <row r="83" spans="2:3" x14ac:dyDescent="0.35">
      <c r="B83" s="61" t="s">
        <v>243</v>
      </c>
      <c r="C83" s="36"/>
    </row>
    <row r="84" spans="2:3" x14ac:dyDescent="0.35">
      <c r="B84" s="54" t="s">
        <v>302</v>
      </c>
      <c r="C84" s="106">
        <f>questionnaire!H$22/10</f>
        <v>500</v>
      </c>
    </row>
    <row r="85" spans="2:3" x14ac:dyDescent="0.35">
      <c r="B85" s="60" t="s">
        <v>275</v>
      </c>
      <c r="C85" s="36"/>
    </row>
    <row r="86" spans="2:3" x14ac:dyDescent="0.35">
      <c r="B86" s="54"/>
      <c r="C86" s="36"/>
    </row>
    <row r="87" spans="2:3" x14ac:dyDescent="0.35">
      <c r="B87" s="57" t="s">
        <v>300</v>
      </c>
      <c r="C87" s="108">
        <v>0</v>
      </c>
    </row>
    <row r="88" spans="2:3" x14ac:dyDescent="0.35">
      <c r="B88" s="60" t="s">
        <v>275</v>
      </c>
      <c r="C88" s="36"/>
    </row>
    <row r="89" spans="2:3" x14ac:dyDescent="0.35">
      <c r="B89" s="54"/>
      <c r="C89" s="36"/>
    </row>
    <row r="90" spans="2:3" x14ac:dyDescent="0.35">
      <c r="B90" s="54"/>
      <c r="C90" s="36"/>
    </row>
    <row r="91" spans="2:3" x14ac:dyDescent="0.35">
      <c r="B91" s="54" t="s">
        <v>301</v>
      </c>
      <c r="C91" s="108">
        <f>questionnaire!H122</f>
        <v>500</v>
      </c>
    </row>
    <row r="92" spans="2:3" x14ac:dyDescent="0.35">
      <c r="B92" s="60" t="s">
        <v>275</v>
      </c>
      <c r="C92" s="36"/>
    </row>
    <row r="93" spans="2:3" x14ac:dyDescent="0.35">
      <c r="B93" s="54"/>
      <c r="C93" s="36"/>
    </row>
    <row r="94" spans="2:3" x14ac:dyDescent="0.35">
      <c r="B94" s="54" t="s">
        <v>478</v>
      </c>
      <c r="C94" s="108">
        <f>questionnaire!H122/100</f>
        <v>5</v>
      </c>
    </row>
    <row r="95" spans="2:3" x14ac:dyDescent="0.35">
      <c r="B95" s="60" t="s">
        <v>275</v>
      </c>
      <c r="C95" s="36"/>
    </row>
    <row r="96" spans="2:3" x14ac:dyDescent="0.35">
      <c r="B96" s="36"/>
      <c r="C96" s="36"/>
    </row>
    <row r="97" spans="2:5" x14ac:dyDescent="0.35">
      <c r="B97" s="36" t="s">
        <v>220</v>
      </c>
      <c r="C97" s="124">
        <v>0.7</v>
      </c>
      <c r="D97" s="124">
        <v>0.5</v>
      </c>
      <c r="E97" s="4" t="s">
        <v>562</v>
      </c>
    </row>
    <row r="98" spans="2:5" x14ac:dyDescent="0.35">
      <c r="B98" s="36" t="s">
        <v>221</v>
      </c>
      <c r="C98" s="124">
        <v>0</v>
      </c>
      <c r="D98" s="124">
        <v>0</v>
      </c>
      <c r="E98" s="4" t="s">
        <v>562</v>
      </c>
    </row>
    <row r="99" spans="2:5" x14ac:dyDescent="0.35">
      <c r="B99" s="36" t="s">
        <v>216</v>
      </c>
      <c r="C99" s="124">
        <v>0.1</v>
      </c>
      <c r="D99" s="124">
        <v>0.2</v>
      </c>
      <c r="E99" s="4" t="s">
        <v>562</v>
      </c>
    </row>
    <row r="100" spans="2:5" x14ac:dyDescent="0.35">
      <c r="B100" s="36" t="s">
        <v>222</v>
      </c>
      <c r="C100" s="124">
        <v>0.2</v>
      </c>
      <c r="D100" s="124">
        <v>0.3</v>
      </c>
      <c r="E100" s="4" t="s">
        <v>562</v>
      </c>
    </row>
    <row r="101" spans="2:5" x14ac:dyDescent="0.35">
      <c r="B101" s="36" t="s">
        <v>223</v>
      </c>
      <c r="C101" s="124">
        <v>0</v>
      </c>
      <c r="D101" s="124">
        <v>0</v>
      </c>
      <c r="E101" s="4" t="s">
        <v>562</v>
      </c>
    </row>
    <row r="102" spans="2:5" x14ac:dyDescent="0.35">
      <c r="B102" s="36" t="s">
        <v>224</v>
      </c>
      <c r="C102" s="124">
        <v>0</v>
      </c>
      <c r="D102" s="124">
        <v>0.2</v>
      </c>
      <c r="E102" s="4" t="s">
        <v>562</v>
      </c>
    </row>
    <row r="103" spans="2:5" x14ac:dyDescent="0.35">
      <c r="B103" s="36"/>
      <c r="C103" s="36"/>
    </row>
    <row r="104" spans="2:5" x14ac:dyDescent="0.35">
      <c r="B104" s="36"/>
      <c r="C104" s="36"/>
    </row>
    <row r="105" spans="2:5" x14ac:dyDescent="0.35">
      <c r="B105" s="36"/>
      <c r="C105" s="36"/>
    </row>
    <row r="106" spans="2:5" x14ac:dyDescent="0.35">
      <c r="B106" s="36"/>
      <c r="C106" s="36"/>
    </row>
    <row r="107" spans="2:5" x14ac:dyDescent="0.35">
      <c r="B107" s="36"/>
      <c r="C107" s="36"/>
    </row>
    <row r="108" spans="2:5" x14ac:dyDescent="0.35">
      <c r="B108" s="36"/>
      <c r="C108" s="36"/>
    </row>
    <row r="109" spans="2:5" x14ac:dyDescent="0.35">
      <c r="B109" s="36"/>
      <c r="C109" s="36"/>
    </row>
    <row r="110" spans="2:5" x14ac:dyDescent="0.35">
      <c r="B110" s="36"/>
      <c r="C110" s="36"/>
    </row>
    <row r="111" spans="2:5" x14ac:dyDescent="0.35">
      <c r="B111" s="36"/>
      <c r="C111" s="36"/>
    </row>
    <row r="112" spans="2:5" x14ac:dyDescent="0.35">
      <c r="B112" s="36"/>
      <c r="C112" s="36"/>
    </row>
    <row r="113" spans="2:3" x14ac:dyDescent="0.35">
      <c r="B113" s="36"/>
      <c r="C113" s="36"/>
    </row>
    <row r="114" spans="2:3" x14ac:dyDescent="0.35">
      <c r="B114" s="36"/>
      <c r="C114" s="36"/>
    </row>
    <row r="115" spans="2:3" x14ac:dyDescent="0.35">
      <c r="B115" s="36"/>
      <c r="C115" s="36"/>
    </row>
    <row r="116" spans="2:3" x14ac:dyDescent="0.35">
      <c r="B116" s="36"/>
      <c r="C116" s="36"/>
    </row>
    <row r="117" spans="2:3" x14ac:dyDescent="0.35">
      <c r="B117" s="36"/>
      <c r="C117" s="36"/>
    </row>
    <row r="118" spans="2:3" x14ac:dyDescent="0.35">
      <c r="B118" s="36"/>
      <c r="C118" s="36"/>
    </row>
    <row r="119" spans="2:3" x14ac:dyDescent="0.35">
      <c r="B119" s="36"/>
      <c r="C119" s="36"/>
    </row>
    <row r="120" spans="2:3" x14ac:dyDescent="0.35">
      <c r="B120" s="36"/>
      <c r="C120" s="36"/>
    </row>
    <row r="121" spans="2:3" x14ac:dyDescent="0.35">
      <c r="B121" s="36"/>
      <c r="C121" s="36"/>
    </row>
    <row r="122" spans="2:3" x14ac:dyDescent="0.35">
      <c r="B122" s="36"/>
      <c r="C122" s="36"/>
    </row>
    <row r="123" spans="2:3" x14ac:dyDescent="0.35">
      <c r="B123" s="36"/>
      <c r="C123" s="36"/>
    </row>
    <row r="124" spans="2:3" x14ac:dyDescent="0.35">
      <c r="B124" s="36"/>
      <c r="C124" s="36"/>
    </row>
    <row r="125" spans="2:3" x14ac:dyDescent="0.35">
      <c r="B125" s="36"/>
      <c r="C125" s="36"/>
    </row>
    <row r="126" spans="2:3" x14ac:dyDescent="0.35">
      <c r="B126" s="36"/>
      <c r="C126" s="36"/>
    </row>
    <row r="127" spans="2:3" x14ac:dyDescent="0.35">
      <c r="B127" s="36"/>
      <c r="C127" s="36"/>
    </row>
    <row r="128" spans="2:3" x14ac:dyDescent="0.35">
      <c r="B128" s="36"/>
      <c r="C128" s="36"/>
    </row>
    <row r="129" spans="2:3" x14ac:dyDescent="0.35">
      <c r="B129" s="36"/>
      <c r="C129" s="36"/>
    </row>
    <row r="130" spans="2:3" x14ac:dyDescent="0.35">
      <c r="B130" s="36"/>
      <c r="C130" s="3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G29"/>
  <sheetViews>
    <sheetView topLeftCell="B21" workbookViewId="0">
      <selection activeCell="B22" sqref="B22"/>
    </sheetView>
  </sheetViews>
  <sheetFormatPr defaultRowHeight="15.5" x14ac:dyDescent="0.35"/>
  <cols>
    <col min="1" max="1" width="11" style="73" customWidth="1"/>
    <col min="2" max="2" width="79.26953125" style="73" customWidth="1"/>
    <col min="3" max="3" width="4.26953125" style="73" customWidth="1"/>
    <col min="4" max="4" width="94.453125" style="73" customWidth="1"/>
    <col min="5" max="5" width="15.26953125" customWidth="1"/>
    <col min="6" max="6" width="13.26953125" customWidth="1"/>
    <col min="7" max="7" width="11.26953125" customWidth="1"/>
  </cols>
  <sheetData>
    <row r="3" spans="1:7" x14ac:dyDescent="0.35">
      <c r="E3" s="36"/>
    </row>
    <row r="4" spans="1:7" ht="31" x14ac:dyDescent="0.35">
      <c r="B4" s="78" t="s">
        <v>316</v>
      </c>
      <c r="D4" s="78" t="s">
        <v>317</v>
      </c>
    </row>
    <row r="5" spans="1:7" x14ac:dyDescent="0.35">
      <c r="D5" s="74"/>
      <c r="F5" s="36"/>
      <c r="G5" s="36"/>
    </row>
    <row r="6" spans="1:7" x14ac:dyDescent="0.35">
      <c r="A6" s="73">
        <v>1</v>
      </c>
      <c r="B6" s="75" t="s">
        <v>305</v>
      </c>
      <c r="C6" s="76"/>
      <c r="E6" s="36"/>
      <c r="F6" s="46"/>
      <c r="G6" s="36"/>
    </row>
    <row r="7" spans="1:7" x14ac:dyDescent="0.35">
      <c r="B7" s="73" t="s">
        <v>309</v>
      </c>
      <c r="C7" s="76"/>
      <c r="E7" s="36"/>
      <c r="F7" s="46"/>
      <c r="G7" s="36"/>
    </row>
    <row r="8" spans="1:7" x14ac:dyDescent="0.35">
      <c r="B8" s="36" t="s">
        <v>322</v>
      </c>
      <c r="C8" s="76"/>
      <c r="E8" s="36"/>
      <c r="F8" s="46"/>
      <c r="G8" s="36"/>
    </row>
    <row r="9" spans="1:7" x14ac:dyDescent="0.35">
      <c r="A9" s="73">
        <v>2</v>
      </c>
      <c r="B9" s="75" t="s">
        <v>313</v>
      </c>
    </row>
    <row r="10" spans="1:7" x14ac:dyDescent="0.35">
      <c r="B10" s="73" t="s">
        <v>311</v>
      </c>
    </row>
    <row r="11" spans="1:7" x14ac:dyDescent="0.35">
      <c r="B11" s="36" t="s">
        <v>333</v>
      </c>
      <c r="D11" s="36"/>
    </row>
    <row r="12" spans="1:7" x14ac:dyDescent="0.35">
      <c r="A12" s="73">
        <v>3</v>
      </c>
      <c r="B12" s="75" t="s">
        <v>253</v>
      </c>
    </row>
    <row r="13" spans="1:7" x14ac:dyDescent="0.35">
      <c r="B13" s="73" t="s">
        <v>310</v>
      </c>
    </row>
    <row r="14" spans="1:7" x14ac:dyDescent="0.35">
      <c r="B14" s="36" t="s">
        <v>334</v>
      </c>
    </row>
    <row r="15" spans="1:7" x14ac:dyDescent="0.35">
      <c r="A15" s="73">
        <v>4</v>
      </c>
      <c r="B15" s="75" t="s">
        <v>254</v>
      </c>
    </row>
    <row r="16" spans="1:7" x14ac:dyDescent="0.35">
      <c r="B16" s="73" t="s">
        <v>314</v>
      </c>
      <c r="D16" s="36"/>
    </row>
    <row r="17" spans="1:4" x14ac:dyDescent="0.35">
      <c r="B17" s="36" t="s">
        <v>387</v>
      </c>
      <c r="D17" s="36"/>
    </row>
    <row r="18" spans="1:4" x14ac:dyDescent="0.35">
      <c r="A18" s="73">
        <v>5</v>
      </c>
      <c r="B18" s="75" t="s">
        <v>318</v>
      </c>
    </row>
    <row r="19" spans="1:4" x14ac:dyDescent="0.35">
      <c r="B19" s="90" t="s">
        <v>402</v>
      </c>
    </row>
    <row r="20" spans="1:4" x14ac:dyDescent="0.35">
      <c r="B20" s="90" t="s">
        <v>403</v>
      </c>
    </row>
    <row r="21" spans="1:4" x14ac:dyDescent="0.35">
      <c r="A21" s="73">
        <v>6</v>
      </c>
      <c r="B21" s="75" t="s">
        <v>256</v>
      </c>
    </row>
    <row r="22" spans="1:4" x14ac:dyDescent="0.35">
      <c r="B22" s="73" t="s">
        <v>312</v>
      </c>
    </row>
    <row r="23" spans="1:4" x14ac:dyDescent="0.35">
      <c r="B23" s="73" t="s">
        <v>439</v>
      </c>
    </row>
    <row r="24" spans="1:4" x14ac:dyDescent="0.35">
      <c r="A24" s="73">
        <v>7</v>
      </c>
      <c r="B24" s="75" t="s">
        <v>257</v>
      </c>
    </row>
    <row r="25" spans="1:4" x14ac:dyDescent="0.35">
      <c r="B25" s="73" t="s">
        <v>307</v>
      </c>
    </row>
    <row r="26" spans="1:4" ht="16.5" x14ac:dyDescent="0.35">
      <c r="B26" s="73" t="s">
        <v>440</v>
      </c>
      <c r="D26" s="82"/>
    </row>
    <row r="27" spans="1:4" x14ac:dyDescent="0.35">
      <c r="A27" s="73">
        <v>8</v>
      </c>
      <c r="B27" s="77" t="s">
        <v>258</v>
      </c>
    </row>
    <row r="28" spans="1:4" x14ac:dyDescent="0.35">
      <c r="B28" s="73" t="s">
        <v>315</v>
      </c>
    </row>
    <row r="29" spans="1:4" x14ac:dyDescent="0.35">
      <c r="B29" s="73" t="s">
        <v>441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4:D88"/>
  <sheetViews>
    <sheetView topLeftCell="A4" zoomScale="80" zoomScaleNormal="80" workbookViewId="0">
      <selection activeCell="D16" sqref="D16"/>
    </sheetView>
  </sheetViews>
  <sheetFormatPr defaultRowHeight="14.5" x14ac:dyDescent="0.35"/>
  <cols>
    <col min="1" max="2" width="1.7265625" customWidth="1"/>
    <col min="3" max="3" width="75" style="36" customWidth="1"/>
    <col min="4" max="4" width="28.453125" style="36" customWidth="1"/>
    <col min="5" max="5" width="9.26953125" customWidth="1"/>
  </cols>
  <sheetData>
    <row r="4" spans="2:4" ht="28.5" x14ac:dyDescent="0.35">
      <c r="C4" s="120" t="s">
        <v>358</v>
      </c>
      <c r="D4" s="36" t="s">
        <v>359</v>
      </c>
    </row>
    <row r="6" spans="2:4" x14ac:dyDescent="0.35">
      <c r="C6" s="121"/>
    </row>
    <row r="7" spans="2:4" ht="28" x14ac:dyDescent="0.35">
      <c r="C7" s="112" t="s">
        <v>360</v>
      </c>
      <c r="D7" s="36" t="s">
        <v>557</v>
      </c>
    </row>
    <row r="8" spans="2:4" ht="70" x14ac:dyDescent="0.35">
      <c r="C8" s="112" t="s">
        <v>365</v>
      </c>
      <c r="D8" s="36" t="s">
        <v>487</v>
      </c>
    </row>
    <row r="9" spans="2:4" x14ac:dyDescent="0.35">
      <c r="C9" s="113" t="s">
        <v>552</v>
      </c>
    </row>
    <row r="10" spans="2:4" x14ac:dyDescent="0.35">
      <c r="C10" s="113" t="s">
        <v>553</v>
      </c>
    </row>
    <row r="11" spans="2:4" x14ac:dyDescent="0.35">
      <c r="C11" s="113" t="s">
        <v>554</v>
      </c>
    </row>
    <row r="12" spans="2:4" x14ac:dyDescent="0.35">
      <c r="C12" s="121"/>
    </row>
    <row r="13" spans="2:4" x14ac:dyDescent="0.35">
      <c r="C13" s="49"/>
    </row>
    <row r="14" spans="2:4" x14ac:dyDescent="0.35">
      <c r="B14" t="s">
        <v>348</v>
      </c>
      <c r="C14" s="110" t="s">
        <v>361</v>
      </c>
      <c r="D14" s="36" t="s">
        <v>359</v>
      </c>
    </row>
    <row r="15" spans="2:4" x14ac:dyDescent="0.35">
      <c r="C15" s="111" t="s">
        <v>534</v>
      </c>
      <c r="D15" s="36" t="s">
        <v>488</v>
      </c>
    </row>
    <row r="16" spans="2:4" x14ac:dyDescent="0.35">
      <c r="C16" s="111" t="s">
        <v>490</v>
      </c>
      <c r="D16" s="36" t="s">
        <v>569</v>
      </c>
    </row>
    <row r="17" spans="3:4" x14ac:dyDescent="0.35">
      <c r="C17" s="111" t="s">
        <v>489</v>
      </c>
      <c r="D17" s="36" t="s">
        <v>535</v>
      </c>
    </row>
    <row r="18" spans="3:4" x14ac:dyDescent="0.35">
      <c r="C18" s="36" t="s">
        <v>558</v>
      </c>
      <c r="D18" s="36" t="s">
        <v>559</v>
      </c>
    </row>
    <row r="19" spans="3:4" x14ac:dyDescent="0.35">
      <c r="C19" s="36" t="s">
        <v>560</v>
      </c>
      <c r="D19" s="36" t="s">
        <v>561</v>
      </c>
    </row>
    <row r="21" spans="3:4" x14ac:dyDescent="0.35">
      <c r="C21" s="111"/>
    </row>
    <row r="22" spans="3:4" ht="112.5" x14ac:dyDescent="0.35">
      <c r="C22" s="50" t="s">
        <v>349</v>
      </c>
    </row>
    <row r="24" spans="3:4" x14ac:dyDescent="0.35">
      <c r="C24" s="54" t="s">
        <v>350</v>
      </c>
    </row>
    <row r="25" spans="3:4" ht="84.5" x14ac:dyDescent="0.35">
      <c r="C25" s="50" t="s">
        <v>362</v>
      </c>
      <c r="D25" s="36" t="s">
        <v>359</v>
      </c>
    </row>
    <row r="26" spans="3:4" x14ac:dyDescent="0.35">
      <c r="C26" s="50"/>
    </row>
    <row r="27" spans="3:4" ht="56" x14ac:dyDescent="0.35">
      <c r="C27" s="114" t="s">
        <v>544</v>
      </c>
    </row>
    <row r="28" spans="3:4" x14ac:dyDescent="0.35">
      <c r="C28" s="115" t="s">
        <v>351</v>
      </c>
    </row>
    <row r="29" spans="3:4" x14ac:dyDescent="0.35">
      <c r="C29" s="116" t="s">
        <v>491</v>
      </c>
      <c r="D29" s="36" t="s">
        <v>493</v>
      </c>
    </row>
    <row r="30" spans="3:4" ht="28" x14ac:dyDescent="0.35">
      <c r="C30" s="116" t="s">
        <v>492</v>
      </c>
      <c r="D30" s="36" t="s">
        <v>494</v>
      </c>
    </row>
    <row r="31" spans="3:4" x14ac:dyDescent="0.35">
      <c r="C31" s="90"/>
    </row>
    <row r="32" spans="3:4" x14ac:dyDescent="0.35">
      <c r="C32" s="90"/>
    </row>
    <row r="33" spans="3:4" ht="28" x14ac:dyDescent="0.35">
      <c r="C33" s="114" t="s">
        <v>545</v>
      </c>
    </row>
    <row r="34" spans="3:4" x14ac:dyDescent="0.35">
      <c r="C34" s="115" t="s">
        <v>495</v>
      </c>
      <c r="D34" s="36" t="s">
        <v>497</v>
      </c>
    </row>
    <row r="35" spans="3:4" x14ac:dyDescent="0.35">
      <c r="C35" s="115" t="s">
        <v>496</v>
      </c>
      <c r="D35" s="36" t="s">
        <v>498</v>
      </c>
    </row>
    <row r="36" spans="3:4" x14ac:dyDescent="0.35">
      <c r="C36" s="90"/>
    </row>
    <row r="37" spans="3:4" ht="42" x14ac:dyDescent="0.35">
      <c r="C37" s="114" t="s">
        <v>546</v>
      </c>
    </row>
    <row r="38" spans="3:4" x14ac:dyDescent="0.35">
      <c r="C38" s="117"/>
    </row>
    <row r="39" spans="3:4" x14ac:dyDescent="0.35">
      <c r="C39" s="116" t="s">
        <v>499</v>
      </c>
      <c r="D39" s="36" t="s">
        <v>500</v>
      </c>
    </row>
    <row r="40" spans="3:4" ht="28.5" x14ac:dyDescent="0.35">
      <c r="C40" s="50" t="s">
        <v>502</v>
      </c>
      <c r="D40" s="36" t="s">
        <v>501</v>
      </c>
    </row>
    <row r="41" spans="3:4" ht="56" x14ac:dyDescent="0.35">
      <c r="C41" s="114" t="s">
        <v>547</v>
      </c>
    </row>
    <row r="42" spans="3:4" x14ac:dyDescent="0.35">
      <c r="C42" s="115" t="s">
        <v>504</v>
      </c>
      <c r="D42" s="36" t="s">
        <v>505</v>
      </c>
    </row>
    <row r="43" spans="3:4" x14ac:dyDescent="0.35">
      <c r="C43" s="115" t="s">
        <v>503</v>
      </c>
      <c r="D43" s="36" t="s">
        <v>506</v>
      </c>
    </row>
    <row r="44" spans="3:4" x14ac:dyDescent="0.35">
      <c r="C44" s="90"/>
    </row>
    <row r="45" spans="3:4" ht="42" x14ac:dyDescent="0.35">
      <c r="C45" s="114" t="s">
        <v>548</v>
      </c>
    </row>
    <row r="46" spans="3:4" x14ac:dyDescent="0.35">
      <c r="C46" s="115" t="s">
        <v>507</v>
      </c>
      <c r="D46" s="36" t="s">
        <v>509</v>
      </c>
    </row>
    <row r="47" spans="3:4" x14ac:dyDescent="0.35">
      <c r="C47" s="115" t="s">
        <v>508</v>
      </c>
      <c r="D47" s="36" t="s">
        <v>510</v>
      </c>
    </row>
    <row r="48" spans="3:4" x14ac:dyDescent="0.35">
      <c r="C48" s="90"/>
    </row>
    <row r="49" spans="3:4" ht="42" x14ac:dyDescent="0.35">
      <c r="C49" s="114" t="s">
        <v>549</v>
      </c>
    </row>
    <row r="50" spans="3:4" x14ac:dyDescent="0.35">
      <c r="C50" s="118"/>
    </row>
    <row r="51" spans="3:4" ht="28" x14ac:dyDescent="0.35">
      <c r="C51" s="116" t="s">
        <v>514</v>
      </c>
      <c r="D51" s="36" t="s">
        <v>512</v>
      </c>
    </row>
    <row r="52" spans="3:4" ht="28" x14ac:dyDescent="0.35">
      <c r="C52" s="116" t="s">
        <v>511</v>
      </c>
      <c r="D52" s="36" t="s">
        <v>513</v>
      </c>
    </row>
    <row r="53" spans="3:4" x14ac:dyDescent="0.35">
      <c r="C53" s="112"/>
    </row>
    <row r="54" spans="3:4" ht="28" x14ac:dyDescent="0.35">
      <c r="C54" s="114" t="s">
        <v>550</v>
      </c>
    </row>
    <row r="55" spans="3:4" x14ac:dyDescent="0.35">
      <c r="C55" s="114"/>
    </row>
    <row r="56" spans="3:4" ht="28" x14ac:dyDescent="0.35">
      <c r="C56" s="116" t="s">
        <v>515</v>
      </c>
      <c r="D56" s="36" t="s">
        <v>517</v>
      </c>
    </row>
    <row r="57" spans="3:4" ht="28" x14ac:dyDescent="0.35">
      <c r="C57" s="116" t="s">
        <v>516</v>
      </c>
      <c r="D57" s="36" t="s">
        <v>518</v>
      </c>
    </row>
    <row r="58" spans="3:4" x14ac:dyDescent="0.35">
      <c r="C58" s="114"/>
    </row>
    <row r="59" spans="3:4" ht="42" x14ac:dyDescent="0.35">
      <c r="C59" s="114" t="s">
        <v>551</v>
      </c>
    </row>
    <row r="60" spans="3:4" ht="28" x14ac:dyDescent="0.35">
      <c r="C60" s="116" t="s">
        <v>519</v>
      </c>
      <c r="D60" s="36" t="s">
        <v>520</v>
      </c>
    </row>
    <row r="61" spans="3:4" x14ac:dyDescent="0.35">
      <c r="C61" s="116" t="s">
        <v>522</v>
      </c>
      <c r="D61" s="36" t="s">
        <v>521</v>
      </c>
    </row>
    <row r="62" spans="3:4" x14ac:dyDescent="0.35">
      <c r="C62" s="90"/>
    </row>
    <row r="63" spans="3:4" ht="28" x14ac:dyDescent="0.35">
      <c r="C63" s="112" t="s">
        <v>363</v>
      </c>
      <c r="D63" s="36" t="s">
        <v>359</v>
      </c>
    </row>
    <row r="64" spans="3:4" ht="126.5" x14ac:dyDescent="0.35">
      <c r="C64" s="112" t="s">
        <v>523</v>
      </c>
      <c r="D64" s="50" t="s">
        <v>568</v>
      </c>
    </row>
    <row r="65" spans="3:4" x14ac:dyDescent="0.35">
      <c r="C65" s="119"/>
    </row>
    <row r="66" spans="3:4" x14ac:dyDescent="0.35">
      <c r="C66" s="54" t="s">
        <v>353</v>
      </c>
    </row>
    <row r="71" spans="3:4" ht="84" x14ac:dyDescent="0.35">
      <c r="C71" s="116" t="s">
        <v>525</v>
      </c>
      <c r="D71" s="50" t="s">
        <v>526</v>
      </c>
    </row>
    <row r="72" spans="3:4" x14ac:dyDescent="0.35">
      <c r="C72" s="83" t="s">
        <v>555</v>
      </c>
    </row>
    <row r="73" spans="3:4" x14ac:dyDescent="0.35">
      <c r="C73" s="83" t="s">
        <v>556</v>
      </c>
    </row>
    <row r="74" spans="3:4" ht="154.5" x14ac:dyDescent="0.35">
      <c r="C74" s="83" t="s">
        <v>532</v>
      </c>
      <c r="D74" s="50" t="s">
        <v>533</v>
      </c>
    </row>
    <row r="77" spans="3:4" x14ac:dyDescent="0.35">
      <c r="C77" s="54" t="s">
        <v>354</v>
      </c>
    </row>
    <row r="82" spans="3:4" ht="43.5" x14ac:dyDescent="0.35">
      <c r="C82" s="61" t="s">
        <v>364</v>
      </c>
      <c r="D82" s="36" t="s">
        <v>359</v>
      </c>
    </row>
    <row r="84" spans="3:4" x14ac:dyDescent="0.35">
      <c r="C84" s="122" t="s">
        <v>355</v>
      </c>
    </row>
    <row r="85" spans="3:4" x14ac:dyDescent="0.35">
      <c r="C85" s="90"/>
    </row>
    <row r="86" spans="3:4" ht="42" x14ac:dyDescent="0.35">
      <c r="C86" s="112" t="s">
        <v>356</v>
      </c>
    </row>
    <row r="87" spans="3:4" x14ac:dyDescent="0.35">
      <c r="C87" s="90"/>
    </row>
    <row r="88" spans="3:4" x14ac:dyDescent="0.35">
      <c r="C88" s="90" t="s">
        <v>357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F189"/>
  <sheetViews>
    <sheetView topLeftCell="B172" zoomScaleNormal="100" workbookViewId="0">
      <selection activeCell="C182" sqref="C182"/>
    </sheetView>
  </sheetViews>
  <sheetFormatPr defaultRowHeight="14.5" x14ac:dyDescent="0.35"/>
  <cols>
    <col min="1" max="1" width="16.81640625" customWidth="1"/>
    <col min="2" max="2" width="49.90625" style="36" customWidth="1"/>
    <col min="3" max="3" width="15" customWidth="1"/>
    <col min="4" max="4" width="15" style="36" customWidth="1"/>
    <col min="5" max="5" width="14" customWidth="1"/>
    <col min="6" max="6" width="14.54296875" customWidth="1"/>
    <col min="7" max="7" width="15.54296875" customWidth="1"/>
    <col min="8" max="8" width="16.1796875" customWidth="1"/>
    <col min="9" max="9" width="15.453125" customWidth="1"/>
  </cols>
  <sheetData>
    <row r="3" spans="1:4" x14ac:dyDescent="0.35">
      <c r="B3" s="36" t="s">
        <v>366</v>
      </c>
      <c r="C3">
        <f>questionnaire!H22</f>
        <v>5000</v>
      </c>
    </row>
    <row r="4" spans="1:4" x14ac:dyDescent="0.35">
      <c r="B4" s="36" t="s">
        <v>367</v>
      </c>
      <c r="C4" s="84">
        <v>100000</v>
      </c>
      <c r="D4" s="36" t="s">
        <v>369</v>
      </c>
    </row>
    <row r="5" spans="1:4" x14ac:dyDescent="0.35">
      <c r="B5" s="36" t="s">
        <v>368</v>
      </c>
      <c r="C5" s="85">
        <v>70000</v>
      </c>
      <c r="D5" s="36" t="s">
        <v>369</v>
      </c>
    </row>
    <row r="6" spans="1:4" x14ac:dyDescent="0.35">
      <c r="B6" s="36" t="s">
        <v>370</v>
      </c>
      <c r="C6" s="79">
        <v>0.85</v>
      </c>
    </row>
    <row r="7" spans="1:4" x14ac:dyDescent="0.35">
      <c r="B7" s="36" t="s">
        <v>373</v>
      </c>
      <c r="C7">
        <v>1880</v>
      </c>
    </row>
    <row r="8" spans="1:4" x14ac:dyDescent="0.35">
      <c r="B8" s="36" t="s">
        <v>435</v>
      </c>
      <c r="C8">
        <f>questionnaire!H6</f>
        <v>100</v>
      </c>
    </row>
    <row r="9" spans="1:4" x14ac:dyDescent="0.35">
      <c r="B9" s="36" t="s">
        <v>436</v>
      </c>
      <c r="C9">
        <f>questionnaire!H9</f>
        <v>10</v>
      </c>
    </row>
    <row r="10" spans="1:4" x14ac:dyDescent="0.35">
      <c r="B10" s="36" t="s">
        <v>442</v>
      </c>
      <c r="C10">
        <f>12300/5+12300*0.15</f>
        <v>4305</v>
      </c>
    </row>
    <row r="11" spans="1:4" x14ac:dyDescent="0.35">
      <c r="B11" s="36" t="s">
        <v>448</v>
      </c>
      <c r="C11" s="84">
        <v>200000</v>
      </c>
    </row>
    <row r="12" spans="1:4" x14ac:dyDescent="0.35">
      <c r="B12" s="36" t="s">
        <v>319</v>
      </c>
    </row>
    <row r="13" spans="1:4" ht="15.5" x14ac:dyDescent="0.35">
      <c r="A13" s="73">
        <v>1</v>
      </c>
      <c r="B13" s="98" t="s">
        <v>305</v>
      </c>
    </row>
    <row r="14" spans="1:4" ht="15.5" x14ac:dyDescent="0.35">
      <c r="A14" s="73" t="s">
        <v>320</v>
      </c>
      <c r="B14" s="36" t="s">
        <v>347</v>
      </c>
    </row>
    <row r="15" spans="1:4" ht="15.5" x14ac:dyDescent="0.35">
      <c r="A15" s="73"/>
    </row>
    <row r="16" spans="1:4" ht="15.5" x14ac:dyDescent="0.35">
      <c r="A16" s="73" t="s">
        <v>321</v>
      </c>
      <c r="B16" s="36" t="s">
        <v>322</v>
      </c>
      <c r="D16" s="42">
        <v>0.67</v>
      </c>
    </row>
    <row r="17" spans="1:4" ht="15.5" x14ac:dyDescent="0.35">
      <c r="A17" s="73"/>
      <c r="B17" s="54" t="s">
        <v>262</v>
      </c>
    </row>
    <row r="18" spans="1:4" ht="15.5" x14ac:dyDescent="0.35">
      <c r="A18" s="73"/>
      <c r="B18" s="91" t="s">
        <v>264</v>
      </c>
      <c r="C18">
        <f>questionnaire!H44</f>
        <v>0</v>
      </c>
    </row>
    <row r="19" spans="1:4" ht="15.5" x14ac:dyDescent="0.35">
      <c r="A19" s="73"/>
      <c r="B19" s="91" t="s">
        <v>265</v>
      </c>
      <c r="C19">
        <f>questionnaire!H45</f>
        <v>1</v>
      </c>
    </row>
    <row r="20" spans="1:4" ht="15.5" x14ac:dyDescent="0.35">
      <c r="A20" s="73"/>
      <c r="B20" s="92" t="s">
        <v>266</v>
      </c>
      <c r="C20" s="79">
        <f>questionnaire!H48</f>
        <v>0</v>
      </c>
    </row>
    <row r="21" spans="1:4" ht="15.5" x14ac:dyDescent="0.35">
      <c r="A21" s="73"/>
      <c r="B21" s="54" t="s">
        <v>261</v>
      </c>
      <c r="C21">
        <f>questionnaire!H50</f>
        <v>500</v>
      </c>
    </row>
    <row r="22" spans="1:4" ht="15.5" x14ac:dyDescent="0.35">
      <c r="A22" s="73"/>
      <c r="B22" s="36" t="s">
        <v>378</v>
      </c>
      <c r="C22">
        <v>36</v>
      </c>
      <c r="D22" s="36" t="s">
        <v>372</v>
      </c>
    </row>
    <row r="23" spans="1:4" ht="15.5" x14ac:dyDescent="0.35">
      <c r="A23" s="73"/>
      <c r="B23" s="36" t="s">
        <v>371</v>
      </c>
      <c r="C23">
        <v>4</v>
      </c>
      <c r="D23" s="36" t="s">
        <v>372</v>
      </c>
    </row>
    <row r="24" spans="1:4" ht="15.5" x14ac:dyDescent="0.35">
      <c r="A24" s="73"/>
      <c r="B24" s="36" t="s">
        <v>375</v>
      </c>
      <c r="C24" s="84">
        <f>(C22*C23*2*C4/C7)*(1-C20/4)</f>
        <v>15319.148936170213</v>
      </c>
    </row>
    <row r="25" spans="1:4" ht="15.5" x14ac:dyDescent="0.35">
      <c r="A25" s="73"/>
      <c r="B25" s="36" t="s">
        <v>374</v>
      </c>
      <c r="C25" s="79">
        <v>0.67</v>
      </c>
    </row>
    <row r="26" spans="1:4" ht="15.5" x14ac:dyDescent="0.35">
      <c r="A26" s="73"/>
      <c r="B26" s="36" t="s">
        <v>376</v>
      </c>
      <c r="C26" s="84">
        <f>C24*(1-C25)</f>
        <v>5055.3191489361698</v>
      </c>
    </row>
    <row r="27" spans="1:4" ht="15.5" x14ac:dyDescent="0.35">
      <c r="A27" s="73"/>
      <c r="B27" s="96" t="s">
        <v>377</v>
      </c>
      <c r="C27" s="84">
        <f>ROUND(C24-C26,0)</f>
        <v>10264</v>
      </c>
    </row>
    <row r="28" spans="1:4" ht="15.5" x14ac:dyDescent="0.35">
      <c r="A28" s="73"/>
      <c r="C28" s="84"/>
    </row>
    <row r="29" spans="1:4" ht="15.5" x14ac:dyDescent="0.35">
      <c r="A29" s="73"/>
      <c r="B29" s="36" t="s">
        <v>379</v>
      </c>
      <c r="C29" s="79">
        <v>0.16</v>
      </c>
    </row>
    <row r="30" spans="1:4" ht="15.5" x14ac:dyDescent="0.35">
      <c r="A30" s="73"/>
      <c r="B30" s="36" t="s">
        <v>327</v>
      </c>
      <c r="C30" s="84">
        <v>70000</v>
      </c>
    </row>
    <row r="31" spans="1:4" ht="15.5" x14ac:dyDescent="0.35">
      <c r="A31" s="73"/>
      <c r="B31" s="36" t="s">
        <v>380</v>
      </c>
      <c r="C31" s="86">
        <f>C22*C29*C30</f>
        <v>403200</v>
      </c>
    </row>
    <row r="32" spans="1:4" ht="15.5" x14ac:dyDescent="0.35">
      <c r="A32" s="73"/>
      <c r="B32" s="36" t="s">
        <v>381</v>
      </c>
      <c r="C32" s="84">
        <f>C31*(1-C25)</f>
        <v>133055.99999999997</v>
      </c>
    </row>
    <row r="33" spans="1:3" ht="15.5" x14ac:dyDescent="0.35">
      <c r="A33" s="73"/>
      <c r="B33" s="96" t="s">
        <v>382</v>
      </c>
      <c r="C33" s="84">
        <f>ROUND(C31-C32,0)</f>
        <v>270144</v>
      </c>
    </row>
    <row r="34" spans="1:3" ht="15.5" x14ac:dyDescent="0.35">
      <c r="A34" s="73"/>
      <c r="B34" s="36" t="s">
        <v>309</v>
      </c>
    </row>
    <row r="35" spans="1:3" ht="15.5" x14ac:dyDescent="0.35">
      <c r="A35" s="73"/>
    </row>
    <row r="36" spans="1:3" ht="15.5" x14ac:dyDescent="0.35">
      <c r="A36" s="73"/>
    </row>
    <row r="37" spans="1:3" ht="15.5" x14ac:dyDescent="0.35">
      <c r="A37" s="73"/>
    </row>
    <row r="38" spans="1:3" ht="15.5" x14ac:dyDescent="0.35">
      <c r="A38" s="73">
        <v>2</v>
      </c>
      <c r="B38" s="98" t="s">
        <v>313</v>
      </c>
    </row>
    <row r="39" spans="1:3" ht="15.5" x14ac:dyDescent="0.35">
      <c r="A39" s="73"/>
      <c r="B39" s="36" t="s">
        <v>333</v>
      </c>
      <c r="C39">
        <v>0.45</v>
      </c>
    </row>
    <row r="40" spans="1:3" ht="15.5" x14ac:dyDescent="0.35">
      <c r="A40" s="73"/>
      <c r="B40" s="36" t="s">
        <v>311</v>
      </c>
      <c r="C40">
        <v>0.23</v>
      </c>
    </row>
    <row r="41" spans="1:3" ht="15.5" x14ac:dyDescent="0.35">
      <c r="A41" s="73"/>
    </row>
    <row r="42" spans="1:3" ht="15.5" x14ac:dyDescent="0.35">
      <c r="A42" s="73"/>
      <c r="B42" s="54" t="s">
        <v>302</v>
      </c>
      <c r="C42" s="1">
        <f>questionnaire!H122</f>
        <v>500</v>
      </c>
    </row>
    <row r="43" spans="1:3" ht="28.5" x14ac:dyDescent="0.35">
      <c r="A43" s="73"/>
      <c r="B43" s="57" t="s">
        <v>300</v>
      </c>
      <c r="C43" s="79">
        <f>questionnaire!H125</f>
        <v>0</v>
      </c>
    </row>
    <row r="44" spans="1:3" ht="15.5" x14ac:dyDescent="0.35">
      <c r="A44" s="73"/>
      <c r="B44" s="54" t="s">
        <v>301</v>
      </c>
      <c r="C44" s="88">
        <f>questionnaire!H129</f>
        <v>500</v>
      </c>
    </row>
    <row r="45" spans="1:3" ht="15.5" x14ac:dyDescent="0.35">
      <c r="A45" s="73"/>
      <c r="B45" s="54" t="s">
        <v>304</v>
      </c>
      <c r="C45" s="88">
        <f>questionnaire!H132</f>
        <v>5</v>
      </c>
    </row>
    <row r="46" spans="1:3" ht="15.5" x14ac:dyDescent="0.35">
      <c r="A46" s="73"/>
    </row>
    <row r="47" spans="1:3" ht="15.5" x14ac:dyDescent="0.35">
      <c r="A47" s="73"/>
      <c r="B47" s="36" t="s">
        <v>383</v>
      </c>
      <c r="C47" s="84">
        <f>C45*C4</f>
        <v>500000</v>
      </c>
    </row>
    <row r="48" spans="1:3" ht="15.5" x14ac:dyDescent="0.35">
      <c r="A48" s="73"/>
      <c r="B48" s="36" t="s">
        <v>331</v>
      </c>
      <c r="C48" s="127"/>
    </row>
    <row r="49" spans="1:4" ht="15.5" x14ac:dyDescent="0.35">
      <c r="A49" s="73"/>
      <c r="B49" s="93" t="s">
        <v>418</v>
      </c>
      <c r="C49" s="127"/>
    </row>
    <row r="50" spans="1:4" ht="15.5" x14ac:dyDescent="0.35">
      <c r="A50" s="73"/>
      <c r="B50" s="36" t="s">
        <v>421</v>
      </c>
      <c r="C50" s="95">
        <v>2059</v>
      </c>
      <c r="D50" s="36" t="s">
        <v>424</v>
      </c>
    </row>
    <row r="51" spans="1:4" ht="15.5" x14ac:dyDescent="0.35">
      <c r="A51" s="73"/>
      <c r="B51" s="36" t="s">
        <v>422</v>
      </c>
      <c r="C51" s="95">
        <f>C50*(1-C39)</f>
        <v>1132.45</v>
      </c>
      <c r="D51" s="36" t="s">
        <v>423</v>
      </c>
    </row>
    <row r="52" spans="1:4" ht="15.5" x14ac:dyDescent="0.35">
      <c r="A52" s="73"/>
      <c r="B52" s="36" t="s">
        <v>332</v>
      </c>
      <c r="C52" s="86">
        <f>ROUND(((C$42-C$42*C$43)*C$50)+(C$42*C$43*C$51),0)</f>
        <v>1029500</v>
      </c>
    </row>
    <row r="53" spans="1:4" ht="15.5" x14ac:dyDescent="0.35">
      <c r="A53" s="73"/>
      <c r="B53" s="36" t="s">
        <v>331</v>
      </c>
      <c r="C53" s="86">
        <f>ROUND(((C$42-C$42*C$43-C44)*C$50)+((C$42*C$43+C44)*C$51),0)</f>
        <v>566225</v>
      </c>
      <c r="D53" s="42"/>
    </row>
    <row r="54" spans="1:4" ht="15.5" x14ac:dyDescent="0.35">
      <c r="A54" s="73"/>
      <c r="B54" s="96" t="s">
        <v>419</v>
      </c>
      <c r="C54" s="84">
        <f>ROUND(C52-C53,0)</f>
        <v>463275</v>
      </c>
    </row>
    <row r="55" spans="1:4" ht="15.5" x14ac:dyDescent="0.35">
      <c r="A55" s="73"/>
    </row>
    <row r="56" spans="1:4" ht="15.5" x14ac:dyDescent="0.35">
      <c r="A56" s="73"/>
      <c r="B56" s="36" t="s">
        <v>420</v>
      </c>
    </row>
    <row r="57" spans="1:4" ht="15.5" x14ac:dyDescent="0.35">
      <c r="A57" s="73"/>
      <c r="B57" s="36" t="s">
        <v>430</v>
      </c>
      <c r="C57">
        <v>0.15</v>
      </c>
      <c r="D57" s="36" t="s">
        <v>426</v>
      </c>
    </row>
    <row r="58" spans="1:4" ht="15.5" x14ac:dyDescent="0.35">
      <c r="A58" s="73"/>
      <c r="B58" s="36" t="s">
        <v>425</v>
      </c>
      <c r="C58">
        <v>0.18</v>
      </c>
      <c r="D58" s="36" t="s">
        <v>431</v>
      </c>
    </row>
    <row r="59" spans="1:4" ht="15.5" x14ac:dyDescent="0.35">
      <c r="A59" s="73"/>
      <c r="B59" s="36" t="s">
        <v>432</v>
      </c>
      <c r="C59" s="84">
        <v>300000</v>
      </c>
      <c r="D59" s="36" t="s">
        <v>414</v>
      </c>
    </row>
    <row r="60" spans="1:4" ht="15.5" x14ac:dyDescent="0.35">
      <c r="A60" s="73"/>
      <c r="B60" s="36" t="s">
        <v>427</v>
      </c>
      <c r="C60" s="86">
        <f>C59*C58*C57*C42</f>
        <v>4050000</v>
      </c>
    </row>
    <row r="61" spans="1:4" ht="15.5" x14ac:dyDescent="0.35">
      <c r="A61" s="73"/>
      <c r="B61" s="36" t="s">
        <v>428</v>
      </c>
      <c r="C61" s="84">
        <f>C60*(1-C40)</f>
        <v>3118500</v>
      </c>
    </row>
    <row r="62" spans="1:4" ht="15.5" x14ac:dyDescent="0.35">
      <c r="A62" s="73"/>
      <c r="B62" s="96" t="s">
        <v>429</v>
      </c>
      <c r="C62" s="84">
        <f>ROUND(C60-C61,0)</f>
        <v>931500</v>
      </c>
    </row>
    <row r="63" spans="1:4" ht="15.5" x14ac:dyDescent="0.35">
      <c r="A63" s="73"/>
    </row>
    <row r="64" spans="1:4" ht="15.5" x14ac:dyDescent="0.35">
      <c r="A64" s="73">
        <v>3</v>
      </c>
      <c r="B64" s="101" t="s">
        <v>253</v>
      </c>
    </row>
    <row r="65" spans="1:5" ht="15.5" x14ac:dyDescent="0.35">
      <c r="A65" s="73"/>
      <c r="B65" s="59" t="s">
        <v>433</v>
      </c>
    </row>
    <row r="66" spans="1:5" ht="15.5" x14ac:dyDescent="0.35">
      <c r="A66" s="73"/>
      <c r="B66" s="59" t="s">
        <v>434</v>
      </c>
    </row>
    <row r="67" spans="1:5" ht="16.5" x14ac:dyDescent="0.35">
      <c r="A67" s="73"/>
      <c r="B67" s="81" t="s">
        <v>352</v>
      </c>
      <c r="E67" s="99" t="s">
        <v>285</v>
      </c>
    </row>
    <row r="68" spans="1:5" ht="15.5" x14ac:dyDescent="0.35">
      <c r="A68" s="73"/>
      <c r="B68" s="36" t="s">
        <v>334</v>
      </c>
      <c r="C68" s="79">
        <v>0.45</v>
      </c>
    </row>
    <row r="69" spans="1:5" ht="15.5" x14ac:dyDescent="0.35">
      <c r="A69" s="73"/>
      <c r="B69" s="54" t="s">
        <v>385</v>
      </c>
      <c r="C69">
        <f>questionnaire!H57</f>
        <v>5000</v>
      </c>
    </row>
    <row r="70" spans="1:5" ht="15.5" x14ac:dyDescent="0.35">
      <c r="A70" s="73"/>
      <c r="B70" s="54" t="s">
        <v>276</v>
      </c>
      <c r="C70">
        <f>questionnaire!H60</f>
        <v>700</v>
      </c>
    </row>
    <row r="71" spans="1:5" ht="15.5" x14ac:dyDescent="0.35">
      <c r="A71" s="73"/>
      <c r="B71" s="54" t="s">
        <v>384</v>
      </c>
      <c r="C71">
        <f>questionnaire!H63</f>
        <v>14</v>
      </c>
    </row>
    <row r="72" spans="1:5" ht="15.5" x14ac:dyDescent="0.35">
      <c r="A72" s="73"/>
      <c r="B72" s="36" t="s">
        <v>335</v>
      </c>
    </row>
    <row r="73" spans="1:5" ht="15.5" x14ac:dyDescent="0.35">
      <c r="A73" s="73"/>
      <c r="B73" s="36" t="s">
        <v>336</v>
      </c>
      <c r="C73" s="84">
        <f>12300/5+15%*12300*C70</f>
        <v>1293960</v>
      </c>
      <c r="D73" s="36" t="s">
        <v>407</v>
      </c>
    </row>
    <row r="74" spans="1:5" ht="15.5" x14ac:dyDescent="0.35">
      <c r="A74" s="73"/>
      <c r="B74" s="36" t="s">
        <v>337</v>
      </c>
      <c r="C74" s="86">
        <f>C71*C4</f>
        <v>1400000</v>
      </c>
    </row>
    <row r="75" spans="1:5" ht="15.5" x14ac:dyDescent="0.35">
      <c r="A75" s="73"/>
      <c r="B75" s="89" t="s">
        <v>394</v>
      </c>
      <c r="C75">
        <v>3.9</v>
      </c>
      <c r="D75" s="36" t="s">
        <v>443</v>
      </c>
    </row>
    <row r="76" spans="1:5" ht="15.5" x14ac:dyDescent="0.35">
      <c r="A76" s="73"/>
      <c r="B76" s="36" t="s">
        <v>325</v>
      </c>
      <c r="C76" s="87">
        <v>3.8</v>
      </c>
      <c r="D76" s="36" t="s">
        <v>443</v>
      </c>
    </row>
    <row r="77" spans="1:5" ht="15.5" x14ac:dyDescent="0.35">
      <c r="A77" s="73"/>
      <c r="B77" s="36" t="s">
        <v>338</v>
      </c>
      <c r="C77" s="84">
        <f>C75*C76*0.5*0.5*C69*C5/C7</f>
        <v>689760.63829787227</v>
      </c>
      <c r="D77" s="84"/>
    </row>
    <row r="78" spans="1:5" ht="15.5" x14ac:dyDescent="0.35">
      <c r="A78" s="73"/>
      <c r="B78" s="36" t="s">
        <v>444</v>
      </c>
      <c r="C78" s="125">
        <f>C73+C74+C77</f>
        <v>3383720.6382978722</v>
      </c>
    </row>
    <row r="79" spans="1:5" ht="15.5" x14ac:dyDescent="0.35">
      <c r="A79" s="73"/>
      <c r="B79" s="36" t="s">
        <v>445</v>
      </c>
      <c r="C79" s="84">
        <f>C78*(1-C68)</f>
        <v>1861046.3510638298</v>
      </c>
    </row>
    <row r="80" spans="1:5" ht="15.5" x14ac:dyDescent="0.35">
      <c r="A80" s="73"/>
      <c r="B80" s="96" t="s">
        <v>437</v>
      </c>
      <c r="C80" s="84">
        <f>ROUND(C78-C79,0)</f>
        <v>1522674</v>
      </c>
    </row>
    <row r="81" spans="1:4" ht="15.5" x14ac:dyDescent="0.35">
      <c r="A81" s="73"/>
      <c r="B81" s="100" t="s">
        <v>438</v>
      </c>
    </row>
    <row r="82" spans="1:4" ht="15.5" x14ac:dyDescent="0.35">
      <c r="A82" s="73"/>
      <c r="B82" s="36" t="s">
        <v>446</v>
      </c>
      <c r="C82" s="86">
        <f>C69*C11</f>
        <v>1000000000</v>
      </c>
    </row>
    <row r="83" spans="1:4" ht="15.5" x14ac:dyDescent="0.35">
      <c r="A83" s="73"/>
      <c r="B83" s="36" t="s">
        <v>449</v>
      </c>
      <c r="C83" s="79">
        <v>0.01</v>
      </c>
      <c r="D83" s="36" t="s">
        <v>414</v>
      </c>
    </row>
    <row r="84" spans="1:4" ht="15.5" x14ac:dyDescent="0.35">
      <c r="A84" s="73"/>
      <c r="B84" s="96" t="s">
        <v>447</v>
      </c>
      <c r="C84" s="86">
        <f>C83*C82</f>
        <v>10000000</v>
      </c>
    </row>
    <row r="85" spans="1:4" ht="15.5" x14ac:dyDescent="0.35">
      <c r="A85" s="73"/>
      <c r="B85" s="96"/>
    </row>
    <row r="86" spans="1:4" ht="15.5" x14ac:dyDescent="0.35">
      <c r="A86" s="73"/>
    </row>
    <row r="87" spans="1:4" ht="15.5" x14ac:dyDescent="0.35">
      <c r="A87" s="73">
        <v>4</v>
      </c>
      <c r="B87" s="98" t="s">
        <v>254</v>
      </c>
    </row>
    <row r="88" spans="1:4" ht="15.5" x14ac:dyDescent="0.35">
      <c r="A88" s="73"/>
      <c r="B88" s="36" t="s">
        <v>314</v>
      </c>
      <c r="C88" s="79">
        <v>0.42</v>
      </c>
      <c r="D88" s="90" t="s">
        <v>393</v>
      </c>
    </row>
    <row r="89" spans="1:4" ht="15.5" x14ac:dyDescent="0.35">
      <c r="A89" s="73"/>
      <c r="B89" s="36" t="s">
        <v>387</v>
      </c>
      <c r="C89" s="79">
        <v>0.65</v>
      </c>
      <c r="D89" s="90" t="s">
        <v>393</v>
      </c>
    </row>
    <row r="90" spans="1:4" ht="15.5" x14ac:dyDescent="0.35">
      <c r="A90" s="73"/>
      <c r="B90" s="54" t="s">
        <v>273</v>
      </c>
      <c r="C90">
        <f>questionnaire!H68</f>
        <v>5</v>
      </c>
      <c r="D90" s="90"/>
    </row>
    <row r="91" spans="1:4" ht="15.5" x14ac:dyDescent="0.35">
      <c r="A91" s="73"/>
      <c r="B91" s="54" t="s">
        <v>274</v>
      </c>
      <c r="C91">
        <f>questionnaire!H71</f>
        <v>3</v>
      </c>
    </row>
    <row r="92" spans="1:4" ht="15.5" x14ac:dyDescent="0.35">
      <c r="A92" s="73"/>
      <c r="B92" s="54" t="s">
        <v>277</v>
      </c>
      <c r="C92">
        <f>questionnaire!H74</f>
        <v>700</v>
      </c>
    </row>
    <row r="93" spans="1:4" ht="15.5" x14ac:dyDescent="0.35">
      <c r="A93" s="73"/>
      <c r="B93" s="89" t="s">
        <v>390</v>
      </c>
      <c r="C93">
        <f>ROUND(1/54,3)</f>
        <v>1.9E-2</v>
      </c>
      <c r="D93" s="90" t="s">
        <v>393</v>
      </c>
    </row>
    <row r="94" spans="1:4" ht="15.5" x14ac:dyDescent="0.35">
      <c r="A94" s="73"/>
      <c r="B94" s="89" t="s">
        <v>388</v>
      </c>
      <c r="C94" s="86">
        <f>C93*C4*C92</f>
        <v>1330000</v>
      </c>
    </row>
    <row r="95" spans="1:4" ht="15.5" x14ac:dyDescent="0.35">
      <c r="A95" s="73"/>
      <c r="B95" s="89" t="s">
        <v>391</v>
      </c>
      <c r="C95" s="48">
        <f>(IF(C$90&gt;="6",60%,IF(C$90="4",30%,IF(C$90="3",10%,42%))))</f>
        <v>0.42</v>
      </c>
    </row>
    <row r="96" spans="1:4" ht="15.5" x14ac:dyDescent="0.35">
      <c r="A96" s="73"/>
      <c r="B96" s="89" t="s">
        <v>389</v>
      </c>
      <c r="C96" s="84">
        <f>C94*(1-C95)</f>
        <v>771400.00000000012</v>
      </c>
    </row>
    <row r="97" spans="1:4" ht="15.5" x14ac:dyDescent="0.35">
      <c r="A97" s="73"/>
      <c r="B97" s="94" t="s">
        <v>392</v>
      </c>
      <c r="C97" s="86">
        <f>C94-C96</f>
        <v>558599.99999999988</v>
      </c>
    </row>
    <row r="98" spans="1:4" ht="15.5" x14ac:dyDescent="0.35">
      <c r="A98" s="73"/>
      <c r="B98" s="89"/>
    </row>
    <row r="99" spans="1:4" ht="15.5" x14ac:dyDescent="0.35">
      <c r="A99" s="73"/>
      <c r="B99" s="89" t="s">
        <v>394</v>
      </c>
      <c r="C99">
        <v>8.5</v>
      </c>
      <c r="D99" s="90" t="s">
        <v>393</v>
      </c>
    </row>
    <row r="100" spans="1:4" ht="15.5" x14ac:dyDescent="0.35">
      <c r="A100" s="73"/>
      <c r="B100" s="89" t="s">
        <v>395</v>
      </c>
      <c r="C100">
        <v>4</v>
      </c>
      <c r="D100" s="90" t="s">
        <v>393</v>
      </c>
    </row>
    <row r="101" spans="1:4" ht="15.5" x14ac:dyDescent="0.35">
      <c r="A101" s="73"/>
      <c r="B101" s="89" t="s">
        <v>396</v>
      </c>
      <c r="C101">
        <v>0.25</v>
      </c>
      <c r="D101" s="90" t="s">
        <v>393</v>
      </c>
    </row>
    <row r="102" spans="1:4" ht="15.5" x14ac:dyDescent="0.35">
      <c r="A102" s="73"/>
      <c r="B102" s="89" t="s">
        <v>397</v>
      </c>
      <c r="C102">
        <v>0.6</v>
      </c>
      <c r="D102" s="90" t="s">
        <v>393</v>
      </c>
    </row>
    <row r="103" spans="1:4" ht="15.5" x14ac:dyDescent="0.35">
      <c r="A103" s="73"/>
      <c r="B103" s="89" t="s">
        <v>398</v>
      </c>
      <c r="C103" s="85">
        <f>ROUND(C3*C6*C99*C100*C101*C102*C5/1880,2)</f>
        <v>807047.87</v>
      </c>
    </row>
    <row r="104" spans="1:4" ht="15.5" x14ac:dyDescent="0.35">
      <c r="A104" s="73"/>
      <c r="B104" s="89" t="s">
        <v>400</v>
      </c>
      <c r="C104" s="48">
        <f>(IF(C$90&gt;="6",90%,IF(C$90="4",50%,IF(C$90="3",25%,65%))))</f>
        <v>0.65</v>
      </c>
    </row>
    <row r="105" spans="1:4" ht="15.5" x14ac:dyDescent="0.35">
      <c r="A105" s="73"/>
      <c r="B105" s="89" t="s">
        <v>399</v>
      </c>
      <c r="C105" s="84">
        <f>ROUND(C103*(1-C104),2)</f>
        <v>282466.75</v>
      </c>
    </row>
    <row r="106" spans="1:4" ht="15.5" x14ac:dyDescent="0.35">
      <c r="A106" s="73"/>
      <c r="B106" s="94" t="s">
        <v>401</v>
      </c>
      <c r="C106" s="85">
        <f>C103-C105</f>
        <v>524581.12</v>
      </c>
    </row>
    <row r="107" spans="1:4" ht="15.5" x14ac:dyDescent="0.35">
      <c r="A107" s="73"/>
      <c r="B107" s="60"/>
    </row>
    <row r="108" spans="1:4" ht="15.5" x14ac:dyDescent="0.35">
      <c r="A108" s="73">
        <v>5</v>
      </c>
      <c r="B108" s="97" t="s">
        <v>386</v>
      </c>
    </row>
    <row r="109" spans="1:4" ht="15.5" x14ac:dyDescent="0.35">
      <c r="A109" s="73"/>
      <c r="B109" s="90" t="s">
        <v>343</v>
      </c>
    </row>
    <row r="110" spans="1:4" ht="15.5" x14ac:dyDescent="0.35">
      <c r="A110" s="73"/>
      <c r="B110" s="90" t="s">
        <v>402</v>
      </c>
      <c r="C110" s="79">
        <v>0.77</v>
      </c>
    </row>
    <row r="111" spans="1:4" ht="15.5" x14ac:dyDescent="0.35">
      <c r="A111" s="73"/>
      <c r="B111" s="90" t="s">
        <v>403</v>
      </c>
      <c r="C111" s="79">
        <v>0.28000000000000003</v>
      </c>
    </row>
    <row r="112" spans="1:4" ht="28.5" x14ac:dyDescent="0.35">
      <c r="A112" s="73"/>
      <c r="B112" s="50" t="s">
        <v>404</v>
      </c>
      <c r="C112" s="79">
        <f>questionnaire!H114</f>
        <v>0.75</v>
      </c>
    </row>
    <row r="113" spans="1:4" ht="15.5" x14ac:dyDescent="0.35">
      <c r="A113" s="73"/>
      <c r="B113" s="60" t="s">
        <v>275</v>
      </c>
    </row>
    <row r="114" spans="1:4" ht="15.5" x14ac:dyDescent="0.35">
      <c r="A114" s="73"/>
      <c r="B114" s="50"/>
    </row>
    <row r="115" spans="1:4" ht="15.5" x14ac:dyDescent="0.35">
      <c r="A115" s="73"/>
      <c r="B115" s="36" t="s">
        <v>405</v>
      </c>
      <c r="C115">
        <f>questionnaire!H117</f>
        <v>536</v>
      </c>
    </row>
    <row r="116" spans="1:4" ht="15.5" x14ac:dyDescent="0.35">
      <c r="A116" s="73"/>
      <c r="B116" s="60"/>
    </row>
    <row r="117" spans="1:4" ht="15.5" x14ac:dyDescent="0.35">
      <c r="A117" s="73"/>
      <c r="B117" s="89" t="s">
        <v>394</v>
      </c>
      <c r="C117">
        <v>3.9</v>
      </c>
      <c r="D117" s="36" t="s">
        <v>443</v>
      </c>
    </row>
    <row r="118" spans="1:4" ht="15.5" x14ac:dyDescent="0.35">
      <c r="A118" s="73"/>
      <c r="B118" s="36" t="s">
        <v>406</v>
      </c>
      <c r="C118" s="84">
        <v>300000</v>
      </c>
      <c r="D118" s="36" t="s">
        <v>414</v>
      </c>
    </row>
    <row r="119" spans="1:4" ht="15.5" x14ac:dyDescent="0.35">
      <c r="A119" s="73"/>
      <c r="B119" s="36" t="s">
        <v>415</v>
      </c>
      <c r="C119" s="86">
        <f>C117*C118</f>
        <v>1170000</v>
      </c>
    </row>
    <row r="120" spans="1:4" ht="15.5" x14ac:dyDescent="0.35">
      <c r="A120" s="73"/>
      <c r="B120" s="93" t="s">
        <v>413</v>
      </c>
      <c r="C120" s="48">
        <f>C110</f>
        <v>0.77</v>
      </c>
    </row>
    <row r="121" spans="1:4" ht="15.5" x14ac:dyDescent="0.35">
      <c r="A121" s="73"/>
      <c r="B121" s="36" t="s">
        <v>416</v>
      </c>
      <c r="C121" s="84">
        <f>C119*(1-C120)</f>
        <v>269100</v>
      </c>
    </row>
    <row r="122" spans="1:4" ht="15.5" x14ac:dyDescent="0.35">
      <c r="A122" s="73"/>
      <c r="B122" s="96" t="s">
        <v>417</v>
      </c>
      <c r="C122" s="86">
        <f>C119-C121</f>
        <v>900900</v>
      </c>
    </row>
    <row r="123" spans="1:4" ht="15.5" x14ac:dyDescent="0.35">
      <c r="A123" s="73"/>
    </row>
    <row r="124" spans="1:4" ht="15.5" x14ac:dyDescent="0.35">
      <c r="A124" s="73"/>
      <c r="B124" s="36" t="s">
        <v>408</v>
      </c>
      <c r="C124" s="84">
        <f>12300/5+15%*12300</f>
        <v>4305</v>
      </c>
      <c r="D124" s="36" t="s">
        <v>407</v>
      </c>
    </row>
    <row r="125" spans="1:4" ht="15.5" x14ac:dyDescent="0.35">
      <c r="A125" s="73"/>
      <c r="B125" s="36" t="s">
        <v>409</v>
      </c>
      <c r="C125" s="87">
        <v>1.75</v>
      </c>
    </row>
    <row r="126" spans="1:4" ht="15.5" x14ac:dyDescent="0.35">
      <c r="A126" s="73"/>
      <c r="B126" s="36" t="s">
        <v>410</v>
      </c>
      <c r="C126" s="84">
        <f>C124*C125</f>
        <v>7533.75</v>
      </c>
    </row>
    <row r="127" spans="1:4" ht="15.5" x14ac:dyDescent="0.35">
      <c r="A127" s="73"/>
      <c r="B127" s="36" t="s">
        <v>413</v>
      </c>
      <c r="C127" s="79">
        <f>C111</f>
        <v>0.28000000000000003</v>
      </c>
    </row>
    <row r="128" spans="1:4" ht="15.5" x14ac:dyDescent="0.35">
      <c r="A128" s="73"/>
      <c r="B128" s="36" t="s">
        <v>411</v>
      </c>
      <c r="C128" s="84">
        <f>C126*(1-C127)</f>
        <v>5424.3</v>
      </c>
    </row>
    <row r="129" spans="1:4" ht="15.5" x14ac:dyDescent="0.35">
      <c r="A129" s="73"/>
      <c r="B129" s="96" t="s">
        <v>412</v>
      </c>
      <c r="C129" s="84">
        <f>C126-C128</f>
        <v>2109.4499999999998</v>
      </c>
    </row>
    <row r="130" spans="1:4" ht="15.5" x14ac:dyDescent="0.35">
      <c r="A130" s="73"/>
      <c r="C130" s="84"/>
    </row>
    <row r="131" spans="1:4" ht="15.5" x14ac:dyDescent="0.35">
      <c r="A131" s="73"/>
      <c r="C131" s="84"/>
    </row>
    <row r="132" spans="1:4" ht="15.5" x14ac:dyDescent="0.35">
      <c r="A132" s="73">
        <v>6</v>
      </c>
      <c r="B132" s="59" t="s">
        <v>256</v>
      </c>
    </row>
    <row r="133" spans="1:4" ht="15.5" x14ac:dyDescent="0.35">
      <c r="A133" s="73"/>
      <c r="B133" s="73" t="s">
        <v>439</v>
      </c>
      <c r="C133" s="79">
        <v>0.38</v>
      </c>
    </row>
    <row r="134" spans="1:4" ht="15.5" x14ac:dyDescent="0.35">
      <c r="A134" s="73"/>
      <c r="B134" s="36" t="s">
        <v>312</v>
      </c>
      <c r="C134" s="79">
        <v>0.48</v>
      </c>
    </row>
    <row r="135" spans="1:4" ht="15.5" x14ac:dyDescent="0.35">
      <c r="A135" s="73"/>
      <c r="B135" s="54" t="s">
        <v>283</v>
      </c>
      <c r="C135">
        <f>questionnaire!H87</f>
        <v>4000</v>
      </c>
    </row>
    <row r="136" spans="1:4" ht="15.5" x14ac:dyDescent="0.35">
      <c r="A136" s="73"/>
      <c r="B136" s="102" t="s">
        <v>451</v>
      </c>
      <c r="C136">
        <f>questionnaire!H91</f>
        <v>70</v>
      </c>
    </row>
    <row r="137" spans="1:4" ht="15.5" x14ac:dyDescent="0.35">
      <c r="A137" s="73"/>
      <c r="B137" s="36" t="s">
        <v>450</v>
      </c>
      <c r="C137">
        <v>7.45</v>
      </c>
      <c r="D137" s="36" t="s">
        <v>414</v>
      </c>
    </row>
    <row r="138" spans="1:4" ht="15.5" x14ac:dyDescent="0.35">
      <c r="A138" s="73"/>
      <c r="B138" s="36" t="s">
        <v>456</v>
      </c>
      <c r="C138" s="85">
        <f>C137*8*C135*C5/C7*0.5/5</f>
        <v>887659.57446808519</v>
      </c>
    </row>
    <row r="139" spans="1:4" ht="15.5" x14ac:dyDescent="0.35">
      <c r="A139" s="73"/>
      <c r="B139" s="36" t="s">
        <v>453</v>
      </c>
      <c r="C139" s="84">
        <f>C138*(1-C134)</f>
        <v>461582.97872340429</v>
      </c>
    </row>
    <row r="140" spans="1:4" ht="15.5" x14ac:dyDescent="0.35">
      <c r="A140" s="73"/>
      <c r="B140" s="96" t="s">
        <v>454</v>
      </c>
      <c r="C140" s="85">
        <f>ROUND(C138-C139,0)</f>
        <v>426077</v>
      </c>
    </row>
    <row r="141" spans="1:4" ht="15.5" x14ac:dyDescent="0.35">
      <c r="A141" s="73"/>
      <c r="B141" s="36" t="s">
        <v>457</v>
      </c>
      <c r="C141" s="84">
        <f>C136*C137*8*C4/C7</f>
        <v>221914.89361702127</v>
      </c>
    </row>
    <row r="142" spans="1:4" ht="15.5" x14ac:dyDescent="0.35">
      <c r="A142" s="73"/>
      <c r="B142" s="36" t="s">
        <v>458</v>
      </c>
      <c r="C142" s="84">
        <f>C141*(1-C133)</f>
        <v>137587.23404255317</v>
      </c>
    </row>
    <row r="143" spans="1:4" ht="15.5" x14ac:dyDescent="0.35">
      <c r="A143" s="73"/>
      <c r="B143" s="94" t="s">
        <v>459</v>
      </c>
      <c r="C143" s="86">
        <f>ROUND(C141-C142,0)</f>
        <v>84328</v>
      </c>
    </row>
    <row r="144" spans="1:4" ht="15.5" x14ac:dyDescent="0.35">
      <c r="A144" s="73"/>
    </row>
    <row r="145" spans="1:6" ht="15.5" x14ac:dyDescent="0.35">
      <c r="A145" s="73">
        <v>7</v>
      </c>
      <c r="B145" s="59" t="s">
        <v>257</v>
      </c>
    </row>
    <row r="146" spans="1:6" ht="15.5" x14ac:dyDescent="0.35">
      <c r="A146" s="73"/>
      <c r="B146" s="36" t="s">
        <v>344</v>
      </c>
    </row>
    <row r="147" spans="1:6" ht="15.5" x14ac:dyDescent="0.35">
      <c r="A147" s="73"/>
      <c r="B147" s="36" t="s">
        <v>345</v>
      </c>
    </row>
    <row r="148" spans="1:6" ht="16" thickBot="1" x14ac:dyDescent="0.4">
      <c r="A148" s="73"/>
      <c r="B148" s="36" t="s">
        <v>307</v>
      </c>
      <c r="C148" s="73">
        <v>0.45</v>
      </c>
    </row>
    <row r="149" spans="1:6" ht="17" thickBot="1" x14ac:dyDescent="0.4">
      <c r="A149" s="73"/>
      <c r="B149" s="82" t="s">
        <v>460</v>
      </c>
      <c r="C149" s="65">
        <v>0.35</v>
      </c>
    </row>
    <row r="150" spans="1:6" ht="15.5" x14ac:dyDescent="0.35">
      <c r="A150" s="73"/>
      <c r="B150" s="36" t="s">
        <v>461</v>
      </c>
      <c r="C150" s="59">
        <f>C9</f>
        <v>10</v>
      </c>
    </row>
    <row r="151" spans="1:6" ht="15.5" x14ac:dyDescent="0.35">
      <c r="A151" s="73"/>
      <c r="B151" s="54" t="s">
        <v>291</v>
      </c>
      <c r="C151" s="54">
        <f>questionnaire!H99</f>
        <v>20</v>
      </c>
    </row>
    <row r="152" spans="1:6" x14ac:dyDescent="0.35">
      <c r="B152" s="54" t="s">
        <v>462</v>
      </c>
      <c r="C152" s="54">
        <f>questionnaire!H102</f>
        <v>24</v>
      </c>
    </row>
    <row r="153" spans="1:6" x14ac:dyDescent="0.35">
      <c r="B153" s="54" t="s">
        <v>292</v>
      </c>
      <c r="C153" s="54">
        <f>questionnaire!H105</f>
        <v>12</v>
      </c>
    </row>
    <row r="154" spans="1:6" ht="15.5" x14ac:dyDescent="0.35">
      <c r="A154" s="73"/>
      <c r="B154" s="36" t="s">
        <v>465</v>
      </c>
      <c r="C154" s="86">
        <f>C150*C151*C152*8*C4/C7</f>
        <v>2042553.1914893617</v>
      </c>
    </row>
    <row r="155" spans="1:6" ht="15.5" x14ac:dyDescent="0.35">
      <c r="A155" s="73"/>
      <c r="B155" s="36" t="s">
        <v>466</v>
      </c>
      <c r="C155" s="84">
        <f>C154*(1-C149)</f>
        <v>1327659.5744680851</v>
      </c>
    </row>
    <row r="156" spans="1:6" ht="15.5" x14ac:dyDescent="0.35">
      <c r="A156" s="73"/>
      <c r="B156" s="103" t="s">
        <v>467</v>
      </c>
      <c r="C156" s="86">
        <f>ROUND(C154-C155,0)</f>
        <v>714894</v>
      </c>
    </row>
    <row r="157" spans="1:6" ht="15.5" x14ac:dyDescent="0.35">
      <c r="A157" s="73"/>
      <c r="B157" s="100" t="s">
        <v>438</v>
      </c>
      <c r="D157" s="100" t="s">
        <v>438</v>
      </c>
      <c r="F157" s="36"/>
    </row>
    <row r="158" spans="1:6" ht="15.5" x14ac:dyDescent="0.35">
      <c r="A158" s="73"/>
      <c r="B158" s="36" t="s">
        <v>446</v>
      </c>
      <c r="C158" s="84">
        <f>C3*C11</f>
        <v>1000000000</v>
      </c>
      <c r="E158" s="86"/>
      <c r="F158" s="36"/>
    </row>
    <row r="159" spans="1:6" ht="15.5" x14ac:dyDescent="0.35">
      <c r="A159" s="73"/>
      <c r="B159" s="36" t="s">
        <v>468</v>
      </c>
      <c r="C159" s="79">
        <f>AVERAGE(3.5%,1%)</f>
        <v>2.2500000000000003E-2</v>
      </c>
      <c r="D159" s="36" t="s">
        <v>414</v>
      </c>
      <c r="E159" s="79"/>
      <c r="F159" s="36"/>
    </row>
    <row r="160" spans="1:6" ht="15.5" x14ac:dyDescent="0.35">
      <c r="A160" s="73"/>
      <c r="B160" s="96" t="s">
        <v>447</v>
      </c>
      <c r="C160" s="86">
        <f>C158*C159</f>
        <v>22500000.000000004</v>
      </c>
      <c r="E160" s="86"/>
      <c r="F160" s="36"/>
    </row>
    <row r="161" spans="1:4" ht="15.5" x14ac:dyDescent="0.35">
      <c r="A161" s="73"/>
    </row>
    <row r="162" spans="1:4" ht="15.5" x14ac:dyDescent="0.35">
      <c r="A162" s="73">
        <v>8</v>
      </c>
      <c r="B162" s="54" t="s">
        <v>258</v>
      </c>
    </row>
    <row r="163" spans="1:4" ht="15.5" x14ac:dyDescent="0.35">
      <c r="A163" s="73"/>
      <c r="B163" s="36" t="s">
        <v>315</v>
      </c>
      <c r="C163" s="79">
        <v>0.52</v>
      </c>
    </row>
    <row r="164" spans="1:4" ht="15.5" x14ac:dyDescent="0.35">
      <c r="A164" s="73"/>
      <c r="B164" s="73" t="s">
        <v>441</v>
      </c>
      <c r="C164" s="79">
        <v>0.27</v>
      </c>
    </row>
    <row r="165" spans="1:4" ht="28.5" x14ac:dyDescent="0.35">
      <c r="A165" s="73"/>
      <c r="B165" s="57" t="s">
        <v>293</v>
      </c>
      <c r="C165" s="48">
        <f>questionnaire!H110</f>
        <v>0.5</v>
      </c>
    </row>
    <row r="166" spans="1:4" x14ac:dyDescent="0.35">
      <c r="B166" s="36" t="s">
        <v>471</v>
      </c>
      <c r="C166">
        <f>C165*C8</f>
        <v>50</v>
      </c>
    </row>
    <row r="167" spans="1:4" x14ac:dyDescent="0.35">
      <c r="B167" s="104" t="s">
        <v>470</v>
      </c>
      <c r="C167">
        <v>7.78</v>
      </c>
    </row>
    <row r="168" spans="1:4" x14ac:dyDescent="0.35">
      <c r="B168" s="36" t="s">
        <v>469</v>
      </c>
      <c r="C168" s="84">
        <f>C166*C167*C10</f>
        <v>1674645</v>
      </c>
    </row>
    <row r="169" spans="1:4" x14ac:dyDescent="0.35">
      <c r="B169" s="36" t="s">
        <v>473</v>
      </c>
      <c r="C169" s="105">
        <f>C168*(1-C163)</f>
        <v>803829.6</v>
      </c>
    </row>
    <row r="170" spans="1:4" x14ac:dyDescent="0.35">
      <c r="B170" s="96" t="s">
        <v>472</v>
      </c>
      <c r="C170" s="86">
        <f>ROUND(C168-C169,0)</f>
        <v>870815</v>
      </c>
    </row>
    <row r="171" spans="1:4" x14ac:dyDescent="0.35">
      <c r="B171" s="89" t="s">
        <v>394</v>
      </c>
      <c r="C171">
        <v>3.9</v>
      </c>
      <c r="D171" s="36" t="s">
        <v>443</v>
      </c>
    </row>
    <row r="172" spans="1:4" x14ac:dyDescent="0.35">
      <c r="B172" s="36" t="s">
        <v>325</v>
      </c>
      <c r="C172" s="87">
        <v>3.8</v>
      </c>
      <c r="D172" s="36" t="s">
        <v>443</v>
      </c>
    </row>
    <row r="173" spans="1:4" x14ac:dyDescent="0.35">
      <c r="B173" s="36" t="s">
        <v>474</v>
      </c>
      <c r="C173" s="126">
        <f>C75*C76*0.5*0.5*questionnaire!H22*C5/C7</f>
        <v>689760.63829787227</v>
      </c>
    </row>
    <row r="174" spans="1:4" x14ac:dyDescent="0.35">
      <c r="B174" s="36" t="s">
        <v>475</v>
      </c>
      <c r="C174" s="84">
        <f>C173*(1-C164)</f>
        <v>503525.26595744677</v>
      </c>
    </row>
    <row r="175" spans="1:4" x14ac:dyDescent="0.35">
      <c r="B175" s="96" t="s">
        <v>476</v>
      </c>
      <c r="C175" s="86">
        <f>ROUND(C173-C174,0)</f>
        <v>186235</v>
      </c>
    </row>
    <row r="177" spans="1:3" x14ac:dyDescent="0.35">
      <c r="B177" s="36" t="s">
        <v>479</v>
      </c>
    </row>
    <row r="178" spans="1:3" x14ac:dyDescent="0.35">
      <c r="B178" s="36" t="s">
        <v>480</v>
      </c>
      <c r="C178" s="84">
        <f>ROUND(C54+C129+C170+C73*C68,0)</f>
        <v>1918481</v>
      </c>
    </row>
    <row r="179" spans="1:3" x14ac:dyDescent="0.35">
      <c r="B179" s="36" t="s">
        <v>481</v>
      </c>
      <c r="C179" s="84">
        <f>ROUND(C27+C97+C143+C156+C74*C68,0)</f>
        <v>1998086</v>
      </c>
    </row>
    <row r="180" spans="1:3" x14ac:dyDescent="0.35">
      <c r="B180" s="36" t="s">
        <v>482</v>
      </c>
      <c r="C180" s="84">
        <f>ROUND(C106+C140+C175+C77*C68,0)</f>
        <v>1447285</v>
      </c>
    </row>
    <row r="181" spans="1:3" x14ac:dyDescent="0.35">
      <c r="B181" s="93" t="s">
        <v>485</v>
      </c>
      <c r="C181" s="84">
        <f>C178+C179+C180</f>
        <v>5363852</v>
      </c>
    </row>
    <row r="182" spans="1:3" x14ac:dyDescent="0.35">
      <c r="B182" s="36" t="s">
        <v>483</v>
      </c>
      <c r="C182" s="86">
        <f>C33+C62+C122</f>
        <v>2102544</v>
      </c>
    </row>
    <row r="183" spans="1:3" x14ac:dyDescent="0.35">
      <c r="B183" s="36" t="s">
        <v>484</v>
      </c>
      <c r="C183" s="86">
        <f>C84+C160</f>
        <v>32500000.000000004</v>
      </c>
    </row>
    <row r="184" spans="1:3" x14ac:dyDescent="0.35">
      <c r="B184" s="93" t="s">
        <v>486</v>
      </c>
      <c r="C184" s="86">
        <f>C182+C183</f>
        <v>34602544</v>
      </c>
    </row>
    <row r="185" spans="1:3" x14ac:dyDescent="0.35">
      <c r="B185" s="36" t="s">
        <v>524</v>
      </c>
      <c r="C185" s="79">
        <f>C184/C158</f>
        <v>3.4602543999999999E-2</v>
      </c>
    </row>
    <row r="186" spans="1:3" x14ac:dyDescent="0.35">
      <c r="B186" s="36" t="s">
        <v>527</v>
      </c>
    </row>
    <row r="187" spans="1:3" x14ac:dyDescent="0.35">
      <c r="A187" t="s">
        <v>528</v>
      </c>
      <c r="B187" s="36" t="s">
        <v>529</v>
      </c>
    </row>
    <row r="188" spans="1:3" x14ac:dyDescent="0.35">
      <c r="B188" s="36" t="s">
        <v>530</v>
      </c>
      <c r="C188" s="48">
        <f>(C68+C104+C164)*0.5</f>
        <v>0.68500000000000005</v>
      </c>
    </row>
    <row r="189" spans="1:3" x14ac:dyDescent="0.35">
      <c r="B189" s="36" t="s">
        <v>531</v>
      </c>
      <c r="C189" s="48">
        <f>D16</f>
        <v>0.67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zoomScale="140" zoomScaleNormal="140" workbookViewId="0">
      <selection activeCell="B1" sqref="B1:H1048576"/>
    </sheetView>
  </sheetViews>
  <sheetFormatPr defaultRowHeight="14.5" x14ac:dyDescent="0.35"/>
  <cols>
    <col min="2" max="2" width="59.54296875" style="36" customWidth="1"/>
    <col min="3" max="3" width="16.453125" style="36" customWidth="1"/>
    <col min="4" max="8" width="9.1796875" style="36"/>
  </cols>
  <sheetData>
    <row r="2" spans="2:3" x14ac:dyDescent="0.35">
      <c r="B2" s="54" t="s">
        <v>353</v>
      </c>
    </row>
    <row r="3" spans="2:3" x14ac:dyDescent="0.35">
      <c r="B3" s="36" t="s">
        <v>539</v>
      </c>
    </row>
    <row r="4" spans="2:3" x14ac:dyDescent="0.35">
      <c r="B4" s="36" t="s">
        <v>536</v>
      </c>
      <c r="C4" s="95">
        <f>Calculations!C183</f>
        <v>32500000.000000004</v>
      </c>
    </row>
    <row r="5" spans="2:3" x14ac:dyDescent="0.35">
      <c r="B5" s="36" t="s">
        <v>537</v>
      </c>
      <c r="C5" s="95">
        <f>Calculations!C182</f>
        <v>2102544</v>
      </c>
    </row>
    <row r="8" spans="2:3" x14ac:dyDescent="0.35">
      <c r="B8" s="54" t="s">
        <v>540</v>
      </c>
    </row>
    <row r="9" spans="2:3" x14ac:dyDescent="0.35">
      <c r="B9" s="36" t="s">
        <v>538</v>
      </c>
    </row>
    <row r="11" spans="2:3" x14ac:dyDescent="0.35">
      <c r="B11" s="36" t="s">
        <v>541</v>
      </c>
      <c r="C11" s="95">
        <f>Calculations!C178</f>
        <v>1918481</v>
      </c>
    </row>
    <row r="12" spans="2:3" x14ac:dyDescent="0.35">
      <c r="B12" s="36" t="s">
        <v>542</v>
      </c>
      <c r="C12" s="95">
        <f>Calculations!C179</f>
        <v>1998086</v>
      </c>
    </row>
    <row r="13" spans="2:3" x14ac:dyDescent="0.35">
      <c r="B13" s="36" t="s">
        <v>543</v>
      </c>
      <c r="C13" s="95">
        <f>Calculations!C180</f>
        <v>1447285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13"/>
  <sheetViews>
    <sheetView topLeftCell="A86" zoomScale="130" zoomScaleNormal="130" workbookViewId="0">
      <selection activeCell="A12" sqref="A12:N113"/>
    </sheetView>
  </sheetViews>
  <sheetFormatPr defaultRowHeight="14.5" x14ac:dyDescent="0.35"/>
  <cols>
    <col min="1" max="1" width="13.54296875" customWidth="1"/>
    <col min="2" max="2" width="81.26953125" customWidth="1"/>
    <col min="3" max="3" width="16.7265625" customWidth="1"/>
    <col min="4" max="4" width="17.7265625" customWidth="1"/>
    <col min="5" max="5" width="19.26953125" customWidth="1"/>
    <col min="6" max="6" width="10.7265625" customWidth="1"/>
    <col min="7" max="7" width="10.453125" customWidth="1"/>
  </cols>
  <sheetData>
    <row r="1" spans="1:7" x14ac:dyDescent="0.35">
      <c r="A1" s="36"/>
      <c r="B1" s="36"/>
      <c r="C1" s="36"/>
      <c r="D1" s="36"/>
      <c r="E1" s="37" t="s">
        <v>199</v>
      </c>
      <c r="F1" s="36"/>
      <c r="G1" s="36"/>
    </row>
    <row r="2" spans="1:7" ht="28.5" x14ac:dyDescent="0.35">
      <c r="A2" s="38" t="s">
        <v>200</v>
      </c>
      <c r="B2" s="39" t="s">
        <v>201</v>
      </c>
      <c r="C2" s="39" t="s">
        <v>202</v>
      </c>
      <c r="D2" s="36"/>
      <c r="E2" s="40" t="s">
        <v>203</v>
      </c>
      <c r="F2" s="41" t="s">
        <v>204</v>
      </c>
      <c r="G2" s="41" t="s">
        <v>205</v>
      </c>
    </row>
    <row r="3" spans="1:7" x14ac:dyDescent="0.35">
      <c r="A3" s="36" t="s">
        <v>206</v>
      </c>
      <c r="B3" s="36" t="s">
        <v>207</v>
      </c>
      <c r="C3" s="45">
        <v>0.05</v>
      </c>
      <c r="D3" s="36"/>
      <c r="E3" s="42">
        <v>0.34</v>
      </c>
      <c r="F3" s="43">
        <v>0</v>
      </c>
      <c r="G3" s="43">
        <f>E3</f>
        <v>0.34</v>
      </c>
    </row>
    <row r="4" spans="1:7" x14ac:dyDescent="0.35">
      <c r="A4" s="36" t="s">
        <v>208</v>
      </c>
      <c r="B4" s="36" t="s">
        <v>191</v>
      </c>
      <c r="C4" s="45">
        <v>0.2</v>
      </c>
      <c r="D4" s="36"/>
      <c r="E4" s="42">
        <v>0.2</v>
      </c>
      <c r="F4" s="44">
        <f>G3+0.01</f>
        <v>0.35000000000000003</v>
      </c>
      <c r="G4" s="43">
        <f>E3+E4</f>
        <v>0.54</v>
      </c>
    </row>
    <row r="5" spans="1:7" x14ac:dyDescent="0.35">
      <c r="A5" s="36" t="s">
        <v>209</v>
      </c>
      <c r="B5" s="36" t="s">
        <v>210</v>
      </c>
      <c r="C5" s="45">
        <v>0.4</v>
      </c>
      <c r="D5" s="36"/>
      <c r="E5" s="42">
        <v>0.2</v>
      </c>
      <c r="F5" s="44">
        <f>G4+0.01</f>
        <v>0.55000000000000004</v>
      </c>
      <c r="G5" s="43">
        <f>E3+E4+E5</f>
        <v>0.74</v>
      </c>
    </row>
    <row r="6" spans="1:7" x14ac:dyDescent="0.35">
      <c r="A6" s="36" t="s">
        <v>211</v>
      </c>
      <c r="B6" s="36" t="s">
        <v>212</v>
      </c>
      <c r="C6" s="45">
        <v>0.75</v>
      </c>
      <c r="D6" s="36"/>
      <c r="E6" s="42">
        <v>0.15</v>
      </c>
      <c r="F6" s="44">
        <f>G5+0.01</f>
        <v>0.75</v>
      </c>
      <c r="G6" s="43">
        <f>SUM(E3:E6)</f>
        <v>0.89</v>
      </c>
    </row>
    <row r="7" spans="1:7" x14ac:dyDescent="0.35">
      <c r="A7" s="36" t="s">
        <v>213</v>
      </c>
      <c r="B7" s="36" t="s">
        <v>190</v>
      </c>
      <c r="C7" s="45">
        <v>1</v>
      </c>
      <c r="D7" s="36"/>
      <c r="E7" s="42">
        <f>1-E3-E4-E5-E6</f>
        <v>0.1099999999999999</v>
      </c>
      <c r="F7" s="44">
        <f>G6+0.01</f>
        <v>0.9</v>
      </c>
      <c r="G7" s="42">
        <v>1</v>
      </c>
    </row>
    <row r="10" spans="1:7" x14ac:dyDescent="0.35">
      <c r="A10" s="36" t="s">
        <v>215</v>
      </c>
      <c r="B10" s="48">
        <f>SUM(questionnaire!B4*questionnaire!B5)</f>
        <v>0</v>
      </c>
    </row>
    <row r="12" spans="1:7" x14ac:dyDescent="0.35">
      <c r="B12" t="s">
        <v>319</v>
      </c>
    </row>
    <row r="13" spans="1:7" ht="15.5" x14ac:dyDescent="0.35">
      <c r="A13" s="73">
        <v>1</v>
      </c>
      <c r="B13" s="75" t="s">
        <v>305</v>
      </c>
    </row>
    <row r="14" spans="1:7" ht="15.5" x14ac:dyDescent="0.35">
      <c r="A14" s="73" t="s">
        <v>320</v>
      </c>
      <c r="B14" t="s">
        <v>347</v>
      </c>
    </row>
    <row r="15" spans="1:7" ht="15.5" x14ac:dyDescent="0.35">
      <c r="A15" s="73"/>
    </row>
    <row r="16" spans="1:7" ht="15.5" x14ac:dyDescent="0.35">
      <c r="A16" s="73" t="s">
        <v>321</v>
      </c>
      <c r="B16" t="s">
        <v>322</v>
      </c>
    </row>
    <row r="17" spans="1:3" ht="15.5" x14ac:dyDescent="0.35">
      <c r="A17" s="73"/>
      <c r="B17" s="54" t="s">
        <v>262</v>
      </c>
    </row>
    <row r="18" spans="1:3" ht="15.5" x14ac:dyDescent="0.35">
      <c r="A18" s="73"/>
      <c r="B18" s="55" t="s">
        <v>264</v>
      </c>
      <c r="C18">
        <f>questionnaire!H44</f>
        <v>0</v>
      </c>
    </row>
    <row r="19" spans="1:3" ht="15.5" x14ac:dyDescent="0.35">
      <c r="A19" s="73"/>
      <c r="B19" s="55" t="s">
        <v>265</v>
      </c>
      <c r="C19">
        <f>questionnaire!H45</f>
        <v>1</v>
      </c>
    </row>
    <row r="20" spans="1:3" ht="15.5" x14ac:dyDescent="0.35">
      <c r="A20" s="73"/>
      <c r="B20" s="55"/>
    </row>
    <row r="21" spans="1:3" ht="15.5" x14ac:dyDescent="0.35">
      <c r="A21" s="73"/>
      <c r="B21" s="55"/>
    </row>
    <row r="22" spans="1:3" ht="15.5" x14ac:dyDescent="0.35">
      <c r="A22" s="73"/>
      <c r="B22" s="51" t="s">
        <v>266</v>
      </c>
      <c r="C22" s="79">
        <f>questionnaire!H48</f>
        <v>0</v>
      </c>
    </row>
    <row r="23" spans="1:3" ht="15.5" x14ac:dyDescent="0.35">
      <c r="A23" s="73"/>
      <c r="B23" s="60" t="s">
        <v>275</v>
      </c>
    </row>
    <row r="24" spans="1:3" ht="15.5" x14ac:dyDescent="0.35">
      <c r="A24" s="73"/>
      <c r="B24" s="36" t="s">
        <v>261</v>
      </c>
      <c r="C24">
        <f>questionnaire!H50</f>
        <v>500</v>
      </c>
    </row>
    <row r="25" spans="1:3" ht="15.5" x14ac:dyDescent="0.35">
      <c r="A25" s="73"/>
      <c r="B25" s="60" t="s">
        <v>275</v>
      </c>
    </row>
    <row r="26" spans="1:3" ht="15.5" x14ac:dyDescent="0.35">
      <c r="A26" s="73"/>
      <c r="B26" s="73" t="s">
        <v>323</v>
      </c>
    </row>
    <row r="27" spans="1:3" ht="15.5" x14ac:dyDescent="0.35">
      <c r="A27" s="73"/>
      <c r="B27" s="73" t="s">
        <v>325</v>
      </c>
    </row>
    <row r="28" spans="1:3" ht="15.5" x14ac:dyDescent="0.35">
      <c r="A28" s="73"/>
      <c r="B28" s="73" t="s">
        <v>326</v>
      </c>
    </row>
    <row r="29" spans="1:3" ht="15.5" x14ac:dyDescent="0.35">
      <c r="A29" s="73"/>
      <c r="B29" s="73" t="s">
        <v>329</v>
      </c>
    </row>
    <row r="30" spans="1:3" ht="15.5" x14ac:dyDescent="0.35">
      <c r="A30" s="73"/>
      <c r="B30" s="73" t="s">
        <v>324</v>
      </c>
    </row>
    <row r="31" spans="1:3" ht="15.5" x14ac:dyDescent="0.35">
      <c r="A31" s="73"/>
      <c r="B31" s="73" t="s">
        <v>327</v>
      </c>
    </row>
    <row r="32" spans="1:3" ht="15.5" x14ac:dyDescent="0.35">
      <c r="A32" s="73"/>
      <c r="B32" s="73" t="s">
        <v>328</v>
      </c>
    </row>
    <row r="33" spans="1:2" ht="15.5" x14ac:dyDescent="0.35">
      <c r="A33" s="73"/>
      <c r="B33" s="73" t="s">
        <v>329</v>
      </c>
    </row>
    <row r="34" spans="1:2" ht="15.5" x14ac:dyDescent="0.35">
      <c r="A34" s="73"/>
      <c r="B34" s="73"/>
    </row>
    <row r="35" spans="1:2" ht="15.5" x14ac:dyDescent="0.35">
      <c r="A35" s="73"/>
      <c r="B35" s="73" t="s">
        <v>309</v>
      </c>
    </row>
    <row r="36" spans="1:2" ht="15.5" x14ac:dyDescent="0.35">
      <c r="A36" s="73"/>
      <c r="B36" s="73"/>
    </row>
    <row r="37" spans="1:2" ht="15.5" x14ac:dyDescent="0.35">
      <c r="A37" s="73"/>
    </row>
    <row r="38" spans="1:2" ht="15.5" x14ac:dyDescent="0.35">
      <c r="A38" s="73"/>
      <c r="B38" s="73"/>
    </row>
    <row r="39" spans="1:2" ht="15.5" x14ac:dyDescent="0.35">
      <c r="A39" s="73">
        <v>2</v>
      </c>
      <c r="B39" s="75" t="s">
        <v>313</v>
      </c>
    </row>
    <row r="40" spans="1:2" ht="15.5" x14ac:dyDescent="0.35">
      <c r="A40" s="73"/>
      <c r="B40" s="75"/>
    </row>
    <row r="41" spans="1:2" ht="15.5" x14ac:dyDescent="0.35">
      <c r="A41" s="73"/>
      <c r="B41" s="75"/>
    </row>
    <row r="42" spans="1:2" ht="15.5" x14ac:dyDescent="0.35">
      <c r="A42" s="73"/>
      <c r="B42" t="s">
        <v>333</v>
      </c>
    </row>
    <row r="43" spans="1:2" ht="15.5" x14ac:dyDescent="0.35">
      <c r="A43" s="73"/>
      <c r="B43" s="54" t="s">
        <v>302</v>
      </c>
    </row>
    <row r="44" spans="1:2" ht="15.5" x14ac:dyDescent="0.35">
      <c r="A44" s="73"/>
      <c r="B44" s="60" t="s">
        <v>275</v>
      </c>
    </row>
    <row r="45" spans="1:2" ht="15.5" x14ac:dyDescent="0.35">
      <c r="A45" s="73"/>
      <c r="B45" s="54"/>
    </row>
    <row r="46" spans="1:2" ht="15.5" x14ac:dyDescent="0.35">
      <c r="A46" s="73"/>
      <c r="B46" s="57" t="s">
        <v>300</v>
      </c>
    </row>
    <row r="47" spans="1:2" ht="15.5" x14ac:dyDescent="0.35">
      <c r="A47" s="73"/>
      <c r="B47" s="60" t="s">
        <v>275</v>
      </c>
    </row>
    <row r="48" spans="1:2" ht="15.5" x14ac:dyDescent="0.35">
      <c r="A48" s="73"/>
      <c r="B48" s="54"/>
    </row>
    <row r="49" spans="1:4" ht="15.5" x14ac:dyDescent="0.35">
      <c r="A49" s="73"/>
      <c r="B49" s="54"/>
    </row>
    <row r="50" spans="1:4" ht="15.5" x14ac:dyDescent="0.35">
      <c r="A50" s="73"/>
      <c r="B50" s="54" t="s">
        <v>301</v>
      </c>
    </row>
    <row r="51" spans="1:4" ht="15.5" x14ac:dyDescent="0.35">
      <c r="A51" s="73"/>
      <c r="B51" s="60" t="s">
        <v>275</v>
      </c>
    </row>
    <row r="52" spans="1:4" ht="15.5" x14ac:dyDescent="0.35">
      <c r="A52" s="73"/>
      <c r="B52" s="54"/>
    </row>
    <row r="53" spans="1:4" ht="15.5" x14ac:dyDescent="0.35">
      <c r="A53" s="73"/>
      <c r="B53" s="54" t="s">
        <v>304</v>
      </c>
    </row>
    <row r="54" spans="1:4" ht="15.5" x14ac:dyDescent="0.35">
      <c r="A54" s="73"/>
      <c r="B54" s="73"/>
    </row>
    <row r="55" spans="1:4" ht="15.5" x14ac:dyDescent="0.35">
      <c r="A55" s="73"/>
      <c r="B55" s="73" t="s">
        <v>330</v>
      </c>
    </row>
    <row r="56" spans="1:4" ht="15.5" x14ac:dyDescent="0.35">
      <c r="A56" s="73"/>
      <c r="B56" s="73" t="s">
        <v>331</v>
      </c>
    </row>
    <row r="57" spans="1:4" ht="15.5" x14ac:dyDescent="0.35">
      <c r="A57" s="73"/>
      <c r="B57" s="73" t="s">
        <v>332</v>
      </c>
    </row>
    <row r="58" spans="1:4" ht="15.5" x14ac:dyDescent="0.35">
      <c r="A58" s="73"/>
      <c r="B58" s="73" t="s">
        <v>331</v>
      </c>
    </row>
    <row r="59" spans="1:4" ht="15.5" x14ac:dyDescent="0.35">
      <c r="A59" s="73"/>
      <c r="B59" s="73"/>
    </row>
    <row r="60" spans="1:4" ht="15.5" x14ac:dyDescent="0.35">
      <c r="A60" s="73"/>
      <c r="B60" s="73" t="s">
        <v>311</v>
      </c>
    </row>
    <row r="61" spans="1:4" ht="15.5" x14ac:dyDescent="0.35">
      <c r="A61" s="73"/>
      <c r="B61" s="73"/>
    </row>
    <row r="62" spans="1:4" ht="15.5" x14ac:dyDescent="0.35">
      <c r="A62" s="73">
        <v>3</v>
      </c>
      <c r="B62" s="75" t="s">
        <v>253</v>
      </c>
    </row>
    <row r="63" spans="1:4" ht="15.5" x14ac:dyDescent="0.35">
      <c r="A63" s="73"/>
      <c r="B63" t="s">
        <v>340</v>
      </c>
      <c r="C63" t="s">
        <v>341</v>
      </c>
      <c r="D63" t="s">
        <v>346</v>
      </c>
    </row>
    <row r="64" spans="1:4" ht="15.5" x14ac:dyDescent="0.35">
      <c r="A64" s="73"/>
      <c r="B64" t="s">
        <v>342</v>
      </c>
    </row>
    <row r="65" spans="1:3" ht="15.5" x14ac:dyDescent="0.35">
      <c r="A65" s="73"/>
      <c r="B65" s="73" t="s">
        <v>334</v>
      </c>
      <c r="C65" t="s">
        <v>341</v>
      </c>
    </row>
    <row r="66" spans="1:3" ht="15.5" x14ac:dyDescent="0.35">
      <c r="A66" s="73"/>
      <c r="B66" s="54" t="s">
        <v>232</v>
      </c>
    </row>
    <row r="67" spans="1:3" ht="15.5" x14ac:dyDescent="0.35">
      <c r="A67" s="73"/>
      <c r="B67" s="60" t="s">
        <v>275</v>
      </c>
    </row>
    <row r="68" spans="1:3" ht="15.5" x14ac:dyDescent="0.35">
      <c r="A68" s="73"/>
      <c r="B68" s="54"/>
    </row>
    <row r="69" spans="1:3" ht="15.5" x14ac:dyDescent="0.35">
      <c r="A69" s="73"/>
      <c r="B69" s="54" t="s">
        <v>276</v>
      </c>
    </row>
    <row r="70" spans="1:3" ht="15.5" x14ac:dyDescent="0.35">
      <c r="A70" s="73"/>
      <c r="B70" s="60" t="s">
        <v>275</v>
      </c>
    </row>
    <row r="71" spans="1:3" ht="15.5" x14ac:dyDescent="0.35">
      <c r="A71" s="73"/>
      <c r="B71" s="36"/>
    </row>
    <row r="72" spans="1:3" ht="15.5" x14ac:dyDescent="0.35">
      <c r="A72" s="73"/>
      <c r="B72" s="54" t="s">
        <v>233</v>
      </c>
    </row>
    <row r="73" spans="1:3" ht="15.5" x14ac:dyDescent="0.35">
      <c r="A73" s="73"/>
      <c r="B73" s="73" t="s">
        <v>335</v>
      </c>
    </row>
    <row r="74" spans="1:3" ht="15.5" x14ac:dyDescent="0.35">
      <c r="A74" s="73"/>
      <c r="B74" s="73" t="s">
        <v>336</v>
      </c>
    </row>
    <row r="75" spans="1:3" ht="15.5" x14ac:dyDescent="0.35">
      <c r="A75" s="73"/>
      <c r="B75" s="73" t="s">
        <v>337</v>
      </c>
    </row>
    <row r="76" spans="1:3" ht="15.5" x14ac:dyDescent="0.35">
      <c r="A76" s="73"/>
      <c r="B76" s="73" t="s">
        <v>338</v>
      </c>
    </row>
    <row r="77" spans="1:3" ht="15.5" x14ac:dyDescent="0.35">
      <c r="A77" s="73"/>
      <c r="B77" s="73" t="s">
        <v>339</v>
      </c>
    </row>
    <row r="78" spans="1:3" ht="15.5" x14ac:dyDescent="0.35">
      <c r="A78" s="73"/>
      <c r="B78" s="73" t="s">
        <v>336</v>
      </c>
    </row>
    <row r="79" spans="1:3" ht="15.5" x14ac:dyDescent="0.35">
      <c r="A79" s="73"/>
      <c r="B79" s="73" t="s">
        <v>337</v>
      </c>
    </row>
    <row r="80" spans="1:3" ht="15.5" x14ac:dyDescent="0.35">
      <c r="A80" s="73"/>
      <c r="B80" s="73" t="s">
        <v>338</v>
      </c>
    </row>
    <row r="81" spans="1:2" ht="15.5" x14ac:dyDescent="0.35">
      <c r="A81" s="73"/>
      <c r="B81" s="73" t="s">
        <v>310</v>
      </c>
    </row>
    <row r="82" spans="1:2" ht="15.5" x14ac:dyDescent="0.35">
      <c r="A82" s="73"/>
      <c r="B82" s="73"/>
    </row>
    <row r="83" spans="1:2" ht="15.5" x14ac:dyDescent="0.35">
      <c r="A83" s="73"/>
      <c r="B83" s="73"/>
    </row>
    <row r="84" spans="1:2" ht="15.5" x14ac:dyDescent="0.35">
      <c r="A84" s="73"/>
      <c r="B84" s="73"/>
    </row>
    <row r="85" spans="1:2" ht="15.5" x14ac:dyDescent="0.35">
      <c r="A85" s="73"/>
      <c r="B85" s="73"/>
    </row>
    <row r="86" spans="1:2" ht="15.5" x14ac:dyDescent="0.35">
      <c r="A86" s="73"/>
      <c r="B86" s="73"/>
    </row>
    <row r="87" spans="1:2" ht="15.5" x14ac:dyDescent="0.35">
      <c r="A87" s="73"/>
      <c r="B87" s="73"/>
    </row>
    <row r="88" spans="1:2" ht="15.5" x14ac:dyDescent="0.35">
      <c r="A88" s="73">
        <v>4</v>
      </c>
      <c r="B88" s="75" t="s">
        <v>254</v>
      </c>
    </row>
    <row r="89" spans="1:2" ht="15.5" x14ac:dyDescent="0.35">
      <c r="A89" s="73"/>
      <c r="B89" s="75"/>
    </row>
    <row r="90" spans="1:2" ht="15.5" x14ac:dyDescent="0.35">
      <c r="A90" s="73"/>
      <c r="B90" s="75"/>
    </row>
    <row r="91" spans="1:2" ht="15.5" x14ac:dyDescent="0.35">
      <c r="A91" s="73"/>
      <c r="B91" s="73" t="s">
        <v>314</v>
      </c>
    </row>
    <row r="92" spans="1:2" ht="15.5" x14ac:dyDescent="0.35">
      <c r="A92" s="73"/>
      <c r="B92" s="73"/>
    </row>
    <row r="93" spans="1:2" ht="15.5" x14ac:dyDescent="0.35">
      <c r="A93" s="73">
        <v>5</v>
      </c>
      <c r="B93" s="75" t="s">
        <v>318</v>
      </c>
    </row>
    <row r="94" spans="1:2" ht="15.5" x14ac:dyDescent="0.35">
      <c r="A94" s="73"/>
      <c r="B94" s="80" t="s">
        <v>343</v>
      </c>
    </row>
    <row r="95" spans="1:2" ht="15.5" x14ac:dyDescent="0.35">
      <c r="A95" s="73"/>
      <c r="B95" s="75"/>
    </row>
    <row r="96" spans="1:2" ht="15.5" x14ac:dyDescent="0.35">
      <c r="A96" s="73"/>
      <c r="B96" s="73" t="s">
        <v>308</v>
      </c>
    </row>
    <row r="97" spans="1:2" ht="15.5" x14ac:dyDescent="0.35">
      <c r="A97" s="73"/>
      <c r="B97" s="73"/>
    </row>
    <row r="98" spans="1:2" ht="15.5" x14ac:dyDescent="0.35">
      <c r="A98" s="73">
        <v>6</v>
      </c>
      <c r="B98" s="75" t="s">
        <v>256</v>
      </c>
    </row>
    <row r="99" spans="1:2" ht="15.5" x14ac:dyDescent="0.35">
      <c r="A99" s="73"/>
      <c r="B99" s="75"/>
    </row>
    <row r="100" spans="1:2" ht="15.5" x14ac:dyDescent="0.35">
      <c r="A100" s="73"/>
      <c r="B100" s="75"/>
    </row>
    <row r="101" spans="1:2" ht="15.5" x14ac:dyDescent="0.35">
      <c r="A101" s="73"/>
      <c r="B101" s="73" t="s">
        <v>312</v>
      </c>
    </row>
    <row r="102" spans="1:2" ht="15.5" x14ac:dyDescent="0.35">
      <c r="A102" s="73"/>
      <c r="B102" s="73"/>
    </row>
    <row r="103" spans="1:2" ht="15.5" x14ac:dyDescent="0.35">
      <c r="A103" s="73">
        <v>7</v>
      </c>
      <c r="B103" s="75" t="s">
        <v>257</v>
      </c>
    </row>
    <row r="104" spans="1:2" ht="15.5" x14ac:dyDescent="0.35">
      <c r="A104" s="73"/>
      <c r="B104" s="73" t="s">
        <v>344</v>
      </c>
    </row>
    <row r="105" spans="1:2" ht="15.5" x14ac:dyDescent="0.35">
      <c r="A105" s="73"/>
      <c r="B105" s="73" t="s">
        <v>345</v>
      </c>
    </row>
    <row r="106" spans="1:2" ht="15.5" x14ac:dyDescent="0.35">
      <c r="A106" s="73"/>
      <c r="B106" s="73" t="s">
        <v>307</v>
      </c>
    </row>
    <row r="107" spans="1:2" ht="15.5" x14ac:dyDescent="0.35">
      <c r="A107" s="73"/>
      <c r="B107" s="73"/>
    </row>
    <row r="108" spans="1:2" ht="15.5" x14ac:dyDescent="0.35">
      <c r="A108" s="73">
        <v>8</v>
      </c>
      <c r="B108" s="77" t="s">
        <v>258</v>
      </c>
    </row>
    <row r="109" spans="1:2" ht="15.5" x14ac:dyDescent="0.35">
      <c r="A109" s="73"/>
      <c r="B109" s="77"/>
    </row>
    <row r="110" spans="1:2" ht="15.5" x14ac:dyDescent="0.35">
      <c r="A110" s="73"/>
      <c r="B110" s="77"/>
    </row>
    <row r="111" spans="1:2" ht="15.5" x14ac:dyDescent="0.35">
      <c r="A111" s="73"/>
      <c r="B111" s="73" t="s">
        <v>315</v>
      </c>
    </row>
    <row r="112" spans="1:2" ht="15.5" x14ac:dyDescent="0.35">
      <c r="A112" s="73"/>
      <c r="B112" s="73"/>
    </row>
    <row r="113" spans="1:2" ht="15.5" x14ac:dyDescent="0.35">
      <c r="A113" s="73"/>
      <c r="B113" s="7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usage guide</vt:lpstr>
      <vt:lpstr>landing</vt:lpstr>
      <vt:lpstr>questionnaire</vt:lpstr>
      <vt:lpstr>Preloaded values</vt:lpstr>
      <vt:lpstr>results</vt:lpstr>
      <vt:lpstr>Report</vt:lpstr>
      <vt:lpstr>Calculations</vt:lpstr>
      <vt:lpstr>Graphics</vt:lpstr>
      <vt:lpstr>score</vt:lpstr>
      <vt:lpstr>pdf content</vt:lpstr>
      <vt:lpstr>pdf info</vt:lpstr>
      <vt:lpstr>docx content</vt:lpstr>
      <vt:lpstr>docx info</vt:lpstr>
      <vt:lpstr>pptx content</vt:lpstr>
      <vt:lpstr>pptx info</vt:lpstr>
      <vt:lpstr>pick list</vt:lpstr>
      <vt:lpstr>sal scalar</vt:lpstr>
      <vt:lpstr>Rev scalar</vt:lpstr>
      <vt:lpstr>Report!OLE_LINK2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2018-03-07T16:18:54Z</dcterms:modified>
</cp:coreProperties>
</file>