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273041\Desktop\"/>
    </mc:Choice>
  </mc:AlternateContent>
  <bookViews>
    <workbookView xWindow="0" yWindow="0" windowWidth="20220" windowHeight="6930" firstSheet="2" activeTab="6"/>
  </bookViews>
  <sheets>
    <sheet name="Logistic Model" sheetId="1" r:id="rId1"/>
    <sheet name="LogNormal Model" sheetId="4" r:id="rId2"/>
    <sheet name="Groups" sheetId="2" r:id="rId3"/>
    <sheet name="MasterCoef" sheetId="6" r:id="rId4"/>
    <sheet name="AgeSplineCalc" sheetId="3" r:id="rId5"/>
    <sheet name="FullCalculator" sheetId="5" r:id="rId6"/>
    <sheet name="BatchTest" sheetId="7" r:id="rId7"/>
    <sheet name="BatchTestCalc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/>
  <c r="A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A5" i="8"/>
  <c r="H5" i="8" s="1"/>
  <c r="C5" i="8"/>
  <c r="D5" i="8"/>
  <c r="E5" i="8"/>
  <c r="F5" i="8"/>
  <c r="G5" i="8"/>
  <c r="I5" i="8"/>
  <c r="K5" i="8"/>
  <c r="L5" i="8"/>
  <c r="M5" i="8"/>
  <c r="N5" i="8"/>
  <c r="O5" i="8"/>
  <c r="P5" i="8"/>
  <c r="R5" i="8"/>
  <c r="S5" i="8"/>
  <c r="T5" i="8"/>
  <c r="U5" i="8"/>
  <c r="V5" i="8"/>
  <c r="P3" i="8"/>
  <c r="X2" i="8"/>
  <c r="X3" i="8"/>
  <c r="O3" i="8"/>
  <c r="V3" i="8"/>
  <c r="Q3" i="8"/>
  <c r="V2" i="8"/>
  <c r="U3" i="8"/>
  <c r="U2" i="8"/>
  <c r="S2" i="8"/>
  <c r="T3" i="8"/>
  <c r="T2" i="8"/>
  <c r="Q2" i="8"/>
  <c r="S3" i="8"/>
  <c r="R3" i="8"/>
  <c r="R2" i="8"/>
  <c r="P2" i="8"/>
  <c r="O2" i="8"/>
  <c r="D2" i="8"/>
  <c r="E11" i="5"/>
  <c r="H2" i="8"/>
  <c r="C10" i="5"/>
  <c r="D10" i="5" s="1"/>
  <c r="E10" i="5" s="1"/>
  <c r="E2" i="8"/>
  <c r="N3" i="8"/>
  <c r="M3" i="8"/>
  <c r="L3" i="8"/>
  <c r="K3" i="8"/>
  <c r="I2" i="8"/>
  <c r="J2" i="8" s="1"/>
  <c r="I3" i="8"/>
  <c r="F4" i="3"/>
  <c r="B25" i="3" s="1"/>
  <c r="H3" i="8"/>
  <c r="F2" i="8"/>
  <c r="G3" i="8"/>
  <c r="G2" i="8"/>
  <c r="C8" i="5"/>
  <c r="F3" i="8"/>
  <c r="E3" i="8"/>
  <c r="D3" i="8"/>
  <c r="C2" i="8"/>
  <c r="E4" i="5"/>
  <c r="C3" i="8"/>
  <c r="E3" i="5"/>
  <c r="R2" i="7"/>
  <c r="X4" i="8" l="1"/>
  <c r="X5" i="8" s="1"/>
  <c r="Q5" i="8"/>
  <c r="Y5" i="8" s="1"/>
  <c r="Y4" i="8" s="1"/>
  <c r="Y3" i="8"/>
  <c r="Y2" i="8" s="1"/>
  <c r="N2" i="8"/>
  <c r="M2" i="8"/>
  <c r="K2" i="8"/>
  <c r="L2" i="8"/>
  <c r="B33" i="3"/>
  <c r="B30" i="3"/>
  <c r="B29" i="3"/>
  <c r="B22" i="3"/>
  <c r="B23" i="3"/>
  <c r="B26" i="3"/>
  <c r="B19" i="3"/>
  <c r="B27" i="3"/>
  <c r="C13" i="5"/>
  <c r="F13" i="5" s="1"/>
  <c r="C25" i="5"/>
  <c r="C24" i="5"/>
  <c r="C16" i="5"/>
  <c r="F16" i="5" s="1"/>
  <c r="F15" i="5"/>
  <c r="E15" i="5"/>
  <c r="F14" i="5"/>
  <c r="E14" i="5"/>
  <c r="E12" i="5"/>
  <c r="E9" i="5"/>
  <c r="C167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59" i="6"/>
  <c r="E8" i="5"/>
  <c r="F9" i="5"/>
  <c r="E6" i="5"/>
  <c r="C56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4" i="6"/>
  <c r="F7" i="5"/>
  <c r="F6" i="5"/>
  <c r="E5" i="5"/>
  <c r="F5" i="5"/>
  <c r="F4" i="5"/>
  <c r="E18" i="5"/>
  <c r="F3" i="5"/>
  <c r="S3" i="7"/>
  <c r="S2" i="7"/>
  <c r="Z4" i="8" l="1"/>
  <c r="Z5" i="8" s="1"/>
  <c r="T2" i="7"/>
  <c r="E16" i="5"/>
  <c r="Z2" i="8"/>
  <c r="Z3" i="8" s="1"/>
  <c r="E13" i="5"/>
  <c r="F10" i="5"/>
  <c r="F8" i="5"/>
  <c r="F9" i="3"/>
  <c r="B22" i="5" s="1"/>
  <c r="E22" i="5" s="1"/>
  <c r="F8" i="3"/>
  <c r="B21" i="5" s="1"/>
  <c r="E21" i="5" s="1"/>
  <c r="F5" i="3"/>
  <c r="B18" i="5" s="1"/>
  <c r="R3" i="7"/>
  <c r="T3" i="7" l="1"/>
  <c r="F26" i="5"/>
  <c r="F28" i="5" s="1"/>
  <c r="F6" i="3"/>
  <c r="B19" i="5" s="1"/>
  <c r="E19" i="5" s="1"/>
  <c r="F7" i="3"/>
  <c r="B20" i="5" s="1"/>
  <c r="E20" i="5" s="1"/>
  <c r="E26" i="5" l="1"/>
  <c r="E28" i="5" s="1"/>
  <c r="G28" i="5" s="1"/>
</calcChain>
</file>

<file path=xl/sharedStrings.xml><?xml version="1.0" encoding="utf-8"?>
<sst xmlns="http://schemas.openxmlformats.org/spreadsheetml/2006/main" count="1165" uniqueCount="336">
  <si>
    <t>Variable</t>
  </si>
  <si>
    <t>Meaning</t>
  </si>
  <si>
    <t>Values</t>
  </si>
  <si>
    <t>Coefficients</t>
  </si>
  <si>
    <t>Notes</t>
  </si>
  <si>
    <t>Type</t>
  </si>
  <si>
    <t>Table</t>
  </si>
  <si>
    <t>None</t>
  </si>
  <si>
    <t>Numeric</t>
  </si>
  <si>
    <t>(Intercept)</t>
  </si>
  <si>
    <t>Intercept (Regression)</t>
  </si>
  <si>
    <t>ld_CLAIM_INCIDENT_v</t>
  </si>
  <si>
    <t>SEVRTY_TYPE_DESC</t>
  </si>
  <si>
    <t>Severity Type Description</t>
  </si>
  <si>
    <t>Severe</t>
  </si>
  <si>
    <t>Categorical</t>
  </si>
  <si>
    <t>Unknown</t>
  </si>
  <si>
    <t>All Others = 0</t>
  </si>
  <si>
    <t>ld_CLAIM_VEHICLE_v</t>
  </si>
  <si>
    <t>VEHICL_RNTL_IND</t>
  </si>
  <si>
    <t>Vehicle Rental Indicator</t>
  </si>
  <si>
    <t>Y</t>
  </si>
  <si>
    <t>TOTAL_LOSS_IND</t>
  </si>
  <si>
    <t>Total Loss Indicator</t>
  </si>
  <si>
    <t>INIT_POINT_OF_IMPCT_DESC</t>
  </si>
  <si>
    <t>Initial Point of Impact</t>
  </si>
  <si>
    <t>11 - Driver Front Corner</t>
  </si>
  <si>
    <t>10 - Driver Front Side</t>
  </si>
  <si>
    <t>07 - Driver Rear Corner</t>
  </si>
  <si>
    <t xml:space="preserve"> 08 - Driver Rear Side</t>
  </si>
  <si>
    <t>09 - Driver Side</t>
  </si>
  <si>
    <t>01 - Passenger Front Corner</t>
  </si>
  <si>
    <t>12 - Front</t>
  </si>
  <si>
    <t>Non-collision (comprehensive loss)</t>
  </si>
  <si>
    <t>05 - Passenger Rear Corner</t>
  </si>
  <si>
    <t>04 - Passenger Rear Side</t>
  </si>
  <si>
    <t>06 - Rear</t>
  </si>
  <si>
    <t>13 - Rollover</t>
  </si>
  <si>
    <t>ld_CLAIM_v</t>
  </si>
  <si>
    <t>LOSS_CAUS_TYP_DESC</t>
  </si>
  <si>
    <t>Loss Cause Type Description</t>
  </si>
  <si>
    <t>Another Vehicle Hit Parked Insured</t>
  </si>
  <si>
    <t>Another Vehicle Rear-Ended Insured</t>
  </si>
  <si>
    <t>Head-On Collision</t>
  </si>
  <si>
    <t>Insured Hit Another Vehicle while Backing</t>
  </si>
  <si>
    <t>Insured Hit Parked Car</t>
  </si>
  <si>
    <t>Insured Hit Pedestrian/Cyclist/Other</t>
  </si>
  <si>
    <t>Insured Hit Stationary Object (Excl. Parked Car)</t>
  </si>
  <si>
    <t>Insured Pulled From Parked Position</t>
  </si>
  <si>
    <t>Insured Rear-Ended Another Vehicle</t>
  </si>
  <si>
    <t>Intersection Accident - Insured Crossing</t>
  </si>
  <si>
    <t>Intersection Accident - Insured Turning Left</t>
  </si>
  <si>
    <t>Intersection Accident - Insured Turning Right</t>
  </si>
  <si>
    <t>Other - Collision</t>
  </si>
  <si>
    <t>Sideswipe</t>
  </si>
  <si>
    <t>Total Theft</t>
  </si>
  <si>
    <t>Insured Hit While Walking/Cycling/Other</t>
  </si>
  <si>
    <t>Other - Comprehensive</t>
  </si>
  <si>
    <t>Fell On/Off Vehicle</t>
  </si>
  <si>
    <t>Struck By Falling Object</t>
  </si>
  <si>
    <t>Struck By/Against Object</t>
  </si>
  <si>
    <t>Wind</t>
  </si>
  <si>
    <t>Insured Vehicle Rollover</t>
  </si>
  <si>
    <t>Fire</t>
  </si>
  <si>
    <t>Flood And Rising Water</t>
  </si>
  <si>
    <t>Glass Only</t>
  </si>
  <si>
    <t>Hail</t>
  </si>
  <si>
    <t>Hit Animal</t>
  </si>
  <si>
    <t>Hurricane/Tropical Storm</t>
  </si>
  <si>
    <t>Partial Theft</t>
  </si>
  <si>
    <t>Tow Only</t>
  </si>
  <si>
    <t>Vandalism</t>
  </si>
  <si>
    <t>Water Damage</t>
  </si>
  <si>
    <t>AUTO_PERSISTENCY_DETAILS</t>
  </si>
  <si>
    <t>Multi_Car_Indicator</t>
  </si>
  <si>
    <t>Multiple Car Indicator</t>
  </si>
  <si>
    <t>Library</t>
  </si>
  <si>
    <t>PRPUBLIC</t>
  </si>
  <si>
    <t>PM_CLAIMS_NAV_MIG_MART</t>
  </si>
  <si>
    <t>VEHICL_MAKE_DESC</t>
  </si>
  <si>
    <t>Vehicle Make</t>
  </si>
  <si>
    <t>BMW</t>
  </si>
  <si>
    <t>Buick</t>
  </si>
  <si>
    <t>Cadillac</t>
  </si>
  <si>
    <t>Chevrolet</t>
  </si>
  <si>
    <t>Dodge</t>
  </si>
  <si>
    <t>Honda</t>
  </si>
  <si>
    <t>Hyundai</t>
  </si>
  <si>
    <t>Infiniti</t>
  </si>
  <si>
    <t>Jaguar</t>
  </si>
  <si>
    <t>Jeep</t>
  </si>
  <si>
    <t>Lexus</t>
  </si>
  <si>
    <t>Lincoln-Continental</t>
  </si>
  <si>
    <t>Mazda</t>
  </si>
  <si>
    <t>Mercedes Benz</t>
  </si>
  <si>
    <t>Subaru</t>
  </si>
  <si>
    <t>Toyota</t>
  </si>
  <si>
    <t>Other</t>
  </si>
  <si>
    <t>Volvo</t>
  </si>
  <si>
    <t>Alfa Romeo</t>
  </si>
  <si>
    <t>Arctic Cat</t>
  </si>
  <si>
    <t>AMER</t>
  </si>
  <si>
    <t>Aston Martin</t>
  </si>
  <si>
    <t>Bentley</t>
  </si>
  <si>
    <t>Daewoo</t>
  </si>
  <si>
    <t>Eagle</t>
  </si>
  <si>
    <t>Ferrari</t>
  </si>
  <si>
    <t>FLAG</t>
  </si>
  <si>
    <t>FLEE</t>
  </si>
  <si>
    <t>GMC</t>
  </si>
  <si>
    <t>GULF</t>
  </si>
  <si>
    <t>Harley Davidson</t>
  </si>
  <si>
    <t>Harley-Davidson</t>
  </si>
  <si>
    <t>Harley-Davidson Motor Co., Inc.</t>
  </si>
  <si>
    <t>HART</t>
  </si>
  <si>
    <t>Jayc</t>
  </si>
  <si>
    <t>KAWA</t>
  </si>
  <si>
    <t>Kawasaki</t>
  </si>
  <si>
    <t>keys</t>
  </si>
  <si>
    <t>Lancia</t>
  </si>
  <si>
    <t>Lotus</t>
  </si>
  <si>
    <t>MG</t>
  </si>
  <si>
    <t>Other ATV</t>
  </si>
  <si>
    <t>RAM</t>
  </si>
  <si>
    <t>Rock</t>
  </si>
  <si>
    <t>roll</t>
  </si>
  <si>
    <t>Snowmobile</t>
  </si>
  <si>
    <t>Star</t>
  </si>
  <si>
    <t>Tesl</t>
  </si>
  <si>
    <t>thor</t>
  </si>
  <si>
    <t>Trailer</t>
  </si>
  <si>
    <t>Triumph</t>
  </si>
  <si>
    <t>Truck</t>
  </si>
  <si>
    <t>TSLA</t>
  </si>
  <si>
    <t>Vespa/Piaggio</t>
  </si>
  <si>
    <t>VPG</t>
  </si>
  <si>
    <t>Wild</t>
  </si>
  <si>
    <t>Yamaha</t>
  </si>
  <si>
    <t>Maserati</t>
  </si>
  <si>
    <t>Grouped</t>
  </si>
  <si>
    <t>VEH MAKE</t>
  </si>
  <si>
    <t>REPLACE WITH</t>
  </si>
  <si>
    <t>Mercedes</t>
  </si>
  <si>
    <t>hon</t>
  </si>
  <si>
    <t>dod</t>
  </si>
  <si>
    <t>hyu</t>
  </si>
  <si>
    <t>hyund</t>
  </si>
  <si>
    <t>sub</t>
  </si>
  <si>
    <t>SBRU</t>
  </si>
  <si>
    <t>lx</t>
  </si>
  <si>
    <t>maz</t>
  </si>
  <si>
    <t>benz</t>
  </si>
  <si>
    <t>buic</t>
  </si>
  <si>
    <t>inf</t>
  </si>
  <si>
    <t>cad</t>
  </si>
  <si>
    <t>SMAR</t>
  </si>
  <si>
    <t>Smart</t>
  </si>
  <si>
    <t>SMRT</t>
  </si>
  <si>
    <t>TOY</t>
  </si>
  <si>
    <t>TOYA</t>
  </si>
  <si>
    <t>TOYO</t>
  </si>
  <si>
    <t>TOYT</t>
  </si>
  <si>
    <t>Hnda</t>
  </si>
  <si>
    <t>hona</t>
  </si>
  <si>
    <t>HOND</t>
  </si>
  <si>
    <t>CHEV</t>
  </si>
  <si>
    <t>Chevy</t>
  </si>
  <si>
    <t>DODG</t>
  </si>
  <si>
    <t>DODGE TRUCK</t>
  </si>
  <si>
    <t>HYND</t>
  </si>
  <si>
    <t>HYUN</t>
  </si>
  <si>
    <t>suba</t>
  </si>
  <si>
    <t>Subr</t>
  </si>
  <si>
    <t>SUBU</t>
  </si>
  <si>
    <t>Lex</t>
  </si>
  <si>
    <t>LEXS</t>
  </si>
  <si>
    <t>LEXU</t>
  </si>
  <si>
    <t>Maza</t>
  </si>
  <si>
    <t>MAZD</t>
  </si>
  <si>
    <t>MERC</t>
  </si>
  <si>
    <t>Mercedes-Benz</t>
  </si>
  <si>
    <t>VOLV</t>
  </si>
  <si>
    <t>BUIK</t>
  </si>
  <si>
    <t>INFI</t>
  </si>
  <si>
    <t>infinity</t>
  </si>
  <si>
    <t>CAD</t>
  </si>
  <si>
    <t>CADI</t>
  </si>
  <si>
    <t>CADL</t>
  </si>
  <si>
    <t>JAG</t>
  </si>
  <si>
    <t>JAGU</t>
  </si>
  <si>
    <t>LINC</t>
  </si>
  <si>
    <t>Lincoln</t>
  </si>
  <si>
    <t>LOSS CAUSE</t>
  </si>
  <si>
    <t>VEHCL_YR_NBR</t>
  </si>
  <si>
    <t>Vehicle Year</t>
  </si>
  <si>
    <t>DEDBL_WAIVED_IND</t>
  </si>
  <si>
    <t>Deductible Waived Indicator</t>
  </si>
  <si>
    <t>ld_CLAIM_EXPOSURE_v</t>
  </si>
  <si>
    <t>JRSDN_ST_CD</t>
  </si>
  <si>
    <t>Jurisdiction State Code</t>
  </si>
  <si>
    <t>Contributory</t>
  </si>
  <si>
    <t>Pure</t>
  </si>
  <si>
    <t>Modified50</t>
  </si>
  <si>
    <t>Modified51</t>
  </si>
  <si>
    <t>JURISDICTION</t>
  </si>
  <si>
    <t>STATE</t>
  </si>
  <si>
    <t>AL</t>
  </si>
  <si>
    <t>DC</t>
  </si>
  <si>
    <t>MD</t>
  </si>
  <si>
    <t>NC</t>
  </si>
  <si>
    <t>VA</t>
  </si>
  <si>
    <t>AK</t>
  </si>
  <si>
    <t>AZ</t>
  </si>
  <si>
    <t>CA</t>
  </si>
  <si>
    <t>FL</t>
  </si>
  <si>
    <t>KY</t>
  </si>
  <si>
    <t>LA</t>
  </si>
  <si>
    <t>MS</t>
  </si>
  <si>
    <t>MO</t>
  </si>
  <si>
    <t>NM</t>
  </si>
  <si>
    <t>NY</t>
  </si>
  <si>
    <t>RI</t>
  </si>
  <si>
    <t>WA</t>
  </si>
  <si>
    <t>AR</t>
  </si>
  <si>
    <t>CO</t>
  </si>
  <si>
    <t>GA</t>
  </si>
  <si>
    <t>ID</t>
  </si>
  <si>
    <t>KS</t>
  </si>
  <si>
    <t>ME</t>
  </si>
  <si>
    <t>ND</t>
  </si>
  <si>
    <t>NE</t>
  </si>
  <si>
    <t>SD</t>
  </si>
  <si>
    <t>TN</t>
  </si>
  <si>
    <t>UT</t>
  </si>
  <si>
    <t>WV</t>
  </si>
  <si>
    <t>CT</t>
  </si>
  <si>
    <t>DE</t>
  </si>
  <si>
    <t>HI</t>
  </si>
  <si>
    <t>IL</t>
  </si>
  <si>
    <t>IN</t>
  </si>
  <si>
    <t>IA</t>
  </si>
  <si>
    <t>MA</t>
  </si>
  <si>
    <t>MI</t>
  </si>
  <si>
    <t>MN</t>
  </si>
  <si>
    <t>MT</t>
  </si>
  <si>
    <t>NV</t>
  </si>
  <si>
    <t>NH</t>
  </si>
  <si>
    <t>NJ</t>
  </si>
  <si>
    <t>OH</t>
  </si>
  <si>
    <t>OK</t>
  </si>
  <si>
    <t>OR</t>
  </si>
  <si>
    <t>PA</t>
  </si>
  <si>
    <t>SC</t>
  </si>
  <si>
    <t>TX</t>
  </si>
  <si>
    <t>VT</t>
  </si>
  <si>
    <t>WI</t>
  </si>
  <si>
    <t>WY</t>
  </si>
  <si>
    <t>lf_CLAIM_EXPSR_DLY_SNP_SMRY_v</t>
  </si>
  <si>
    <t>DEDBL_APLD_TO_DT_AMT</t>
  </si>
  <si>
    <t>Deductible Applied To Date Amount</t>
  </si>
  <si>
    <t>CVRG_DEDBL</t>
  </si>
  <si>
    <t>Coverage Deductible</t>
  </si>
  <si>
    <t>LOSS_GROSS_PTD_AMT</t>
  </si>
  <si>
    <t>Loss Gross Paid To Date Amount</t>
  </si>
  <si>
    <t>*LOG OF THE PAID AMOUNT</t>
  </si>
  <si>
    <t>Primary_Driver_Age</t>
  </si>
  <si>
    <t>Primary Drive Age</t>
  </si>
  <si>
    <t>A1</t>
  </si>
  <si>
    <t>A2</t>
  </si>
  <si>
    <t>A3</t>
  </si>
  <si>
    <t>A4</t>
  </si>
  <si>
    <t>A0</t>
  </si>
  <si>
    <t>*THIS MUST HAVE A VALUE</t>
  </si>
  <si>
    <t>X&lt;=45</t>
  </si>
  <si>
    <t>X&gt;=46 &amp; X&lt;=72</t>
  </si>
  <si>
    <t>X&gt;=73</t>
  </si>
  <si>
    <r>
      <t>0.00133848899464604X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-0.121356335514575X+2.75074360499702</t>
    </r>
  </si>
  <si>
    <t>AGE</t>
  </si>
  <si>
    <r>
      <t>-0.00200773349196907X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+0.145449137418203X--1.96757882212968</t>
    </r>
  </si>
  <si>
    <r>
      <t>0.000669244497323023X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-0.0972635336109459X+3.53390838786437</t>
    </r>
  </si>
  <si>
    <r>
      <t>0.000669244497323022X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-0.0240928019036288X+0.21683521713266</t>
    </r>
  </si>
  <si>
    <r>
      <t>-0.00133848899464605X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+0.157941701368234X-3.90928019036289</t>
    </r>
  </si>
  <si>
    <r>
      <t>0.000669244497323021X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-0.133848899464604X+6.69244497323021</t>
    </r>
  </si>
  <si>
    <r>
      <t>0.000669244497323023X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-0.0606781677572875X+1.37537180249852</t>
    </r>
  </si>
  <si>
    <r>
      <t>-0.00200773349196906X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+0.328375966686496X-12.7602617489589</t>
    </r>
  </si>
  <si>
    <r>
      <t>0.00133848899464604X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-0.194527067221891X+7.06781677572872</t>
    </r>
  </si>
  <si>
    <t>*CALCULATOR FOR CONVERGENCE</t>
  </si>
  <si>
    <t>Moderate</t>
  </si>
  <si>
    <t>03 - Passenger Side</t>
  </si>
  <si>
    <t>CLAIM_TIER_DESC</t>
  </si>
  <si>
    <t>Claim Tier Description</t>
  </si>
  <si>
    <t>Low Severity</t>
  </si>
  <si>
    <t>Medium Severity</t>
  </si>
  <si>
    <t>1900-2016</t>
  </si>
  <si>
    <t>*LOG OF THE LABOR HOURS</t>
  </si>
  <si>
    <t>*LOG OF THE TYPICAL VALUE</t>
  </si>
  <si>
    <t>Typical Value</t>
  </si>
  <si>
    <t>Total Labor Hours</t>
  </si>
  <si>
    <t>TYPICAL_VALUE_AMT</t>
  </si>
  <si>
    <t>LABOR_TOTAL_HRS</t>
  </si>
  <si>
    <t>AUDATEX_ESTIMATE_DAILY</t>
  </si>
  <si>
    <t>CL_Shared_lob_details</t>
  </si>
  <si>
    <t>TBD</t>
  </si>
  <si>
    <t>Hit and Run Indicator</t>
  </si>
  <si>
    <t>N</t>
  </si>
  <si>
    <t>*Reference*</t>
  </si>
  <si>
    <t>08 - Driver Rear Side</t>
  </si>
  <si>
    <t>Model Variable Input</t>
  </si>
  <si>
    <t>Modification 1</t>
  </si>
  <si>
    <t>Modification 2</t>
  </si>
  <si>
    <t>Logistic Contribution</t>
  </si>
  <si>
    <t>LogNormal Contribution</t>
  </si>
  <si>
    <t>Probability</t>
  </si>
  <si>
    <t>Cond. Recovery</t>
  </si>
  <si>
    <t>Exp. Recovery</t>
  </si>
  <si>
    <t>N/A</t>
  </si>
  <si>
    <t>testCase</t>
  </si>
  <si>
    <t>severityTypeDesc</t>
  </si>
  <si>
    <t>vehicleRentalInd</t>
  </si>
  <si>
    <t>totalLossInd</t>
  </si>
  <si>
    <t>initialPointOfImpactDesc</t>
  </si>
  <si>
    <t>lossCauseTypeDesc</t>
  </si>
  <si>
    <t>multiCarInd</t>
  </si>
  <si>
    <t>primaryDriverAge</t>
  </si>
  <si>
    <t>vehicleMake</t>
  </si>
  <si>
    <t>vehicleYear</t>
  </si>
  <si>
    <t>deductibleWaiverInd</t>
  </si>
  <si>
    <t>deductibleAmountPaid</t>
  </si>
  <si>
    <t>coverageDeductible</t>
  </si>
  <si>
    <t>jurisdictionGroup</t>
  </si>
  <si>
    <t>grossLoss</t>
  </si>
  <si>
    <t>claimTierDesc</t>
  </si>
  <si>
    <t>hitAndRunInd</t>
  </si>
  <si>
    <t>CondRecovery</t>
  </si>
  <si>
    <t>ExpRecovery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</si>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</sst>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3F3F76"/>
      <name val="Arial"/>
      <family val="2"/>
    </font>
    <font>
      <b/>
      <sz val="11"/>
      <color rgb="FFFA7D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6" borderId="16" applyNumberFormat="0" applyAlignment="0" applyProtection="0"/>
    <xf numFmtId="0" fontId="7" fillId="7" borderId="16" applyNumberFormat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1" xfId="0" applyFont="1" applyBorder="1"/>
    <xf numFmtId="0" fontId="2" fillId="0" borderId="0" xfId="0" applyFont="1" applyBorder="1"/>
    <xf numFmtId="0" fontId="0" fillId="0" borderId="0" xfId="0" applyBorder="1"/>
    <xf numFmtId="0" fontId="2" fillId="0" borderId="12" xfId="0" applyFont="1" applyBorder="1"/>
    <xf numFmtId="0" fontId="1" fillId="0" borderId="0" xfId="0" applyFont="1" applyFill="1" applyBorder="1"/>
    <xf numFmtId="0" fontId="0" fillId="2" borderId="0" xfId="0" applyFill="1"/>
    <xf numFmtId="0" fontId="2" fillId="3" borderId="0" xfId="0" applyFont="1" applyFill="1" applyBorder="1"/>
    <xf numFmtId="0" fontId="0" fillId="3" borderId="0" xfId="0" applyFill="1" applyBorder="1"/>
    <xf numFmtId="0" fontId="2" fillId="2" borderId="6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9" xfId="0" applyFill="1" applyBorder="1"/>
    <xf numFmtId="0" fontId="2" fillId="2" borderId="9" xfId="0" applyFont="1" applyFill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7" xfId="0" applyFont="1" applyBorder="1"/>
    <xf numFmtId="0" fontId="2" fillId="0" borderId="6" xfId="0" applyFont="1" applyFill="1" applyBorder="1"/>
    <xf numFmtId="11" fontId="2" fillId="0" borderId="3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6" fillId="6" borderId="16" xfId="1"/>
    <xf numFmtId="0" fontId="7" fillId="7" borderId="16" xfId="2"/>
    <xf numFmtId="0" fontId="7" fillId="7" borderId="16" xfId="2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164" fontId="0" fillId="0" borderId="0" xfId="0" applyNumberFormat="1"/>
    <xf numFmtId="164" fontId="0" fillId="8" borderId="0" xfId="0" applyNumberFormat="1" applyFill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68"/>
  <sheetViews>
    <sheetView topLeftCell="C52" zoomScaleNormal="100" workbookViewId="0">
      <selection activeCell="F62" sqref="F62"/>
    </sheetView>
  </sheetViews>
  <sheetFormatPr defaultRowHeight="14.25" x14ac:dyDescent="0.2"/>
  <cols>
    <col min="1" max="1" width="32.125" style="18" bestFit="1" customWidth="1"/>
    <col min="2" max="2" width="26" style="18" bestFit="1" customWidth="1"/>
    <col min="3" max="3" width="28.5" style="18" bestFit="1" customWidth="1"/>
    <col min="4" max="4" width="50.125" style="18" bestFit="1" customWidth="1"/>
    <col min="5" max="5" width="36.75" style="18" bestFit="1" customWidth="1"/>
    <col min="6" max="6" width="20.625" style="18" customWidth="1"/>
    <col min="7" max="7" width="36.75" style="18" bestFit="1" customWidth="1"/>
    <col min="9" max="9" width="26.5" bestFit="1" customWidth="1"/>
    <col min="10" max="10" width="34.25" bestFit="1" customWidth="1"/>
  </cols>
  <sheetData>
    <row r="1" spans="1:10" ht="15" x14ac:dyDescent="0.25">
      <c r="A1" s="2" t="s">
        <v>6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4" t="s">
        <v>4</v>
      </c>
      <c r="I1" s="24" t="s">
        <v>76</v>
      </c>
      <c r="J1" s="24" t="s">
        <v>6</v>
      </c>
    </row>
    <row r="2" spans="1:10" x14ac:dyDescent="0.2">
      <c r="A2" s="8" t="s">
        <v>7</v>
      </c>
      <c r="B2" s="9" t="s">
        <v>9</v>
      </c>
      <c r="C2" s="9" t="s">
        <v>10</v>
      </c>
      <c r="D2" s="9" t="s">
        <v>8</v>
      </c>
      <c r="E2" s="9"/>
      <c r="F2" s="9">
        <v>45.010222825343703</v>
      </c>
      <c r="G2" s="10"/>
      <c r="I2" t="s">
        <v>77</v>
      </c>
      <c r="J2" t="s">
        <v>73</v>
      </c>
    </row>
    <row r="3" spans="1:10" x14ac:dyDescent="0.2">
      <c r="A3" s="11" t="s">
        <v>11</v>
      </c>
      <c r="B3" s="12" t="s">
        <v>12</v>
      </c>
      <c r="C3" s="12" t="s">
        <v>13</v>
      </c>
      <c r="D3" s="12" t="s">
        <v>15</v>
      </c>
      <c r="E3" s="12" t="s">
        <v>14</v>
      </c>
      <c r="F3" s="12">
        <v>0.26294672535788899</v>
      </c>
      <c r="G3" s="13" t="s">
        <v>17</v>
      </c>
      <c r="I3" s="19" t="s">
        <v>78</v>
      </c>
      <c r="J3" t="s">
        <v>38</v>
      </c>
    </row>
    <row r="4" spans="1:10" x14ac:dyDescent="0.2">
      <c r="A4" s="14"/>
      <c r="B4" s="15"/>
      <c r="C4" s="15"/>
      <c r="D4" s="15"/>
      <c r="E4" s="15" t="s">
        <v>16</v>
      </c>
      <c r="F4" s="15">
        <v>-5.4662735499417803E-2</v>
      </c>
      <c r="G4" s="16"/>
      <c r="I4" s="19" t="s">
        <v>78</v>
      </c>
      <c r="J4" t="s">
        <v>18</v>
      </c>
    </row>
    <row r="5" spans="1:10" x14ac:dyDescent="0.2">
      <c r="A5" s="8" t="s">
        <v>18</v>
      </c>
      <c r="B5" s="9" t="s">
        <v>19</v>
      </c>
      <c r="C5" s="9" t="s">
        <v>20</v>
      </c>
      <c r="D5" s="17" t="s">
        <v>15</v>
      </c>
      <c r="E5" s="17" t="s">
        <v>21</v>
      </c>
      <c r="F5" s="9">
        <v>0.15159474572281001</v>
      </c>
      <c r="G5" s="10" t="s">
        <v>17</v>
      </c>
      <c r="I5" s="19" t="s">
        <v>78</v>
      </c>
      <c r="J5" t="s">
        <v>11</v>
      </c>
    </row>
    <row r="6" spans="1:10" x14ac:dyDescent="0.2">
      <c r="A6" s="8" t="s">
        <v>18</v>
      </c>
      <c r="B6" s="9" t="s">
        <v>22</v>
      </c>
      <c r="C6" s="9" t="s">
        <v>23</v>
      </c>
      <c r="D6" s="17" t="s">
        <v>15</v>
      </c>
      <c r="E6" s="9" t="s">
        <v>21</v>
      </c>
      <c r="F6" s="9">
        <v>-0.59599461116075603</v>
      </c>
      <c r="G6" s="10" t="s">
        <v>17</v>
      </c>
      <c r="I6" s="19" t="s">
        <v>78</v>
      </c>
      <c r="J6" t="s">
        <v>257</v>
      </c>
    </row>
    <row r="7" spans="1:10" x14ac:dyDescent="0.2">
      <c r="A7" s="11" t="s">
        <v>18</v>
      </c>
      <c r="B7" s="12" t="s">
        <v>24</v>
      </c>
      <c r="C7" s="12" t="s">
        <v>25</v>
      </c>
      <c r="D7" s="12" t="s">
        <v>15</v>
      </c>
      <c r="E7" s="12" t="s">
        <v>26</v>
      </c>
      <c r="F7" s="12">
        <v>-3.5553351768463401E-2</v>
      </c>
      <c r="G7" s="13" t="s">
        <v>17</v>
      </c>
    </row>
    <row r="8" spans="1:10" x14ac:dyDescent="0.2">
      <c r="A8" s="20"/>
      <c r="B8" s="21"/>
      <c r="C8" s="21"/>
      <c r="D8" s="22"/>
      <c r="E8" s="21" t="s">
        <v>27</v>
      </c>
      <c r="F8" s="21">
        <v>0.11832255558081201</v>
      </c>
      <c r="G8" s="23"/>
    </row>
    <row r="9" spans="1:10" x14ac:dyDescent="0.2">
      <c r="A9" s="20"/>
      <c r="B9" s="21"/>
      <c r="C9" s="21"/>
      <c r="D9" s="22"/>
      <c r="E9" s="21" t="s">
        <v>28</v>
      </c>
      <c r="F9" s="21">
        <v>0.38311646055569198</v>
      </c>
      <c r="G9" s="23"/>
    </row>
    <row r="10" spans="1:10" x14ac:dyDescent="0.2">
      <c r="A10" s="20"/>
      <c r="B10" s="21"/>
      <c r="C10" s="21"/>
      <c r="D10" s="22"/>
      <c r="E10" s="21" t="s">
        <v>29</v>
      </c>
      <c r="F10" s="21">
        <v>0.41775939240781501</v>
      </c>
      <c r="G10" s="23"/>
    </row>
    <row r="11" spans="1:10" x14ac:dyDescent="0.2">
      <c r="A11" s="20"/>
      <c r="B11" s="21"/>
      <c r="C11" s="21"/>
      <c r="D11" s="22"/>
      <c r="E11" s="21" t="s">
        <v>30</v>
      </c>
      <c r="F11" s="21">
        <v>0.22213781677844999</v>
      </c>
      <c r="G11" s="23"/>
    </row>
    <row r="12" spans="1:10" x14ac:dyDescent="0.2">
      <c r="A12" s="20"/>
      <c r="B12" s="21"/>
      <c r="C12" s="21"/>
      <c r="D12" s="22"/>
      <c r="E12" s="21" t="s">
        <v>32</v>
      </c>
      <c r="F12" s="21">
        <v>-0.14634191812407699</v>
      </c>
      <c r="G12" s="23"/>
    </row>
    <row r="13" spans="1:10" x14ac:dyDescent="0.2">
      <c r="A13" s="20"/>
      <c r="B13" s="21"/>
      <c r="C13" s="21"/>
      <c r="D13" s="22"/>
      <c r="E13" s="21" t="s">
        <v>33</v>
      </c>
      <c r="F13" s="21">
        <v>-1.0617455093538599</v>
      </c>
      <c r="G13" s="23"/>
    </row>
    <row r="14" spans="1:10" x14ac:dyDescent="0.2">
      <c r="A14" s="20"/>
      <c r="B14" s="21"/>
      <c r="C14" s="21"/>
      <c r="D14" s="22"/>
      <c r="E14" s="21" t="s">
        <v>31</v>
      </c>
      <c r="F14" s="21">
        <v>-8.4553591210854803E-2</v>
      </c>
      <c r="G14" s="23"/>
    </row>
    <row r="15" spans="1:10" x14ac:dyDescent="0.2">
      <c r="A15" s="20"/>
      <c r="B15" s="21"/>
      <c r="C15" s="21"/>
      <c r="D15" s="22"/>
      <c r="E15" s="21" t="s">
        <v>34</v>
      </c>
      <c r="F15" s="21">
        <v>0.27154226694408101</v>
      </c>
      <c r="G15" s="23"/>
    </row>
    <row r="16" spans="1:10" x14ac:dyDescent="0.2">
      <c r="A16" s="20"/>
      <c r="B16" s="21"/>
      <c r="C16" s="21"/>
      <c r="D16" s="22"/>
      <c r="E16" s="21" t="s">
        <v>35</v>
      </c>
      <c r="F16" s="21">
        <v>0.19609360185865801</v>
      </c>
      <c r="G16" s="23"/>
    </row>
    <row r="17" spans="1:7" x14ac:dyDescent="0.2">
      <c r="A17" s="20"/>
      <c r="B17" s="21"/>
      <c r="C17" s="21"/>
      <c r="D17" s="22"/>
      <c r="E17" s="21" t="s">
        <v>36</v>
      </c>
      <c r="F17" s="21">
        <v>0.43883185455145102</v>
      </c>
      <c r="G17" s="23"/>
    </row>
    <row r="18" spans="1:7" x14ac:dyDescent="0.2">
      <c r="A18" s="14"/>
      <c r="B18" s="15"/>
      <c r="C18" s="15"/>
      <c r="D18" s="7"/>
      <c r="E18" s="15" t="s">
        <v>37</v>
      </c>
      <c r="F18" s="15">
        <v>-0.83988502203236504</v>
      </c>
      <c r="G18" s="16"/>
    </row>
    <row r="19" spans="1:7" x14ac:dyDescent="0.2">
      <c r="A19" s="11" t="s">
        <v>38</v>
      </c>
      <c r="B19" s="12" t="s">
        <v>39</v>
      </c>
      <c r="C19" s="12" t="s">
        <v>40</v>
      </c>
      <c r="D19" s="12" t="s">
        <v>15</v>
      </c>
      <c r="E19" s="12" t="s">
        <v>41</v>
      </c>
      <c r="F19" s="12">
        <v>-2.4035376609419199</v>
      </c>
      <c r="G19" s="13" t="s">
        <v>17</v>
      </c>
    </row>
    <row r="20" spans="1:7" x14ac:dyDescent="0.2">
      <c r="A20" s="20"/>
      <c r="B20" s="21"/>
      <c r="C20" s="21"/>
      <c r="D20" s="21"/>
      <c r="E20" s="21" t="s">
        <v>42</v>
      </c>
      <c r="F20" s="21">
        <v>-0.40877293105865897</v>
      </c>
      <c r="G20" s="23"/>
    </row>
    <row r="21" spans="1:7" x14ac:dyDescent="0.2">
      <c r="A21" s="20"/>
      <c r="B21" s="21"/>
      <c r="C21" s="21"/>
      <c r="D21" s="21"/>
      <c r="E21" s="21" t="s">
        <v>43</v>
      </c>
      <c r="F21" s="21">
        <v>-1.1310297091707999</v>
      </c>
      <c r="G21" s="23"/>
    </row>
    <row r="22" spans="1:7" x14ac:dyDescent="0.2">
      <c r="A22" s="20"/>
      <c r="B22" s="21"/>
      <c r="C22" s="21"/>
      <c r="D22" s="21"/>
      <c r="E22" s="21" t="s">
        <v>44</v>
      </c>
      <c r="F22" s="21">
        <v>-2.7757264302580502</v>
      </c>
      <c r="G22" s="23"/>
    </row>
    <row r="23" spans="1:7" x14ac:dyDescent="0.2">
      <c r="A23" s="20"/>
      <c r="B23" s="21"/>
      <c r="C23" s="21"/>
      <c r="D23" s="21"/>
      <c r="E23" s="21" t="s">
        <v>45</v>
      </c>
      <c r="F23" s="21">
        <v>-7.0114379818450798</v>
      </c>
      <c r="G23" s="23"/>
    </row>
    <row r="24" spans="1:7" x14ac:dyDescent="0.2">
      <c r="A24" s="20"/>
      <c r="B24" s="21"/>
      <c r="C24" s="21"/>
      <c r="D24" s="21"/>
      <c r="E24" s="21" t="s">
        <v>46</v>
      </c>
      <c r="F24" s="21">
        <v>-4.3093790002717496</v>
      </c>
      <c r="G24" s="23"/>
    </row>
    <row r="25" spans="1:7" x14ac:dyDescent="0.2">
      <c r="A25" s="20"/>
      <c r="B25" s="21"/>
      <c r="C25" s="21"/>
      <c r="D25" s="21"/>
      <c r="E25" s="21" t="s">
        <v>47</v>
      </c>
      <c r="F25" s="21">
        <v>-6.4163715471700602</v>
      </c>
      <c r="G25" s="23"/>
    </row>
    <row r="26" spans="1:7" x14ac:dyDescent="0.2">
      <c r="A26" s="20"/>
      <c r="B26" s="21"/>
      <c r="C26" s="21"/>
      <c r="D26" s="21"/>
      <c r="E26" s="21" t="s">
        <v>48</v>
      </c>
      <c r="F26" s="21">
        <v>-2.6241080025900199</v>
      </c>
      <c r="G26" s="23"/>
    </row>
    <row r="27" spans="1:7" x14ac:dyDescent="0.2">
      <c r="A27" s="20"/>
      <c r="B27" s="21"/>
      <c r="C27" s="21"/>
      <c r="D27" s="21"/>
      <c r="E27" s="21" t="s">
        <v>49</v>
      </c>
      <c r="F27" s="21">
        <v>-5.2612902409071198</v>
      </c>
      <c r="G27" s="23"/>
    </row>
    <row r="28" spans="1:7" x14ac:dyDescent="0.2">
      <c r="A28" s="20"/>
      <c r="B28" s="21"/>
      <c r="C28" s="21"/>
      <c r="D28" s="21"/>
      <c r="E28" s="21" t="s">
        <v>50</v>
      </c>
      <c r="F28" s="21">
        <v>-0.88111396859993196</v>
      </c>
      <c r="G28" s="23"/>
    </row>
    <row r="29" spans="1:7" x14ac:dyDescent="0.2">
      <c r="A29" s="20"/>
      <c r="B29" s="21"/>
      <c r="C29" s="21"/>
      <c r="D29" s="21"/>
      <c r="E29" s="21" t="s">
        <v>51</v>
      </c>
      <c r="F29" s="21">
        <v>-2.4373899805706301</v>
      </c>
      <c r="G29" s="23"/>
    </row>
    <row r="30" spans="1:7" x14ac:dyDescent="0.2">
      <c r="A30" s="20"/>
      <c r="B30" s="21"/>
      <c r="C30" s="21"/>
      <c r="D30" s="21"/>
      <c r="E30" s="21" t="s">
        <v>52</v>
      </c>
      <c r="F30" s="21">
        <v>-2.2306152773603301</v>
      </c>
      <c r="G30" s="23"/>
    </row>
    <row r="31" spans="1:7" x14ac:dyDescent="0.2">
      <c r="A31" s="20"/>
      <c r="B31" s="21"/>
      <c r="C31" s="21"/>
      <c r="D31" s="21"/>
      <c r="E31" s="21" t="s">
        <v>53</v>
      </c>
      <c r="F31" s="21">
        <v>-1.4086206424184999</v>
      </c>
      <c r="G31" s="23"/>
    </row>
    <row r="32" spans="1:7" x14ac:dyDescent="0.2">
      <c r="A32" s="20"/>
      <c r="B32" s="21"/>
      <c r="C32" s="21"/>
      <c r="D32" s="21"/>
      <c r="E32" s="21" t="s">
        <v>54</v>
      </c>
      <c r="F32" s="21">
        <v>-1.50261470847566</v>
      </c>
      <c r="G32" s="23"/>
    </row>
    <row r="33" spans="1:7" x14ac:dyDescent="0.2">
      <c r="A33" s="20"/>
      <c r="B33" s="21"/>
      <c r="C33" s="21"/>
      <c r="E33" s="29" t="s">
        <v>139</v>
      </c>
      <c r="F33" s="29">
        <v>-4.05450982901153</v>
      </c>
      <c r="G33" s="23"/>
    </row>
    <row r="34" spans="1:7" x14ac:dyDescent="0.2">
      <c r="A34" s="8" t="s">
        <v>73</v>
      </c>
      <c r="B34" s="9" t="s">
        <v>74</v>
      </c>
      <c r="C34" s="9" t="s">
        <v>75</v>
      </c>
      <c r="D34" s="9" t="s">
        <v>15</v>
      </c>
      <c r="E34" s="9" t="s">
        <v>21</v>
      </c>
      <c r="F34" s="9">
        <v>4.4282780545973899E-2</v>
      </c>
      <c r="G34" s="10" t="s">
        <v>17</v>
      </c>
    </row>
    <row r="35" spans="1:7" x14ac:dyDescent="0.2">
      <c r="A35" s="11" t="s">
        <v>18</v>
      </c>
      <c r="B35" s="12" t="s">
        <v>79</v>
      </c>
      <c r="C35" s="12" t="s">
        <v>80</v>
      </c>
      <c r="D35" s="6" t="s">
        <v>15</v>
      </c>
      <c r="E35" s="12" t="s">
        <v>81</v>
      </c>
      <c r="F35" s="6">
        <v>-0.133701369755022</v>
      </c>
      <c r="G35" s="13" t="s">
        <v>17</v>
      </c>
    </row>
    <row r="36" spans="1:7" x14ac:dyDescent="0.2">
      <c r="A36" s="20"/>
      <c r="B36" s="21"/>
      <c r="C36" s="21"/>
      <c r="D36" s="22"/>
      <c r="E36" s="21" t="s">
        <v>82</v>
      </c>
      <c r="F36" s="22">
        <v>-0.17426816574724699</v>
      </c>
      <c r="G36" s="23"/>
    </row>
    <row r="37" spans="1:7" x14ac:dyDescent="0.2">
      <c r="A37" s="20"/>
      <c r="B37" s="21"/>
      <c r="C37" s="21"/>
      <c r="D37" s="22"/>
      <c r="E37" s="21" t="s">
        <v>83</v>
      </c>
      <c r="F37" s="22">
        <v>-0.25316512578638201</v>
      </c>
      <c r="G37" s="23"/>
    </row>
    <row r="38" spans="1:7" x14ac:dyDescent="0.2">
      <c r="A38" s="20"/>
      <c r="B38" s="21"/>
      <c r="C38" s="21"/>
      <c r="D38" s="22"/>
      <c r="E38" s="21" t="s">
        <v>84</v>
      </c>
      <c r="F38" s="22">
        <v>-9.0424983096009895E-2</v>
      </c>
      <c r="G38" s="23"/>
    </row>
    <row r="39" spans="1:7" x14ac:dyDescent="0.2">
      <c r="A39" s="20"/>
      <c r="B39" s="21"/>
      <c r="C39" s="21"/>
      <c r="D39" s="22"/>
      <c r="E39" s="21" t="s">
        <v>85</v>
      </c>
      <c r="F39" s="22">
        <v>-0.13230221470928699</v>
      </c>
      <c r="G39" s="23"/>
    </row>
    <row r="40" spans="1:7" x14ac:dyDescent="0.2">
      <c r="A40" s="20"/>
      <c r="B40" s="21"/>
      <c r="C40" s="21"/>
      <c r="D40" s="22"/>
      <c r="E40" s="21" t="s">
        <v>86</v>
      </c>
      <c r="F40" s="22">
        <v>0.17252462357822199</v>
      </c>
      <c r="G40" s="23"/>
    </row>
    <row r="41" spans="1:7" x14ac:dyDescent="0.2">
      <c r="A41" s="20"/>
      <c r="B41" s="21"/>
      <c r="C41" s="21"/>
      <c r="D41" s="22"/>
      <c r="E41" s="21" t="s">
        <v>87</v>
      </c>
      <c r="F41" s="22">
        <v>0.103828116171914</v>
      </c>
      <c r="G41" s="23"/>
    </row>
    <row r="42" spans="1:7" x14ac:dyDescent="0.2">
      <c r="A42" s="20"/>
      <c r="B42" s="21"/>
      <c r="C42" s="21"/>
      <c r="D42" s="22"/>
      <c r="E42" s="21" t="s">
        <v>88</v>
      </c>
      <c r="F42" s="22">
        <v>-0.177944916456797</v>
      </c>
      <c r="G42" s="23"/>
    </row>
    <row r="43" spans="1:7" x14ac:dyDescent="0.2">
      <c r="A43" s="20"/>
      <c r="B43" s="21"/>
      <c r="C43" s="21"/>
      <c r="D43" s="22"/>
      <c r="E43" s="21" t="s">
        <v>89</v>
      </c>
      <c r="F43" s="22">
        <v>-0.326778917977466</v>
      </c>
      <c r="G43" s="23"/>
    </row>
    <row r="44" spans="1:7" x14ac:dyDescent="0.2">
      <c r="A44" s="20"/>
      <c r="B44" s="21"/>
      <c r="C44" s="21"/>
      <c r="D44" s="22"/>
      <c r="E44" s="21" t="s">
        <v>90</v>
      </c>
      <c r="F44" s="22">
        <v>9.55810585072015E-2</v>
      </c>
      <c r="G44" s="23"/>
    </row>
    <row r="45" spans="1:7" x14ac:dyDescent="0.2">
      <c r="A45" s="20"/>
      <c r="B45" s="21"/>
      <c r="C45" s="21"/>
      <c r="D45" s="22"/>
      <c r="E45" s="21" t="s">
        <v>91</v>
      </c>
      <c r="F45" s="22">
        <v>-0.13641969657848699</v>
      </c>
      <c r="G45" s="23"/>
    </row>
    <row r="46" spans="1:7" x14ac:dyDescent="0.2">
      <c r="A46" s="20"/>
      <c r="B46" s="21"/>
      <c r="C46" s="21"/>
      <c r="D46" s="22"/>
      <c r="E46" s="21" t="s">
        <v>92</v>
      </c>
      <c r="F46" s="22">
        <v>-0.21954871774111601</v>
      </c>
      <c r="G46" s="23"/>
    </row>
    <row r="47" spans="1:7" x14ac:dyDescent="0.2">
      <c r="A47" s="20"/>
      <c r="B47" s="21"/>
      <c r="C47" s="21"/>
      <c r="D47" s="22"/>
      <c r="E47" s="21" t="s">
        <v>93</v>
      </c>
      <c r="F47" s="22">
        <v>0.12891222340687</v>
      </c>
      <c r="G47" s="23"/>
    </row>
    <row r="48" spans="1:7" x14ac:dyDescent="0.2">
      <c r="A48" s="20"/>
      <c r="B48" s="21"/>
      <c r="C48" s="21"/>
      <c r="D48" s="22"/>
      <c r="E48" s="21" t="s">
        <v>94</v>
      </c>
      <c r="F48" s="22">
        <v>-0.235032298589406</v>
      </c>
      <c r="G48" s="23"/>
    </row>
    <row r="49" spans="1:7" x14ac:dyDescent="0.2">
      <c r="A49" s="20"/>
      <c r="B49" s="21"/>
      <c r="C49" s="21"/>
      <c r="D49" s="22"/>
      <c r="E49" s="21" t="s">
        <v>97</v>
      </c>
      <c r="F49" s="22">
        <v>-0.30597154391034398</v>
      </c>
      <c r="G49" s="23"/>
    </row>
    <row r="50" spans="1:7" x14ac:dyDescent="0.2">
      <c r="A50" s="20"/>
      <c r="B50" s="21"/>
      <c r="C50" s="21"/>
      <c r="D50" s="22"/>
      <c r="E50" s="21" t="s">
        <v>95</v>
      </c>
      <c r="F50" s="22">
        <v>0.20701548759034599</v>
      </c>
      <c r="G50" s="23"/>
    </row>
    <row r="51" spans="1:7" x14ac:dyDescent="0.2">
      <c r="A51" s="20"/>
      <c r="B51" s="21"/>
      <c r="C51" s="21"/>
      <c r="D51" s="22"/>
      <c r="E51" s="21" t="s">
        <v>96</v>
      </c>
      <c r="F51" s="22">
        <v>5.7032213465976797E-2</v>
      </c>
      <c r="G51" s="23"/>
    </row>
    <row r="52" spans="1:7" x14ac:dyDescent="0.2">
      <c r="A52" s="20"/>
      <c r="B52" s="21"/>
      <c r="C52" s="21"/>
      <c r="D52" s="22"/>
      <c r="E52" s="21" t="s">
        <v>98</v>
      </c>
      <c r="F52" s="22">
        <v>0.23302509616327499</v>
      </c>
      <c r="G52" s="23"/>
    </row>
    <row r="53" spans="1:7" x14ac:dyDescent="0.2">
      <c r="A53" s="14"/>
      <c r="B53" s="15"/>
      <c r="C53" s="15"/>
      <c r="D53" s="15"/>
      <c r="E53" s="31" t="s">
        <v>139</v>
      </c>
      <c r="F53" s="31">
        <v>-0.80354297783749795</v>
      </c>
      <c r="G53" s="16"/>
    </row>
    <row r="54" spans="1:7" x14ac:dyDescent="0.2">
      <c r="A54" s="8" t="s">
        <v>18</v>
      </c>
      <c r="B54" s="9" t="s">
        <v>193</v>
      </c>
      <c r="C54" s="9" t="s">
        <v>194</v>
      </c>
      <c r="D54" s="9" t="s">
        <v>8</v>
      </c>
      <c r="E54" s="9" t="s">
        <v>293</v>
      </c>
      <c r="F54" s="9">
        <v>-2.4044186814411499E-2</v>
      </c>
      <c r="G54" s="33" t="s">
        <v>272</v>
      </c>
    </row>
    <row r="55" spans="1:7" x14ac:dyDescent="0.2">
      <c r="A55" s="8" t="s">
        <v>18</v>
      </c>
      <c r="B55" s="9" t="s">
        <v>195</v>
      </c>
      <c r="C55" s="9" t="s">
        <v>196</v>
      </c>
      <c r="D55" s="9" t="s">
        <v>15</v>
      </c>
      <c r="E55" s="9" t="s">
        <v>21</v>
      </c>
      <c r="F55" s="9">
        <v>0.73784699890055405</v>
      </c>
      <c r="G55" s="10" t="s">
        <v>17</v>
      </c>
    </row>
    <row r="56" spans="1:7" x14ac:dyDescent="0.2">
      <c r="A56" s="11" t="s">
        <v>197</v>
      </c>
      <c r="B56" s="12" t="s">
        <v>198</v>
      </c>
      <c r="C56" s="12" t="s">
        <v>199</v>
      </c>
      <c r="D56" s="12" t="s">
        <v>15</v>
      </c>
      <c r="E56" s="28" t="s">
        <v>200</v>
      </c>
      <c r="F56" s="28">
        <v>0</v>
      </c>
      <c r="G56" s="13"/>
    </row>
    <row r="57" spans="1:7" x14ac:dyDescent="0.2">
      <c r="A57" s="20"/>
      <c r="B57" s="21"/>
      <c r="C57" s="21"/>
      <c r="D57" s="21"/>
      <c r="E57" s="29" t="s">
        <v>201</v>
      </c>
      <c r="F57" s="30">
        <v>0.24071901875645399</v>
      </c>
      <c r="G57" s="23"/>
    </row>
    <row r="58" spans="1:7" x14ac:dyDescent="0.2">
      <c r="A58" s="20"/>
      <c r="B58" s="21"/>
      <c r="C58" s="21"/>
      <c r="D58" s="21"/>
      <c r="E58" s="29" t="s">
        <v>202</v>
      </c>
      <c r="F58" s="30">
        <v>0.20944337156956599</v>
      </c>
      <c r="G58" s="23"/>
    </row>
    <row r="59" spans="1:7" x14ac:dyDescent="0.2">
      <c r="A59" s="14"/>
      <c r="B59" s="15"/>
      <c r="C59" s="15"/>
      <c r="D59" s="15"/>
      <c r="E59" s="32" t="s">
        <v>203</v>
      </c>
      <c r="F59" s="32">
        <v>0</v>
      </c>
      <c r="G59" s="16"/>
    </row>
    <row r="60" spans="1:7" x14ac:dyDescent="0.2">
      <c r="A60" s="8" t="s">
        <v>257</v>
      </c>
      <c r="B60" s="9" t="s">
        <v>258</v>
      </c>
      <c r="C60" s="9" t="s">
        <v>259</v>
      </c>
      <c r="D60" s="9" t="s">
        <v>8</v>
      </c>
      <c r="E60" s="9"/>
      <c r="F60" s="5">
        <v>3.4081495737870102E-3</v>
      </c>
      <c r="G60" s="10"/>
    </row>
    <row r="61" spans="1:7" x14ac:dyDescent="0.2">
      <c r="A61" s="8" t="s">
        <v>197</v>
      </c>
      <c r="B61" s="9" t="s">
        <v>260</v>
      </c>
      <c r="C61" s="9" t="s">
        <v>261</v>
      </c>
      <c r="D61" s="9" t="s">
        <v>8</v>
      </c>
      <c r="E61" s="9"/>
      <c r="F61" s="5">
        <v>2.65440615069211E-3</v>
      </c>
      <c r="G61" s="10"/>
    </row>
    <row r="62" spans="1:7" x14ac:dyDescent="0.2">
      <c r="A62" s="8" t="s">
        <v>257</v>
      </c>
      <c r="B62" s="9" t="s">
        <v>262</v>
      </c>
      <c r="C62" s="9" t="s">
        <v>263</v>
      </c>
      <c r="D62" s="9" t="s">
        <v>8</v>
      </c>
      <c r="E62" s="9"/>
      <c r="F62" s="5">
        <v>0.42699579758384398</v>
      </c>
      <c r="G62" s="33" t="s">
        <v>264</v>
      </c>
    </row>
    <row r="63" spans="1:7" x14ac:dyDescent="0.2">
      <c r="A63" s="11" t="s">
        <v>73</v>
      </c>
      <c r="B63" s="12" t="s">
        <v>265</v>
      </c>
      <c r="C63" s="12" t="s">
        <v>266</v>
      </c>
      <c r="D63" s="12" t="s">
        <v>8</v>
      </c>
      <c r="E63" s="28" t="s">
        <v>271</v>
      </c>
      <c r="F63" s="28">
        <v>0</v>
      </c>
      <c r="G63" s="49" t="s">
        <v>286</v>
      </c>
    </row>
    <row r="64" spans="1:7" x14ac:dyDescent="0.2">
      <c r="A64" s="20"/>
      <c r="B64" s="21"/>
      <c r="C64" s="21"/>
      <c r="D64" s="21"/>
      <c r="E64" s="30" t="s">
        <v>267</v>
      </c>
      <c r="F64" s="30">
        <v>0.40080750578277702</v>
      </c>
      <c r="G64" s="23"/>
    </row>
    <row r="65" spans="1:7" x14ac:dyDescent="0.2">
      <c r="A65" s="20"/>
      <c r="B65" s="21"/>
      <c r="C65" s="21"/>
      <c r="D65" s="21"/>
      <c r="E65" s="30" t="s">
        <v>268</v>
      </c>
      <c r="F65" s="30">
        <v>0.33524276594258401</v>
      </c>
      <c r="G65" s="23"/>
    </row>
    <row r="66" spans="1:7" x14ac:dyDescent="0.2">
      <c r="A66" s="20"/>
      <c r="B66" s="21"/>
      <c r="C66" s="21"/>
      <c r="D66" s="21"/>
      <c r="E66" s="30" t="s">
        <v>269</v>
      </c>
      <c r="F66" s="30">
        <v>0.54249329072894303</v>
      </c>
      <c r="G66" s="23"/>
    </row>
    <row r="67" spans="1:7" x14ac:dyDescent="0.2">
      <c r="A67" s="14"/>
      <c r="B67" s="15"/>
      <c r="C67" s="15"/>
      <c r="D67" s="15"/>
      <c r="E67" s="31" t="s">
        <v>270</v>
      </c>
      <c r="F67" s="31">
        <v>-1.0092139492446099</v>
      </c>
      <c r="G67" s="16"/>
    </row>
    <row r="68" spans="1:7" x14ac:dyDescent="0.2">
      <c r="A68" s="52" t="s">
        <v>302</v>
      </c>
      <c r="B68" s="53" t="s">
        <v>302</v>
      </c>
      <c r="C68" s="53" t="s">
        <v>303</v>
      </c>
      <c r="D68" s="53" t="s">
        <v>15</v>
      </c>
      <c r="E68" s="9"/>
      <c r="F68" s="9"/>
      <c r="G6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35"/>
  <sheetViews>
    <sheetView topLeftCell="B16" zoomScaleNormal="100" workbookViewId="0">
      <selection activeCell="F32" sqref="F32"/>
    </sheetView>
  </sheetViews>
  <sheetFormatPr defaultRowHeight="14.25" x14ac:dyDescent="0.2"/>
  <cols>
    <col min="1" max="1" width="29.625" bestFit="1" customWidth="1"/>
    <col min="2" max="2" width="23.875" bestFit="1" customWidth="1"/>
    <col min="3" max="3" width="25.75" bestFit="1" customWidth="1"/>
    <col min="4" max="4" width="9" bestFit="1" customWidth="1"/>
    <col min="5" max="5" width="36.375" bestFit="1" customWidth="1"/>
    <col min="6" max="6" width="20.625" customWidth="1"/>
    <col min="7" max="7" width="25" bestFit="1" customWidth="1"/>
    <col min="9" max="9" width="24.125" bestFit="1" customWidth="1"/>
    <col min="10" max="10" width="33.125" bestFit="1" customWidth="1"/>
  </cols>
  <sheetData>
    <row r="1" spans="1:10" ht="15" x14ac:dyDescent="0.25">
      <c r="A1" s="2" t="s">
        <v>6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4" t="s">
        <v>4</v>
      </c>
      <c r="I1" s="24" t="s">
        <v>76</v>
      </c>
      <c r="J1" s="24" t="s">
        <v>6</v>
      </c>
    </row>
    <row r="2" spans="1:10" x14ac:dyDescent="0.2">
      <c r="A2" s="8" t="s">
        <v>7</v>
      </c>
      <c r="B2" s="9" t="s">
        <v>9</v>
      </c>
      <c r="C2" s="9" t="s">
        <v>10</v>
      </c>
      <c r="D2" s="9" t="s">
        <v>8</v>
      </c>
      <c r="E2" s="9"/>
      <c r="F2" s="9">
        <v>3.7686072312186299E-2</v>
      </c>
      <c r="G2" s="10"/>
      <c r="I2" t="s">
        <v>77</v>
      </c>
      <c r="J2" t="s">
        <v>73</v>
      </c>
    </row>
    <row r="3" spans="1:10" x14ac:dyDescent="0.2">
      <c r="A3" s="11" t="s">
        <v>11</v>
      </c>
      <c r="B3" s="12" t="s">
        <v>12</v>
      </c>
      <c r="C3" s="12" t="s">
        <v>13</v>
      </c>
      <c r="D3" s="12" t="s">
        <v>15</v>
      </c>
      <c r="E3" s="12" t="s">
        <v>287</v>
      </c>
      <c r="F3" s="18">
        <v>1.27143713045669E-2</v>
      </c>
      <c r="G3" s="13" t="s">
        <v>17</v>
      </c>
      <c r="I3" s="19" t="s">
        <v>78</v>
      </c>
      <c r="J3" t="s">
        <v>38</v>
      </c>
    </row>
    <row r="4" spans="1:10" x14ac:dyDescent="0.2">
      <c r="A4" s="14"/>
      <c r="B4" s="15"/>
      <c r="C4" s="15"/>
      <c r="D4" s="15"/>
      <c r="E4" s="15" t="s">
        <v>14</v>
      </c>
      <c r="F4" s="18">
        <v>1.58500381175357E-2</v>
      </c>
      <c r="G4" s="16"/>
      <c r="I4" s="19" t="s">
        <v>78</v>
      </c>
      <c r="J4" t="s">
        <v>18</v>
      </c>
    </row>
    <row r="5" spans="1:10" x14ac:dyDescent="0.2">
      <c r="A5" s="8" t="s">
        <v>18</v>
      </c>
      <c r="B5" s="9" t="s">
        <v>19</v>
      </c>
      <c r="C5" s="9" t="s">
        <v>20</v>
      </c>
      <c r="D5" s="17" t="s">
        <v>15</v>
      </c>
      <c r="E5" s="17" t="s">
        <v>21</v>
      </c>
      <c r="F5" s="9">
        <v>-7.7562346198402203E-4</v>
      </c>
      <c r="G5" s="10" t="s">
        <v>17</v>
      </c>
      <c r="I5" s="19" t="s">
        <v>78</v>
      </c>
      <c r="J5" t="s">
        <v>11</v>
      </c>
    </row>
    <row r="6" spans="1:10" x14ac:dyDescent="0.2">
      <c r="A6" s="8" t="s">
        <v>18</v>
      </c>
      <c r="B6" s="9" t="s">
        <v>22</v>
      </c>
      <c r="C6" s="9" t="s">
        <v>23</v>
      </c>
      <c r="D6" s="17" t="s">
        <v>15</v>
      </c>
      <c r="E6" s="9" t="s">
        <v>21</v>
      </c>
      <c r="F6" s="9">
        <v>-0.157901113523259</v>
      </c>
      <c r="G6" s="10" t="s">
        <v>17</v>
      </c>
      <c r="I6" s="19" t="s">
        <v>78</v>
      </c>
      <c r="J6" t="s">
        <v>257</v>
      </c>
    </row>
    <row r="7" spans="1:10" x14ac:dyDescent="0.2">
      <c r="A7" s="11" t="s">
        <v>18</v>
      </c>
      <c r="B7" s="12" t="s">
        <v>24</v>
      </c>
      <c r="C7" s="12" t="s">
        <v>25</v>
      </c>
      <c r="D7" s="12" t="s">
        <v>15</v>
      </c>
      <c r="E7" s="21" t="s">
        <v>28</v>
      </c>
      <c r="F7" s="18">
        <v>-3.2477883846752702E-2</v>
      </c>
      <c r="G7" s="13" t="s">
        <v>17</v>
      </c>
      <c r="I7" s="19" t="s">
        <v>301</v>
      </c>
      <c r="J7" t="s">
        <v>300</v>
      </c>
    </row>
    <row r="8" spans="1:10" x14ac:dyDescent="0.2">
      <c r="A8" s="20"/>
      <c r="B8" s="21"/>
      <c r="C8" s="21"/>
      <c r="D8" s="22"/>
      <c r="E8" s="21" t="s">
        <v>30</v>
      </c>
      <c r="F8" s="18">
        <v>9.9086044834930699E-3</v>
      </c>
      <c r="G8" s="23"/>
    </row>
    <row r="9" spans="1:10" x14ac:dyDescent="0.2">
      <c r="A9" s="20"/>
      <c r="B9" s="21"/>
      <c r="C9" s="21"/>
      <c r="D9" s="22"/>
      <c r="E9" s="21" t="s">
        <v>34</v>
      </c>
      <c r="F9" s="18">
        <v>-4.30207654135338E-2</v>
      </c>
      <c r="G9" s="23"/>
    </row>
    <row r="10" spans="1:10" x14ac:dyDescent="0.2">
      <c r="A10" s="20"/>
      <c r="B10" s="21"/>
      <c r="C10" s="21"/>
      <c r="D10" s="22"/>
      <c r="E10" s="21" t="s">
        <v>35</v>
      </c>
      <c r="F10" s="18">
        <v>-2.37614639756452E-2</v>
      </c>
      <c r="G10" s="23"/>
    </row>
    <row r="11" spans="1:10" x14ac:dyDescent="0.2">
      <c r="A11" s="20"/>
      <c r="B11" s="21"/>
      <c r="C11" s="21"/>
      <c r="D11" s="22"/>
      <c r="E11" s="18" t="s">
        <v>288</v>
      </c>
      <c r="F11" s="18">
        <v>1.7178745427016199E-2</v>
      </c>
      <c r="G11" s="23"/>
    </row>
    <row r="12" spans="1:10" x14ac:dyDescent="0.2">
      <c r="A12" s="14"/>
      <c r="B12" s="15"/>
      <c r="C12" s="15"/>
      <c r="D12" s="7"/>
      <c r="E12" s="15" t="s">
        <v>37</v>
      </c>
      <c r="F12" s="15">
        <v>9.9737214696898696E-2</v>
      </c>
      <c r="G12" s="16"/>
    </row>
    <row r="13" spans="1:10" x14ac:dyDescent="0.2">
      <c r="A13" s="11" t="s">
        <v>38</v>
      </c>
      <c r="B13" s="12" t="s">
        <v>289</v>
      </c>
      <c r="C13" s="12" t="s">
        <v>290</v>
      </c>
      <c r="D13" s="50" t="s">
        <v>15</v>
      </c>
      <c r="E13" s="12" t="s">
        <v>291</v>
      </c>
      <c r="F13" s="12">
        <v>0.113365894843779</v>
      </c>
      <c r="G13" s="13" t="s">
        <v>17</v>
      </c>
    </row>
    <row r="14" spans="1:10" x14ac:dyDescent="0.2">
      <c r="A14" s="14"/>
      <c r="B14" s="15"/>
      <c r="C14" s="15"/>
      <c r="D14" s="7"/>
      <c r="E14" s="15" t="s">
        <v>292</v>
      </c>
      <c r="F14" s="15">
        <v>0.10497576680346</v>
      </c>
      <c r="G14" s="16"/>
    </row>
    <row r="15" spans="1:10" x14ac:dyDescent="0.2">
      <c r="A15" s="11" t="s">
        <v>38</v>
      </c>
      <c r="B15" s="12" t="s">
        <v>39</v>
      </c>
      <c r="C15" s="12" t="s">
        <v>40</v>
      </c>
      <c r="D15" s="12" t="s">
        <v>15</v>
      </c>
      <c r="E15" s="12" t="s">
        <v>41</v>
      </c>
      <c r="F15" s="12">
        <v>3.8251392565467002E-2</v>
      </c>
      <c r="G15" s="13" t="s">
        <v>17</v>
      </c>
    </row>
    <row r="16" spans="1:10" x14ac:dyDescent="0.2">
      <c r="A16" s="20"/>
      <c r="B16" s="21"/>
      <c r="C16" s="21"/>
      <c r="D16" s="21"/>
      <c r="E16" s="21" t="s">
        <v>42</v>
      </c>
      <c r="F16" s="21">
        <v>4.5535180829194499E-2</v>
      </c>
      <c r="G16" s="23"/>
    </row>
    <row r="17" spans="1:7" x14ac:dyDescent="0.2">
      <c r="A17" s="20"/>
      <c r="B17" s="21"/>
      <c r="C17" s="21"/>
      <c r="D17" s="21"/>
      <c r="E17" s="21" t="s">
        <v>43</v>
      </c>
      <c r="F17" s="21">
        <v>4.07008199771315E-2</v>
      </c>
      <c r="G17" s="23"/>
    </row>
    <row r="18" spans="1:7" x14ac:dyDescent="0.2">
      <c r="A18" s="20"/>
      <c r="B18" s="21"/>
      <c r="C18" s="21"/>
      <c r="D18" s="21"/>
      <c r="E18" s="21" t="s">
        <v>44</v>
      </c>
      <c r="F18" s="21">
        <v>-0.32555260524767499</v>
      </c>
      <c r="G18" s="23"/>
    </row>
    <row r="19" spans="1:7" x14ac:dyDescent="0.2">
      <c r="A19" s="20"/>
      <c r="B19" s="21"/>
      <c r="C19" s="21"/>
      <c r="D19" s="21"/>
      <c r="E19" s="21" t="s">
        <v>45</v>
      </c>
      <c r="F19" s="21">
        <v>-0.15523083400555099</v>
      </c>
      <c r="G19" s="23"/>
    </row>
    <row r="20" spans="1:7" x14ac:dyDescent="0.2">
      <c r="A20" s="20"/>
      <c r="B20" s="21"/>
      <c r="C20" s="21"/>
      <c r="D20" s="21"/>
      <c r="E20" s="21" t="s">
        <v>46</v>
      </c>
      <c r="F20" s="21">
        <v>-0.29692658751288897</v>
      </c>
      <c r="G20" s="23"/>
    </row>
    <row r="21" spans="1:7" x14ac:dyDescent="0.2">
      <c r="A21" s="20"/>
      <c r="B21" s="21"/>
      <c r="C21" s="21"/>
      <c r="D21" s="21"/>
      <c r="E21" s="21" t="s">
        <v>48</v>
      </c>
      <c r="F21" s="21">
        <v>-0.30139500673987502</v>
      </c>
      <c r="G21" s="23"/>
    </row>
    <row r="22" spans="1:7" x14ac:dyDescent="0.2">
      <c r="A22" s="20"/>
      <c r="B22" s="21"/>
      <c r="C22" s="21"/>
      <c r="D22" s="21"/>
      <c r="E22" s="21" t="s">
        <v>49</v>
      </c>
      <c r="F22" s="21">
        <v>-0.245651967633712</v>
      </c>
      <c r="G22" s="23"/>
    </row>
    <row r="23" spans="1:7" x14ac:dyDescent="0.2">
      <c r="A23" s="20"/>
      <c r="B23" s="21"/>
      <c r="C23" s="21"/>
      <c r="D23" s="21"/>
      <c r="E23" s="21" t="s">
        <v>50</v>
      </c>
      <c r="F23" s="21">
        <v>3.6361497172171998E-2</v>
      </c>
      <c r="G23" s="23"/>
    </row>
    <row r="24" spans="1:7" x14ac:dyDescent="0.2">
      <c r="A24" s="20"/>
      <c r="B24" s="21"/>
      <c r="C24" s="21"/>
      <c r="D24" s="21"/>
      <c r="E24" s="21" t="s">
        <v>51</v>
      </c>
      <c r="F24" s="21">
        <v>-0.11405205096320301</v>
      </c>
      <c r="G24" s="23"/>
    </row>
    <row r="25" spans="1:7" x14ac:dyDescent="0.2">
      <c r="A25" s="14"/>
      <c r="B25" s="15"/>
      <c r="C25" s="15"/>
      <c r="D25" s="15"/>
      <c r="E25" s="15" t="s">
        <v>52</v>
      </c>
      <c r="F25" s="15">
        <v>-6.13181078590333E-2</v>
      </c>
      <c r="G25" s="16"/>
    </row>
    <row r="26" spans="1:7" x14ac:dyDescent="0.2">
      <c r="A26" s="8" t="s">
        <v>73</v>
      </c>
      <c r="B26" s="9" t="s">
        <v>74</v>
      </c>
      <c r="C26" s="9" t="s">
        <v>75</v>
      </c>
      <c r="D26" s="9" t="s">
        <v>15</v>
      </c>
      <c r="E26" s="9" t="s">
        <v>21</v>
      </c>
      <c r="F26" s="9">
        <v>6.43929223875871E-3</v>
      </c>
      <c r="G26" s="10" t="s">
        <v>17</v>
      </c>
    </row>
    <row r="27" spans="1:7" x14ac:dyDescent="0.2">
      <c r="A27" s="11" t="s">
        <v>18</v>
      </c>
      <c r="B27" s="12" t="s">
        <v>79</v>
      </c>
      <c r="C27" s="12" t="s">
        <v>80</v>
      </c>
      <c r="D27" s="12" t="s">
        <v>15</v>
      </c>
      <c r="E27" s="12" t="s">
        <v>86</v>
      </c>
      <c r="F27" s="12">
        <v>-8.6057774904807396E-3</v>
      </c>
      <c r="G27" s="13" t="s">
        <v>17</v>
      </c>
    </row>
    <row r="28" spans="1:7" x14ac:dyDescent="0.2">
      <c r="A28" s="14"/>
      <c r="B28" s="15"/>
      <c r="C28" s="15"/>
      <c r="D28" s="15"/>
      <c r="E28" s="15" t="s">
        <v>96</v>
      </c>
      <c r="F28" s="15">
        <v>-1.40058070801217E-2</v>
      </c>
      <c r="G28" s="16"/>
    </row>
    <row r="29" spans="1:7" x14ac:dyDescent="0.2">
      <c r="A29" s="11" t="s">
        <v>197</v>
      </c>
      <c r="B29" s="12" t="s">
        <v>198</v>
      </c>
      <c r="C29" s="12" t="s">
        <v>199</v>
      </c>
      <c r="D29" s="12" t="s">
        <v>15</v>
      </c>
      <c r="E29" s="28" t="s">
        <v>203</v>
      </c>
      <c r="F29" s="28">
        <v>1.94876874686126E-2</v>
      </c>
      <c r="G29" s="13" t="s">
        <v>17</v>
      </c>
    </row>
    <row r="30" spans="1:7" x14ac:dyDescent="0.2">
      <c r="A30" s="14"/>
      <c r="B30" s="15"/>
      <c r="C30" s="15"/>
      <c r="D30" s="15"/>
      <c r="E30" s="32" t="s">
        <v>201</v>
      </c>
      <c r="F30" s="32">
        <v>-4.43663519817327E-2</v>
      </c>
      <c r="G30" s="16"/>
    </row>
    <row r="31" spans="1:7" x14ac:dyDescent="0.2">
      <c r="A31" s="8" t="s">
        <v>257</v>
      </c>
      <c r="B31" s="9" t="s">
        <v>262</v>
      </c>
      <c r="C31" s="9" t="s">
        <v>263</v>
      </c>
      <c r="D31" s="9" t="s">
        <v>8</v>
      </c>
      <c r="E31" s="9"/>
      <c r="F31" s="9">
        <v>0.96816381504313098</v>
      </c>
      <c r="G31" s="33" t="s">
        <v>264</v>
      </c>
    </row>
    <row r="32" spans="1:7" x14ac:dyDescent="0.2">
      <c r="A32" s="8" t="s">
        <v>257</v>
      </c>
      <c r="B32" s="9" t="s">
        <v>258</v>
      </c>
      <c r="C32" s="9" t="s">
        <v>259</v>
      </c>
      <c r="D32" s="9" t="s">
        <v>8</v>
      </c>
      <c r="E32" s="9"/>
      <c r="F32" s="51">
        <v>5.2852186513703599E-5</v>
      </c>
      <c r="G32" s="10"/>
    </row>
    <row r="33" spans="1:7" x14ac:dyDescent="0.2">
      <c r="A33" s="8" t="s">
        <v>197</v>
      </c>
      <c r="B33" s="9" t="s">
        <v>260</v>
      </c>
      <c r="C33" s="9" t="s">
        <v>261</v>
      </c>
      <c r="D33" s="9" t="s">
        <v>8</v>
      </c>
      <c r="E33" s="9"/>
      <c r="F33" s="51">
        <v>1.8019085121262E-5</v>
      </c>
      <c r="G33" s="10"/>
    </row>
    <row r="34" spans="1:7" x14ac:dyDescent="0.2">
      <c r="A34" s="8" t="s">
        <v>300</v>
      </c>
      <c r="B34" s="9" t="s">
        <v>298</v>
      </c>
      <c r="C34" s="9" t="s">
        <v>296</v>
      </c>
      <c r="D34" s="9" t="s">
        <v>8</v>
      </c>
      <c r="E34" s="5"/>
      <c r="F34" s="9">
        <v>-6.2648875521247498E-3</v>
      </c>
      <c r="G34" s="33" t="s">
        <v>295</v>
      </c>
    </row>
    <row r="35" spans="1:7" x14ac:dyDescent="0.2">
      <c r="A35" s="8" t="s">
        <v>300</v>
      </c>
      <c r="B35" s="9" t="s">
        <v>299</v>
      </c>
      <c r="C35" s="9" t="s">
        <v>297</v>
      </c>
      <c r="D35" s="9" t="s">
        <v>8</v>
      </c>
      <c r="E35" s="5"/>
      <c r="F35" s="9">
        <v>1.9760256659770499E-2</v>
      </c>
      <c r="G35" s="33" t="s">
        <v>294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H92"/>
  <sheetViews>
    <sheetView workbookViewId="0">
      <selection activeCell="E10" sqref="E10"/>
    </sheetView>
  </sheetViews>
  <sheetFormatPr defaultRowHeight="14.25" x14ac:dyDescent="0.2"/>
  <cols>
    <col min="1" max="1" width="30.625" bestFit="1" customWidth="1"/>
    <col min="2" max="2" width="24.125" bestFit="1" customWidth="1"/>
    <col min="4" max="4" width="14.75" bestFit="1" customWidth="1"/>
    <col min="5" max="5" width="24.125" bestFit="1" customWidth="1"/>
    <col min="7" max="7" width="11.75" customWidth="1"/>
    <col min="8" max="8" width="14.375" bestFit="1" customWidth="1"/>
  </cols>
  <sheetData>
    <row r="2" spans="1:8" ht="15" x14ac:dyDescent="0.25">
      <c r="A2" s="1" t="s">
        <v>192</v>
      </c>
      <c r="B2" s="1" t="s">
        <v>141</v>
      </c>
      <c r="D2" s="1" t="s">
        <v>140</v>
      </c>
      <c r="E2" s="1" t="s">
        <v>141</v>
      </c>
      <c r="G2" s="1" t="s">
        <v>205</v>
      </c>
      <c r="H2" s="1" t="s">
        <v>204</v>
      </c>
    </row>
    <row r="3" spans="1:8" x14ac:dyDescent="0.2">
      <c r="A3" s="26" t="s">
        <v>55</v>
      </c>
      <c r="B3" s="26" t="s">
        <v>139</v>
      </c>
      <c r="D3" t="s">
        <v>152</v>
      </c>
      <c r="E3" t="s">
        <v>82</v>
      </c>
      <c r="G3" s="25" t="s">
        <v>206</v>
      </c>
      <c r="H3" s="25" t="s">
        <v>200</v>
      </c>
    </row>
    <row r="4" spans="1:8" x14ac:dyDescent="0.2">
      <c r="A4" s="26" t="s">
        <v>56</v>
      </c>
      <c r="B4" s="26" t="s">
        <v>139</v>
      </c>
      <c r="D4" t="s">
        <v>182</v>
      </c>
      <c r="E4" t="s">
        <v>82</v>
      </c>
      <c r="G4" s="25" t="s">
        <v>207</v>
      </c>
      <c r="H4" s="25" t="s">
        <v>200</v>
      </c>
    </row>
    <row r="5" spans="1:8" x14ac:dyDescent="0.2">
      <c r="A5" s="26" t="s">
        <v>57</v>
      </c>
      <c r="B5" s="26" t="s">
        <v>139</v>
      </c>
      <c r="D5" t="s">
        <v>185</v>
      </c>
      <c r="E5" t="s">
        <v>83</v>
      </c>
      <c r="G5" s="25" t="s">
        <v>208</v>
      </c>
      <c r="H5" s="25" t="s">
        <v>200</v>
      </c>
    </row>
    <row r="6" spans="1:8" x14ac:dyDescent="0.2">
      <c r="A6" s="26" t="s">
        <v>58</v>
      </c>
      <c r="B6" s="26" t="s">
        <v>139</v>
      </c>
      <c r="D6" t="s">
        <v>186</v>
      </c>
      <c r="E6" t="s">
        <v>83</v>
      </c>
      <c r="G6" s="25" t="s">
        <v>209</v>
      </c>
      <c r="H6" s="25" t="s">
        <v>200</v>
      </c>
    </row>
    <row r="7" spans="1:8" x14ac:dyDescent="0.2">
      <c r="A7" s="26" t="s">
        <v>59</v>
      </c>
      <c r="B7" s="26" t="s">
        <v>139</v>
      </c>
      <c r="D7" t="s">
        <v>187</v>
      </c>
      <c r="E7" t="s">
        <v>83</v>
      </c>
      <c r="G7" s="25" t="s">
        <v>210</v>
      </c>
      <c r="H7" s="25" t="s">
        <v>200</v>
      </c>
    </row>
    <row r="8" spans="1:8" x14ac:dyDescent="0.2">
      <c r="A8" s="26" t="s">
        <v>60</v>
      </c>
      <c r="B8" s="26" t="s">
        <v>139</v>
      </c>
      <c r="D8" t="s">
        <v>154</v>
      </c>
      <c r="E8" t="s">
        <v>83</v>
      </c>
      <c r="G8" s="25" t="s">
        <v>211</v>
      </c>
      <c r="H8" s="25" t="s">
        <v>201</v>
      </c>
    </row>
    <row r="9" spans="1:8" x14ac:dyDescent="0.2">
      <c r="A9" s="26" t="s">
        <v>61</v>
      </c>
      <c r="B9" s="26" t="s">
        <v>139</v>
      </c>
      <c r="D9" t="s">
        <v>165</v>
      </c>
      <c r="E9" t="s">
        <v>84</v>
      </c>
      <c r="G9" s="25" t="s">
        <v>212</v>
      </c>
      <c r="H9" s="25" t="s">
        <v>201</v>
      </c>
    </row>
    <row r="10" spans="1:8" x14ac:dyDescent="0.2">
      <c r="A10" s="26" t="s">
        <v>62</v>
      </c>
      <c r="B10" s="26" t="s">
        <v>139</v>
      </c>
      <c r="D10" t="s">
        <v>166</v>
      </c>
      <c r="E10" t="s">
        <v>84</v>
      </c>
      <c r="G10" s="25" t="s">
        <v>213</v>
      </c>
      <c r="H10" s="25" t="s">
        <v>201</v>
      </c>
    </row>
    <row r="11" spans="1:8" x14ac:dyDescent="0.2">
      <c r="A11" s="26" t="s">
        <v>63</v>
      </c>
      <c r="B11" s="26" t="s">
        <v>139</v>
      </c>
      <c r="D11" t="s">
        <v>167</v>
      </c>
      <c r="E11" t="s">
        <v>85</v>
      </c>
      <c r="G11" s="25" t="s">
        <v>214</v>
      </c>
      <c r="H11" s="25" t="s">
        <v>201</v>
      </c>
    </row>
    <row r="12" spans="1:8" x14ac:dyDescent="0.2">
      <c r="A12" s="26" t="s">
        <v>64</v>
      </c>
      <c r="B12" s="26" t="s">
        <v>139</v>
      </c>
      <c r="D12" t="s">
        <v>168</v>
      </c>
      <c r="E12" t="s">
        <v>85</v>
      </c>
      <c r="G12" s="25" t="s">
        <v>215</v>
      </c>
      <c r="H12" s="25" t="s">
        <v>201</v>
      </c>
    </row>
    <row r="13" spans="1:8" x14ac:dyDescent="0.2">
      <c r="A13" s="26" t="s">
        <v>65</v>
      </c>
      <c r="B13" s="26" t="s">
        <v>139</v>
      </c>
      <c r="D13" t="s">
        <v>144</v>
      </c>
      <c r="E13" t="s">
        <v>85</v>
      </c>
      <c r="G13" s="25" t="s">
        <v>216</v>
      </c>
      <c r="H13" s="25" t="s">
        <v>201</v>
      </c>
    </row>
    <row r="14" spans="1:8" x14ac:dyDescent="0.2">
      <c r="A14" s="26" t="s">
        <v>66</v>
      </c>
      <c r="B14" s="26" t="s">
        <v>139</v>
      </c>
      <c r="D14" t="s">
        <v>162</v>
      </c>
      <c r="E14" t="s">
        <v>86</v>
      </c>
      <c r="G14" s="25" t="s">
        <v>217</v>
      </c>
      <c r="H14" s="25" t="s">
        <v>201</v>
      </c>
    </row>
    <row r="15" spans="1:8" x14ac:dyDescent="0.2">
      <c r="A15" s="26" t="s">
        <v>67</v>
      </c>
      <c r="B15" s="26" t="s">
        <v>139</v>
      </c>
      <c r="D15" t="s">
        <v>163</v>
      </c>
      <c r="E15" t="s">
        <v>86</v>
      </c>
      <c r="G15" s="25" t="s">
        <v>218</v>
      </c>
      <c r="H15" s="25" t="s">
        <v>201</v>
      </c>
    </row>
    <row r="16" spans="1:8" x14ac:dyDescent="0.2">
      <c r="A16" s="26" t="s">
        <v>68</v>
      </c>
      <c r="B16" s="26" t="s">
        <v>139</v>
      </c>
      <c r="D16" t="s">
        <v>164</v>
      </c>
      <c r="E16" t="s">
        <v>86</v>
      </c>
      <c r="G16" s="25" t="s">
        <v>219</v>
      </c>
      <c r="H16" s="25" t="s">
        <v>201</v>
      </c>
    </row>
    <row r="17" spans="1:8" x14ac:dyDescent="0.2">
      <c r="A17" s="26" t="s">
        <v>69</v>
      </c>
      <c r="B17" s="26" t="s">
        <v>139</v>
      </c>
      <c r="D17" t="s">
        <v>143</v>
      </c>
      <c r="E17" t="s">
        <v>86</v>
      </c>
      <c r="G17" s="25" t="s">
        <v>220</v>
      </c>
      <c r="H17" s="25" t="s">
        <v>201</v>
      </c>
    </row>
    <row r="18" spans="1:8" x14ac:dyDescent="0.2">
      <c r="A18" s="26" t="s">
        <v>70</v>
      </c>
      <c r="B18" s="26" t="s">
        <v>139</v>
      </c>
      <c r="D18" t="s">
        <v>169</v>
      </c>
      <c r="E18" t="s">
        <v>87</v>
      </c>
      <c r="G18" s="25" t="s">
        <v>221</v>
      </c>
      <c r="H18" s="25" t="s">
        <v>201</v>
      </c>
    </row>
    <row r="19" spans="1:8" x14ac:dyDescent="0.2">
      <c r="A19" s="26" t="s">
        <v>71</v>
      </c>
      <c r="B19" s="26" t="s">
        <v>139</v>
      </c>
      <c r="D19" t="s">
        <v>170</v>
      </c>
      <c r="E19" t="s">
        <v>87</v>
      </c>
      <c r="G19" s="25" t="s">
        <v>222</v>
      </c>
      <c r="H19" s="25" t="s">
        <v>201</v>
      </c>
    </row>
    <row r="20" spans="1:8" x14ac:dyDescent="0.2">
      <c r="A20" s="26" t="s">
        <v>72</v>
      </c>
      <c r="B20" s="26" t="s">
        <v>139</v>
      </c>
      <c r="D20" t="s">
        <v>145</v>
      </c>
      <c r="E20" t="s">
        <v>87</v>
      </c>
      <c r="G20" s="25" t="s">
        <v>223</v>
      </c>
      <c r="H20" s="25" t="s">
        <v>202</v>
      </c>
    </row>
    <row r="21" spans="1:8" x14ac:dyDescent="0.2">
      <c r="D21" t="s">
        <v>146</v>
      </c>
      <c r="E21" t="s">
        <v>87</v>
      </c>
      <c r="G21" s="25" t="s">
        <v>224</v>
      </c>
      <c r="H21" s="25" t="s">
        <v>202</v>
      </c>
    </row>
    <row r="22" spans="1:8" x14ac:dyDescent="0.2">
      <c r="D22" t="s">
        <v>183</v>
      </c>
      <c r="E22" t="s">
        <v>88</v>
      </c>
      <c r="G22" s="25" t="s">
        <v>225</v>
      </c>
      <c r="H22" s="25" t="s">
        <v>202</v>
      </c>
    </row>
    <row r="23" spans="1:8" x14ac:dyDescent="0.2">
      <c r="D23" t="s">
        <v>184</v>
      </c>
      <c r="E23" t="s">
        <v>88</v>
      </c>
      <c r="G23" s="25" t="s">
        <v>226</v>
      </c>
      <c r="H23" s="25" t="s">
        <v>202</v>
      </c>
    </row>
    <row r="24" spans="1:8" x14ac:dyDescent="0.2">
      <c r="D24" t="s">
        <v>153</v>
      </c>
      <c r="E24" t="s">
        <v>88</v>
      </c>
      <c r="G24" s="25" t="s">
        <v>227</v>
      </c>
      <c r="H24" s="25" t="s">
        <v>202</v>
      </c>
    </row>
    <row r="25" spans="1:8" x14ac:dyDescent="0.2">
      <c r="D25" t="s">
        <v>188</v>
      </c>
      <c r="E25" s="19" t="s">
        <v>89</v>
      </c>
      <c r="G25" s="25" t="s">
        <v>228</v>
      </c>
      <c r="H25" s="25" t="s">
        <v>202</v>
      </c>
    </row>
    <row r="26" spans="1:8" x14ac:dyDescent="0.2">
      <c r="D26" t="s">
        <v>189</v>
      </c>
      <c r="E26" s="19" t="s">
        <v>89</v>
      </c>
      <c r="G26" s="25" t="s">
        <v>229</v>
      </c>
      <c r="H26" s="25" t="s">
        <v>202</v>
      </c>
    </row>
    <row r="27" spans="1:8" x14ac:dyDescent="0.2">
      <c r="D27" t="s">
        <v>174</v>
      </c>
      <c r="E27" t="s">
        <v>91</v>
      </c>
      <c r="G27" s="25" t="s">
        <v>230</v>
      </c>
      <c r="H27" s="25" t="s">
        <v>202</v>
      </c>
    </row>
    <row r="28" spans="1:8" x14ac:dyDescent="0.2">
      <c r="D28" t="s">
        <v>175</v>
      </c>
      <c r="E28" t="s">
        <v>91</v>
      </c>
      <c r="G28" s="25" t="s">
        <v>231</v>
      </c>
      <c r="H28" s="25" t="s">
        <v>202</v>
      </c>
    </row>
    <row r="29" spans="1:8" x14ac:dyDescent="0.2">
      <c r="D29" t="s">
        <v>176</v>
      </c>
      <c r="E29" t="s">
        <v>91</v>
      </c>
      <c r="G29" s="25" t="s">
        <v>232</v>
      </c>
      <c r="H29" s="25" t="s">
        <v>202</v>
      </c>
    </row>
    <row r="30" spans="1:8" x14ac:dyDescent="0.2">
      <c r="D30" t="s">
        <v>149</v>
      </c>
      <c r="E30" t="s">
        <v>91</v>
      </c>
      <c r="G30" s="25" t="s">
        <v>233</v>
      </c>
      <c r="H30" s="25" t="s">
        <v>202</v>
      </c>
    </row>
    <row r="31" spans="1:8" x14ac:dyDescent="0.2">
      <c r="D31" t="s">
        <v>190</v>
      </c>
      <c r="E31" t="s">
        <v>92</v>
      </c>
      <c r="G31" s="25" t="s">
        <v>234</v>
      </c>
      <c r="H31" s="25" t="s">
        <v>202</v>
      </c>
    </row>
    <row r="32" spans="1:8" x14ac:dyDescent="0.2">
      <c r="D32" t="s">
        <v>191</v>
      </c>
      <c r="E32" t="s">
        <v>92</v>
      </c>
      <c r="G32" s="25" t="s">
        <v>235</v>
      </c>
      <c r="H32" s="25" t="s">
        <v>203</v>
      </c>
    </row>
    <row r="33" spans="4:8" x14ac:dyDescent="0.2">
      <c r="D33" t="s">
        <v>177</v>
      </c>
      <c r="E33" t="s">
        <v>93</v>
      </c>
      <c r="G33" s="25" t="s">
        <v>236</v>
      </c>
      <c r="H33" s="25" t="s">
        <v>203</v>
      </c>
    </row>
    <row r="34" spans="4:8" x14ac:dyDescent="0.2">
      <c r="D34" t="s">
        <v>178</v>
      </c>
      <c r="E34" t="s">
        <v>93</v>
      </c>
      <c r="G34" s="25" t="s">
        <v>237</v>
      </c>
      <c r="H34" s="25" t="s">
        <v>203</v>
      </c>
    </row>
    <row r="35" spans="4:8" x14ac:dyDescent="0.2">
      <c r="D35" t="s">
        <v>150</v>
      </c>
      <c r="E35" t="s">
        <v>93</v>
      </c>
      <c r="G35" s="25" t="s">
        <v>238</v>
      </c>
      <c r="H35" s="25" t="s">
        <v>203</v>
      </c>
    </row>
    <row r="36" spans="4:8" x14ac:dyDescent="0.2">
      <c r="D36" t="s">
        <v>155</v>
      </c>
      <c r="E36" s="21" t="s">
        <v>94</v>
      </c>
      <c r="G36" s="25" t="s">
        <v>239</v>
      </c>
      <c r="H36" s="25" t="s">
        <v>203</v>
      </c>
    </row>
    <row r="37" spans="4:8" x14ac:dyDescent="0.2">
      <c r="D37" t="s">
        <v>156</v>
      </c>
      <c r="E37" s="21" t="s">
        <v>94</v>
      </c>
      <c r="G37" s="25" t="s">
        <v>240</v>
      </c>
      <c r="H37" s="25" t="s">
        <v>203</v>
      </c>
    </row>
    <row r="38" spans="4:8" x14ac:dyDescent="0.2">
      <c r="D38" t="s">
        <v>157</v>
      </c>
      <c r="E38" s="21" t="s">
        <v>94</v>
      </c>
      <c r="G38" s="25" t="s">
        <v>241</v>
      </c>
      <c r="H38" s="25" t="s">
        <v>203</v>
      </c>
    </row>
    <row r="39" spans="4:8" x14ac:dyDescent="0.2">
      <c r="D39" t="s">
        <v>179</v>
      </c>
      <c r="E39" t="s">
        <v>94</v>
      </c>
      <c r="G39" s="25" t="s">
        <v>242</v>
      </c>
      <c r="H39" s="25" t="s">
        <v>203</v>
      </c>
    </row>
    <row r="40" spans="4:8" x14ac:dyDescent="0.2">
      <c r="D40" t="s">
        <v>142</v>
      </c>
      <c r="E40" t="s">
        <v>94</v>
      </c>
      <c r="G40" s="25" t="s">
        <v>243</v>
      </c>
      <c r="H40" s="25" t="s">
        <v>203</v>
      </c>
    </row>
    <row r="41" spans="4:8" x14ac:dyDescent="0.2">
      <c r="D41" t="s">
        <v>180</v>
      </c>
      <c r="E41" t="s">
        <v>94</v>
      </c>
      <c r="G41" s="25" t="s">
        <v>244</v>
      </c>
      <c r="H41" s="25" t="s">
        <v>203</v>
      </c>
    </row>
    <row r="42" spans="4:8" x14ac:dyDescent="0.2">
      <c r="D42" t="s">
        <v>151</v>
      </c>
      <c r="E42" t="s">
        <v>94</v>
      </c>
      <c r="G42" s="25" t="s">
        <v>245</v>
      </c>
      <c r="H42" s="25" t="s">
        <v>203</v>
      </c>
    </row>
    <row r="43" spans="4:8" x14ac:dyDescent="0.2">
      <c r="D43" t="s">
        <v>147</v>
      </c>
      <c r="E43" t="s">
        <v>95</v>
      </c>
      <c r="G43" s="25" t="s">
        <v>246</v>
      </c>
      <c r="H43" s="25" t="s">
        <v>203</v>
      </c>
    </row>
    <row r="44" spans="4:8" x14ac:dyDescent="0.2">
      <c r="D44" t="s">
        <v>171</v>
      </c>
      <c r="E44" t="s">
        <v>95</v>
      </c>
      <c r="G44" s="25" t="s">
        <v>247</v>
      </c>
      <c r="H44" s="25" t="s">
        <v>203</v>
      </c>
    </row>
    <row r="45" spans="4:8" x14ac:dyDescent="0.2">
      <c r="D45" t="s">
        <v>172</v>
      </c>
      <c r="E45" t="s">
        <v>95</v>
      </c>
      <c r="G45" s="25" t="s">
        <v>248</v>
      </c>
      <c r="H45" s="25" t="s">
        <v>203</v>
      </c>
    </row>
    <row r="46" spans="4:8" x14ac:dyDescent="0.2">
      <c r="D46" t="s">
        <v>173</v>
      </c>
      <c r="E46" t="s">
        <v>95</v>
      </c>
      <c r="G46" s="25" t="s">
        <v>249</v>
      </c>
      <c r="H46" s="25" t="s">
        <v>203</v>
      </c>
    </row>
    <row r="47" spans="4:8" x14ac:dyDescent="0.2">
      <c r="D47" t="s">
        <v>148</v>
      </c>
      <c r="E47" t="s">
        <v>95</v>
      </c>
      <c r="G47" s="25" t="s">
        <v>250</v>
      </c>
      <c r="H47" s="25" t="s">
        <v>203</v>
      </c>
    </row>
    <row r="48" spans="4:8" x14ac:dyDescent="0.2">
      <c r="D48" t="s">
        <v>158</v>
      </c>
      <c r="E48" s="19" t="s">
        <v>96</v>
      </c>
      <c r="G48" s="25" t="s">
        <v>251</v>
      </c>
      <c r="H48" s="25" t="s">
        <v>203</v>
      </c>
    </row>
    <row r="49" spans="4:8" x14ac:dyDescent="0.2">
      <c r="D49" t="s">
        <v>159</v>
      </c>
      <c r="E49" s="19" t="s">
        <v>96</v>
      </c>
      <c r="G49" s="25" t="s">
        <v>252</v>
      </c>
      <c r="H49" s="25" t="s">
        <v>203</v>
      </c>
    </row>
    <row r="50" spans="4:8" x14ac:dyDescent="0.2">
      <c r="D50" t="s">
        <v>160</v>
      </c>
      <c r="E50" s="19" t="s">
        <v>96</v>
      </c>
      <c r="G50" s="25" t="s">
        <v>253</v>
      </c>
      <c r="H50" s="25" t="s">
        <v>203</v>
      </c>
    </row>
    <row r="51" spans="4:8" x14ac:dyDescent="0.2">
      <c r="D51" t="s">
        <v>161</v>
      </c>
      <c r="E51" s="19" t="s">
        <v>96</v>
      </c>
      <c r="G51" s="25" t="s">
        <v>254</v>
      </c>
      <c r="H51" s="25" t="s">
        <v>203</v>
      </c>
    </row>
    <row r="52" spans="4:8" x14ac:dyDescent="0.2">
      <c r="D52" t="s">
        <v>181</v>
      </c>
      <c r="E52" t="s">
        <v>98</v>
      </c>
      <c r="G52" s="25" t="s">
        <v>255</v>
      </c>
      <c r="H52" s="25" t="s">
        <v>203</v>
      </c>
    </row>
    <row r="53" spans="4:8" x14ac:dyDescent="0.2">
      <c r="D53" s="19" t="s">
        <v>111</v>
      </c>
      <c r="E53" s="21" t="s">
        <v>112</v>
      </c>
      <c r="G53" s="25" t="s">
        <v>256</v>
      </c>
      <c r="H53" s="25" t="s">
        <v>203</v>
      </c>
    </row>
    <row r="54" spans="4:8" x14ac:dyDescent="0.2">
      <c r="D54" s="19" t="s">
        <v>111</v>
      </c>
      <c r="E54" s="21" t="s">
        <v>113</v>
      </c>
    </row>
    <row r="55" spans="4:8" x14ac:dyDescent="0.2">
      <c r="D55" s="26" t="s">
        <v>99</v>
      </c>
      <c r="E55" s="27" t="s">
        <v>139</v>
      </c>
    </row>
    <row r="56" spans="4:8" x14ac:dyDescent="0.2">
      <c r="D56" s="26" t="s">
        <v>100</v>
      </c>
      <c r="E56" s="27" t="s">
        <v>139</v>
      </c>
    </row>
    <row r="57" spans="4:8" x14ac:dyDescent="0.2">
      <c r="D57" s="26" t="s">
        <v>101</v>
      </c>
      <c r="E57" s="27" t="s">
        <v>139</v>
      </c>
    </row>
    <row r="58" spans="4:8" x14ac:dyDescent="0.2">
      <c r="D58" s="26" t="s">
        <v>102</v>
      </c>
      <c r="E58" s="27" t="s">
        <v>139</v>
      </c>
    </row>
    <row r="59" spans="4:8" x14ac:dyDescent="0.2">
      <c r="D59" s="26" t="s">
        <v>103</v>
      </c>
      <c r="E59" s="27" t="s">
        <v>139</v>
      </c>
    </row>
    <row r="60" spans="4:8" x14ac:dyDescent="0.2">
      <c r="D60" s="26" t="s">
        <v>104</v>
      </c>
      <c r="E60" s="27" t="s">
        <v>139</v>
      </c>
    </row>
    <row r="61" spans="4:8" x14ac:dyDescent="0.2">
      <c r="D61" s="26" t="s">
        <v>105</v>
      </c>
      <c r="E61" s="27" t="s">
        <v>139</v>
      </c>
    </row>
    <row r="62" spans="4:8" x14ac:dyDescent="0.2">
      <c r="D62" s="26" t="s">
        <v>106</v>
      </c>
      <c r="E62" s="27" t="s">
        <v>139</v>
      </c>
    </row>
    <row r="63" spans="4:8" x14ac:dyDescent="0.2">
      <c r="D63" s="26" t="s">
        <v>107</v>
      </c>
      <c r="E63" s="27" t="s">
        <v>139</v>
      </c>
    </row>
    <row r="64" spans="4:8" x14ac:dyDescent="0.2">
      <c r="D64" s="26" t="s">
        <v>108</v>
      </c>
      <c r="E64" s="27" t="s">
        <v>139</v>
      </c>
    </row>
    <row r="65" spans="4:5" x14ac:dyDescent="0.2">
      <c r="D65" s="26" t="s">
        <v>109</v>
      </c>
      <c r="E65" s="27" t="s">
        <v>139</v>
      </c>
    </row>
    <row r="66" spans="4:5" x14ac:dyDescent="0.2">
      <c r="D66" s="26" t="s">
        <v>110</v>
      </c>
      <c r="E66" s="27" t="s">
        <v>139</v>
      </c>
    </row>
    <row r="67" spans="4:5" x14ac:dyDescent="0.2">
      <c r="D67" s="26" t="s">
        <v>111</v>
      </c>
      <c r="E67" s="27" t="s">
        <v>139</v>
      </c>
    </row>
    <row r="68" spans="4:5" x14ac:dyDescent="0.2">
      <c r="D68" s="26" t="s">
        <v>114</v>
      </c>
      <c r="E68" s="27" t="s">
        <v>139</v>
      </c>
    </row>
    <row r="69" spans="4:5" x14ac:dyDescent="0.2">
      <c r="D69" s="26" t="s">
        <v>115</v>
      </c>
      <c r="E69" s="27" t="s">
        <v>139</v>
      </c>
    </row>
    <row r="70" spans="4:5" x14ac:dyDescent="0.2">
      <c r="D70" s="26" t="s">
        <v>116</v>
      </c>
      <c r="E70" s="27" t="s">
        <v>139</v>
      </c>
    </row>
    <row r="71" spans="4:5" x14ac:dyDescent="0.2">
      <c r="D71" s="26" t="s">
        <v>117</v>
      </c>
      <c r="E71" s="27" t="s">
        <v>139</v>
      </c>
    </row>
    <row r="72" spans="4:5" x14ac:dyDescent="0.2">
      <c r="D72" s="26" t="s">
        <v>118</v>
      </c>
      <c r="E72" s="27" t="s">
        <v>139</v>
      </c>
    </row>
    <row r="73" spans="4:5" x14ac:dyDescent="0.2">
      <c r="D73" s="26" t="s">
        <v>119</v>
      </c>
      <c r="E73" s="27" t="s">
        <v>139</v>
      </c>
    </row>
    <row r="74" spans="4:5" x14ac:dyDescent="0.2">
      <c r="D74" s="26" t="s">
        <v>120</v>
      </c>
      <c r="E74" s="27" t="s">
        <v>139</v>
      </c>
    </row>
    <row r="75" spans="4:5" x14ac:dyDescent="0.2">
      <c r="D75" s="26" t="s">
        <v>121</v>
      </c>
      <c r="E75" s="27" t="s">
        <v>139</v>
      </c>
    </row>
    <row r="76" spans="4:5" x14ac:dyDescent="0.2">
      <c r="D76" s="26" t="s">
        <v>122</v>
      </c>
      <c r="E76" s="27" t="s">
        <v>139</v>
      </c>
    </row>
    <row r="77" spans="4:5" x14ac:dyDescent="0.2">
      <c r="D77" s="26" t="s">
        <v>123</v>
      </c>
      <c r="E77" s="27" t="s">
        <v>139</v>
      </c>
    </row>
    <row r="78" spans="4:5" x14ac:dyDescent="0.2">
      <c r="D78" s="26" t="s">
        <v>124</v>
      </c>
      <c r="E78" s="27" t="s">
        <v>139</v>
      </c>
    </row>
    <row r="79" spans="4:5" x14ac:dyDescent="0.2">
      <c r="D79" s="26" t="s">
        <v>125</v>
      </c>
      <c r="E79" s="27" t="s">
        <v>139</v>
      </c>
    </row>
    <row r="80" spans="4:5" x14ac:dyDescent="0.2">
      <c r="D80" s="26" t="s">
        <v>126</v>
      </c>
      <c r="E80" s="27" t="s">
        <v>139</v>
      </c>
    </row>
    <row r="81" spans="4:5" x14ac:dyDescent="0.2">
      <c r="D81" s="26" t="s">
        <v>127</v>
      </c>
      <c r="E81" s="27" t="s">
        <v>139</v>
      </c>
    </row>
    <row r="82" spans="4:5" x14ac:dyDescent="0.2">
      <c r="D82" s="26" t="s">
        <v>128</v>
      </c>
      <c r="E82" s="27" t="s">
        <v>139</v>
      </c>
    </row>
    <row r="83" spans="4:5" x14ac:dyDescent="0.2">
      <c r="D83" s="26" t="s">
        <v>129</v>
      </c>
      <c r="E83" s="27" t="s">
        <v>139</v>
      </c>
    </row>
    <row r="84" spans="4:5" x14ac:dyDescent="0.2">
      <c r="D84" s="26" t="s">
        <v>130</v>
      </c>
      <c r="E84" s="27" t="s">
        <v>139</v>
      </c>
    </row>
    <row r="85" spans="4:5" x14ac:dyDescent="0.2">
      <c r="D85" s="26" t="s">
        <v>131</v>
      </c>
      <c r="E85" s="27" t="s">
        <v>139</v>
      </c>
    </row>
    <row r="86" spans="4:5" x14ac:dyDescent="0.2">
      <c r="D86" s="26" t="s">
        <v>132</v>
      </c>
      <c r="E86" s="27" t="s">
        <v>139</v>
      </c>
    </row>
    <row r="87" spans="4:5" x14ac:dyDescent="0.2">
      <c r="D87" s="26" t="s">
        <v>133</v>
      </c>
      <c r="E87" s="27" t="s">
        <v>139</v>
      </c>
    </row>
    <row r="88" spans="4:5" x14ac:dyDescent="0.2">
      <c r="D88" s="26" t="s">
        <v>134</v>
      </c>
      <c r="E88" s="27" t="s">
        <v>139</v>
      </c>
    </row>
    <row r="89" spans="4:5" x14ac:dyDescent="0.2">
      <c r="D89" s="26" t="s">
        <v>135</v>
      </c>
      <c r="E89" s="27" t="s">
        <v>139</v>
      </c>
    </row>
    <row r="90" spans="4:5" x14ac:dyDescent="0.2">
      <c r="D90" s="26" t="s">
        <v>136</v>
      </c>
      <c r="E90" s="27" t="s">
        <v>139</v>
      </c>
    </row>
    <row r="91" spans="4:5" x14ac:dyDescent="0.2">
      <c r="D91" s="26" t="s">
        <v>137</v>
      </c>
      <c r="E91" s="27" t="s">
        <v>139</v>
      </c>
    </row>
    <row r="92" spans="4:5" x14ac:dyDescent="0.2">
      <c r="D92" s="26" t="s">
        <v>138</v>
      </c>
      <c r="E92" s="27" t="s">
        <v>139</v>
      </c>
    </row>
  </sheetData>
  <sortState ref="D3:E92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1"/>
  <sheetViews>
    <sheetView topLeftCell="A214" workbookViewId="0">
      <selection activeCell="B127" sqref="B127"/>
    </sheetView>
  </sheetViews>
  <sheetFormatPr defaultRowHeight="14.25" x14ac:dyDescent="0.2"/>
  <cols>
    <col min="1" max="1" width="30.25" bestFit="1" customWidth="1"/>
    <col min="2" max="3" width="40.375" bestFit="1" customWidth="1"/>
  </cols>
  <sheetData>
    <row r="1" spans="1:2" x14ac:dyDescent="0.2">
      <c r="A1" t="s">
        <v>10</v>
      </c>
    </row>
    <row r="2" spans="1:2" x14ac:dyDescent="0.2">
      <c r="A2" t="s">
        <v>13</v>
      </c>
      <c r="B2" t="s">
        <v>14</v>
      </c>
    </row>
    <row r="3" spans="1:2" x14ac:dyDescent="0.2">
      <c r="B3" t="s">
        <v>287</v>
      </c>
    </row>
    <row r="4" spans="1:2" x14ac:dyDescent="0.2">
      <c r="B4" t="s">
        <v>16</v>
      </c>
    </row>
    <row r="5" spans="1:2" x14ac:dyDescent="0.2">
      <c r="B5" t="s">
        <v>305</v>
      </c>
    </row>
    <row r="6" spans="1:2" x14ac:dyDescent="0.2">
      <c r="A6" t="s">
        <v>20</v>
      </c>
      <c r="B6" t="s">
        <v>21</v>
      </c>
    </row>
    <row r="7" spans="1:2" x14ac:dyDescent="0.2">
      <c r="B7" t="s">
        <v>304</v>
      </c>
    </row>
    <row r="8" spans="1:2" x14ac:dyDescent="0.2">
      <c r="A8" t="s">
        <v>23</v>
      </c>
      <c r="B8" t="s">
        <v>21</v>
      </c>
    </row>
    <row r="9" spans="1:2" x14ac:dyDescent="0.2">
      <c r="B9" t="s">
        <v>304</v>
      </c>
    </row>
    <row r="10" spans="1:2" x14ac:dyDescent="0.2">
      <c r="A10" t="s">
        <v>25</v>
      </c>
      <c r="B10" t="s">
        <v>31</v>
      </c>
    </row>
    <row r="11" spans="1:2" x14ac:dyDescent="0.2">
      <c r="B11" t="s">
        <v>288</v>
      </c>
    </row>
    <row r="12" spans="1:2" x14ac:dyDescent="0.2">
      <c r="B12" t="s">
        <v>35</v>
      </c>
    </row>
    <row r="13" spans="1:2" x14ac:dyDescent="0.2">
      <c r="B13" t="s">
        <v>34</v>
      </c>
    </row>
    <row r="14" spans="1:2" x14ac:dyDescent="0.2">
      <c r="B14" t="s">
        <v>36</v>
      </c>
    </row>
    <row r="15" spans="1:2" x14ac:dyDescent="0.2">
      <c r="B15" t="s">
        <v>28</v>
      </c>
    </row>
    <row r="16" spans="1:2" x14ac:dyDescent="0.2">
      <c r="B16" t="s">
        <v>306</v>
      </c>
    </row>
    <row r="17" spans="1:3" x14ac:dyDescent="0.2">
      <c r="B17" t="s">
        <v>30</v>
      </c>
    </row>
    <row r="18" spans="1:3" x14ac:dyDescent="0.2">
      <c r="B18" t="s">
        <v>27</v>
      </c>
    </row>
    <row r="19" spans="1:3" x14ac:dyDescent="0.2">
      <c r="B19" t="s">
        <v>26</v>
      </c>
    </row>
    <row r="20" spans="1:3" x14ac:dyDescent="0.2">
      <c r="B20" t="s">
        <v>32</v>
      </c>
    </row>
    <row r="21" spans="1:3" x14ac:dyDescent="0.2">
      <c r="B21" t="s">
        <v>37</v>
      </c>
    </row>
    <row r="22" spans="1:3" x14ac:dyDescent="0.2">
      <c r="B22" t="s">
        <v>33</v>
      </c>
    </row>
    <row r="23" spans="1:3" x14ac:dyDescent="0.2">
      <c r="B23" t="s">
        <v>305</v>
      </c>
    </row>
    <row r="24" spans="1:3" x14ac:dyDescent="0.2">
      <c r="A24" t="s">
        <v>40</v>
      </c>
      <c r="B24" t="s">
        <v>41</v>
      </c>
      <c r="C24" t="str">
        <f>B24</f>
        <v>Another Vehicle Hit Parked Insured</v>
      </c>
    </row>
    <row r="25" spans="1:3" x14ac:dyDescent="0.2">
      <c r="B25" t="s">
        <v>42</v>
      </c>
      <c r="C25" t="str">
        <f t="shared" ref="C25:C37" si="0">B25</f>
        <v>Another Vehicle Rear-Ended Insured</v>
      </c>
    </row>
    <row r="26" spans="1:3" x14ac:dyDescent="0.2">
      <c r="B26" t="s">
        <v>43</v>
      </c>
      <c r="C26" t="str">
        <f t="shared" si="0"/>
        <v>Head-On Collision</v>
      </c>
    </row>
    <row r="27" spans="1:3" x14ac:dyDescent="0.2">
      <c r="B27" t="s">
        <v>44</v>
      </c>
      <c r="C27" t="str">
        <f t="shared" si="0"/>
        <v>Insured Hit Another Vehicle while Backing</v>
      </c>
    </row>
    <row r="28" spans="1:3" x14ac:dyDescent="0.2">
      <c r="B28" t="s">
        <v>45</v>
      </c>
      <c r="C28" t="str">
        <f t="shared" si="0"/>
        <v>Insured Hit Parked Car</v>
      </c>
    </row>
    <row r="29" spans="1:3" x14ac:dyDescent="0.2">
      <c r="B29" t="s">
        <v>46</v>
      </c>
      <c r="C29" t="str">
        <f t="shared" si="0"/>
        <v>Insured Hit Pedestrian/Cyclist/Other</v>
      </c>
    </row>
    <row r="30" spans="1:3" x14ac:dyDescent="0.2">
      <c r="B30" t="s">
        <v>47</v>
      </c>
      <c r="C30" t="str">
        <f t="shared" si="0"/>
        <v>Insured Hit Stationary Object (Excl. Parked Car)</v>
      </c>
    </row>
    <row r="31" spans="1:3" x14ac:dyDescent="0.2">
      <c r="B31" t="s">
        <v>48</v>
      </c>
      <c r="C31" t="str">
        <f t="shared" si="0"/>
        <v>Insured Pulled From Parked Position</v>
      </c>
    </row>
    <row r="32" spans="1:3" x14ac:dyDescent="0.2">
      <c r="B32" t="s">
        <v>49</v>
      </c>
      <c r="C32" t="str">
        <f t="shared" si="0"/>
        <v>Insured Rear-Ended Another Vehicle</v>
      </c>
    </row>
    <row r="33" spans="2:3" x14ac:dyDescent="0.2">
      <c r="B33" t="s">
        <v>50</v>
      </c>
      <c r="C33" t="str">
        <f t="shared" si="0"/>
        <v>Intersection Accident - Insured Crossing</v>
      </c>
    </row>
    <row r="34" spans="2:3" x14ac:dyDescent="0.2">
      <c r="B34" t="s">
        <v>51</v>
      </c>
      <c r="C34" t="str">
        <f t="shared" si="0"/>
        <v>Intersection Accident - Insured Turning Left</v>
      </c>
    </row>
    <row r="35" spans="2:3" x14ac:dyDescent="0.2">
      <c r="B35" t="s">
        <v>52</v>
      </c>
      <c r="C35" t="str">
        <f t="shared" si="0"/>
        <v>Intersection Accident - Insured Turning Right</v>
      </c>
    </row>
    <row r="36" spans="2:3" x14ac:dyDescent="0.2">
      <c r="B36" t="s">
        <v>53</v>
      </c>
      <c r="C36" t="str">
        <f t="shared" si="0"/>
        <v>Other - Collision</v>
      </c>
    </row>
    <row r="37" spans="2:3" x14ac:dyDescent="0.2">
      <c r="B37" t="s">
        <v>54</v>
      </c>
      <c r="C37" t="str">
        <f t="shared" si="0"/>
        <v>Sideswipe</v>
      </c>
    </row>
    <row r="38" spans="2:3" x14ac:dyDescent="0.2">
      <c r="B38" t="s">
        <v>55</v>
      </c>
      <c r="C38" t="s">
        <v>139</v>
      </c>
    </row>
    <row r="39" spans="2:3" x14ac:dyDescent="0.2">
      <c r="B39" t="s">
        <v>56</v>
      </c>
      <c r="C39" t="s">
        <v>139</v>
      </c>
    </row>
    <row r="40" spans="2:3" x14ac:dyDescent="0.2">
      <c r="B40" t="s">
        <v>57</v>
      </c>
      <c r="C40" t="s">
        <v>139</v>
      </c>
    </row>
    <row r="41" spans="2:3" x14ac:dyDescent="0.2">
      <c r="B41" t="s">
        <v>58</v>
      </c>
      <c r="C41" t="s">
        <v>139</v>
      </c>
    </row>
    <row r="42" spans="2:3" x14ac:dyDescent="0.2">
      <c r="B42" t="s">
        <v>59</v>
      </c>
      <c r="C42" t="s">
        <v>139</v>
      </c>
    </row>
    <row r="43" spans="2:3" x14ac:dyDescent="0.2">
      <c r="B43" t="s">
        <v>60</v>
      </c>
      <c r="C43" t="s">
        <v>139</v>
      </c>
    </row>
    <row r="44" spans="2:3" x14ac:dyDescent="0.2">
      <c r="B44" t="s">
        <v>61</v>
      </c>
      <c r="C44" t="s">
        <v>139</v>
      </c>
    </row>
    <row r="45" spans="2:3" x14ac:dyDescent="0.2">
      <c r="B45" t="s">
        <v>62</v>
      </c>
      <c r="C45" t="s">
        <v>139</v>
      </c>
    </row>
    <row r="46" spans="2:3" x14ac:dyDescent="0.2">
      <c r="B46" t="s">
        <v>63</v>
      </c>
      <c r="C46" t="s">
        <v>139</v>
      </c>
    </row>
    <row r="47" spans="2:3" x14ac:dyDescent="0.2">
      <c r="B47" t="s">
        <v>64</v>
      </c>
      <c r="C47" t="s">
        <v>139</v>
      </c>
    </row>
    <row r="48" spans="2:3" x14ac:dyDescent="0.2">
      <c r="B48" t="s">
        <v>65</v>
      </c>
      <c r="C48" t="s">
        <v>139</v>
      </c>
    </row>
    <row r="49" spans="1:3" x14ac:dyDescent="0.2">
      <c r="B49" t="s">
        <v>66</v>
      </c>
      <c r="C49" t="s">
        <v>139</v>
      </c>
    </row>
    <row r="50" spans="1:3" x14ac:dyDescent="0.2">
      <c r="B50" t="s">
        <v>67</v>
      </c>
      <c r="C50" t="s">
        <v>139</v>
      </c>
    </row>
    <row r="51" spans="1:3" x14ac:dyDescent="0.2">
      <c r="B51" t="s">
        <v>68</v>
      </c>
      <c r="C51" t="s">
        <v>139</v>
      </c>
    </row>
    <row r="52" spans="1:3" x14ac:dyDescent="0.2">
      <c r="B52" t="s">
        <v>69</v>
      </c>
      <c r="C52" t="s">
        <v>139</v>
      </c>
    </row>
    <row r="53" spans="1:3" x14ac:dyDescent="0.2">
      <c r="B53" t="s">
        <v>70</v>
      </c>
      <c r="C53" t="s">
        <v>139</v>
      </c>
    </row>
    <row r="54" spans="1:3" x14ac:dyDescent="0.2">
      <c r="B54" t="s">
        <v>71</v>
      </c>
      <c r="C54" t="s">
        <v>139</v>
      </c>
    </row>
    <row r="55" spans="1:3" x14ac:dyDescent="0.2">
      <c r="B55" t="s">
        <v>72</v>
      </c>
      <c r="C55" t="s">
        <v>139</v>
      </c>
    </row>
    <row r="56" spans="1:3" x14ac:dyDescent="0.2">
      <c r="B56" t="s">
        <v>305</v>
      </c>
      <c r="C56" t="str">
        <f>B56</f>
        <v>*Reference*</v>
      </c>
    </row>
    <row r="57" spans="1:3" x14ac:dyDescent="0.2">
      <c r="A57" t="s">
        <v>75</v>
      </c>
      <c r="B57" t="s">
        <v>21</v>
      </c>
    </row>
    <row r="58" spans="1:3" x14ac:dyDescent="0.2">
      <c r="B58" t="s">
        <v>304</v>
      </c>
    </row>
    <row r="59" spans="1:3" x14ac:dyDescent="0.2">
      <c r="A59" t="s">
        <v>80</v>
      </c>
      <c r="B59" t="s">
        <v>81</v>
      </c>
      <c r="C59" t="str">
        <f>B59</f>
        <v>BMW</v>
      </c>
    </row>
    <row r="60" spans="1:3" x14ac:dyDescent="0.2">
      <c r="B60" t="s">
        <v>82</v>
      </c>
      <c r="C60" t="str">
        <f t="shared" ref="C60:C76" si="1">B60</f>
        <v>Buick</v>
      </c>
    </row>
    <row r="61" spans="1:3" x14ac:dyDescent="0.2">
      <c r="B61" t="s">
        <v>83</v>
      </c>
      <c r="C61" t="str">
        <f t="shared" si="1"/>
        <v>Cadillac</v>
      </c>
    </row>
    <row r="62" spans="1:3" x14ac:dyDescent="0.2">
      <c r="B62" t="s">
        <v>84</v>
      </c>
      <c r="C62" t="str">
        <f t="shared" si="1"/>
        <v>Chevrolet</v>
      </c>
    </row>
    <row r="63" spans="1:3" x14ac:dyDescent="0.2">
      <c r="B63" t="s">
        <v>85</v>
      </c>
      <c r="C63" t="str">
        <f t="shared" si="1"/>
        <v>Dodge</v>
      </c>
    </row>
    <row r="64" spans="1:3" x14ac:dyDescent="0.2">
      <c r="B64" t="s">
        <v>86</v>
      </c>
      <c r="C64" t="str">
        <f t="shared" si="1"/>
        <v>Honda</v>
      </c>
    </row>
    <row r="65" spans="2:3" x14ac:dyDescent="0.2">
      <c r="B65" t="s">
        <v>87</v>
      </c>
      <c r="C65" t="str">
        <f t="shared" si="1"/>
        <v>Hyundai</v>
      </c>
    </row>
    <row r="66" spans="2:3" x14ac:dyDescent="0.2">
      <c r="B66" t="s">
        <v>88</v>
      </c>
      <c r="C66" t="str">
        <f t="shared" si="1"/>
        <v>Infiniti</v>
      </c>
    </row>
    <row r="67" spans="2:3" x14ac:dyDescent="0.2">
      <c r="B67" t="s">
        <v>89</v>
      </c>
      <c r="C67" t="str">
        <f t="shared" si="1"/>
        <v>Jaguar</v>
      </c>
    </row>
    <row r="68" spans="2:3" x14ac:dyDescent="0.2">
      <c r="B68" t="s">
        <v>90</v>
      </c>
      <c r="C68" t="str">
        <f t="shared" si="1"/>
        <v>Jeep</v>
      </c>
    </row>
    <row r="69" spans="2:3" x14ac:dyDescent="0.2">
      <c r="B69" t="s">
        <v>91</v>
      </c>
      <c r="C69" t="str">
        <f t="shared" si="1"/>
        <v>Lexus</v>
      </c>
    </row>
    <row r="70" spans="2:3" x14ac:dyDescent="0.2">
      <c r="B70" t="s">
        <v>92</v>
      </c>
      <c r="C70" t="str">
        <f t="shared" si="1"/>
        <v>Lincoln-Continental</v>
      </c>
    </row>
    <row r="71" spans="2:3" x14ac:dyDescent="0.2">
      <c r="B71" t="s">
        <v>93</v>
      </c>
      <c r="C71" t="str">
        <f t="shared" si="1"/>
        <v>Mazda</v>
      </c>
    </row>
    <row r="72" spans="2:3" x14ac:dyDescent="0.2">
      <c r="B72" t="s">
        <v>94</v>
      </c>
      <c r="C72" t="str">
        <f t="shared" si="1"/>
        <v>Mercedes Benz</v>
      </c>
    </row>
    <row r="73" spans="2:3" x14ac:dyDescent="0.2">
      <c r="B73" t="s">
        <v>97</v>
      </c>
      <c r="C73" t="str">
        <f t="shared" si="1"/>
        <v>Other</v>
      </c>
    </row>
    <row r="74" spans="2:3" x14ac:dyDescent="0.2">
      <c r="B74" t="s">
        <v>95</v>
      </c>
      <c r="C74" t="str">
        <f t="shared" si="1"/>
        <v>Subaru</v>
      </c>
    </row>
    <row r="75" spans="2:3" x14ac:dyDescent="0.2">
      <c r="B75" t="s">
        <v>96</v>
      </c>
      <c r="C75" t="str">
        <f t="shared" si="1"/>
        <v>Toyota</v>
      </c>
    </row>
    <row r="76" spans="2:3" x14ac:dyDescent="0.2">
      <c r="B76" t="s">
        <v>98</v>
      </c>
      <c r="C76" t="str">
        <f t="shared" si="1"/>
        <v>Volvo</v>
      </c>
    </row>
    <row r="77" spans="2:3" x14ac:dyDescent="0.2">
      <c r="B77" t="s">
        <v>152</v>
      </c>
      <c r="C77" t="s">
        <v>82</v>
      </c>
    </row>
    <row r="78" spans="2:3" x14ac:dyDescent="0.2">
      <c r="B78" t="s">
        <v>182</v>
      </c>
      <c r="C78" t="s">
        <v>82</v>
      </c>
    </row>
    <row r="79" spans="2:3" x14ac:dyDescent="0.2">
      <c r="B79" t="s">
        <v>185</v>
      </c>
      <c r="C79" t="s">
        <v>83</v>
      </c>
    </row>
    <row r="80" spans="2:3" x14ac:dyDescent="0.2">
      <c r="B80" t="s">
        <v>186</v>
      </c>
      <c r="C80" t="s">
        <v>83</v>
      </c>
    </row>
    <row r="81" spans="2:3" x14ac:dyDescent="0.2">
      <c r="B81" t="s">
        <v>187</v>
      </c>
      <c r="C81" t="s">
        <v>83</v>
      </c>
    </row>
    <row r="82" spans="2:3" x14ac:dyDescent="0.2">
      <c r="B82" t="s">
        <v>154</v>
      </c>
      <c r="C82" t="s">
        <v>83</v>
      </c>
    </row>
    <row r="83" spans="2:3" x14ac:dyDescent="0.2">
      <c r="B83" t="s">
        <v>165</v>
      </c>
      <c r="C83" t="s">
        <v>84</v>
      </c>
    </row>
    <row r="84" spans="2:3" x14ac:dyDescent="0.2">
      <c r="B84" t="s">
        <v>166</v>
      </c>
      <c r="C84" t="s">
        <v>84</v>
      </c>
    </row>
    <row r="85" spans="2:3" x14ac:dyDescent="0.2">
      <c r="B85" t="s">
        <v>167</v>
      </c>
      <c r="C85" t="s">
        <v>85</v>
      </c>
    </row>
    <row r="86" spans="2:3" x14ac:dyDescent="0.2">
      <c r="B86" t="s">
        <v>168</v>
      </c>
      <c r="C86" t="s">
        <v>85</v>
      </c>
    </row>
    <row r="87" spans="2:3" x14ac:dyDescent="0.2">
      <c r="B87" t="s">
        <v>144</v>
      </c>
      <c r="C87" t="s">
        <v>85</v>
      </c>
    </row>
    <row r="88" spans="2:3" x14ac:dyDescent="0.2">
      <c r="B88" t="s">
        <v>162</v>
      </c>
      <c r="C88" t="s">
        <v>86</v>
      </c>
    </row>
    <row r="89" spans="2:3" x14ac:dyDescent="0.2">
      <c r="B89" t="s">
        <v>163</v>
      </c>
      <c r="C89" t="s">
        <v>86</v>
      </c>
    </row>
    <row r="90" spans="2:3" x14ac:dyDescent="0.2">
      <c r="B90" t="s">
        <v>164</v>
      </c>
      <c r="C90" t="s">
        <v>86</v>
      </c>
    </row>
    <row r="91" spans="2:3" x14ac:dyDescent="0.2">
      <c r="B91" t="s">
        <v>143</v>
      </c>
      <c r="C91" t="s">
        <v>86</v>
      </c>
    </row>
    <row r="92" spans="2:3" x14ac:dyDescent="0.2">
      <c r="B92" t="s">
        <v>169</v>
      </c>
      <c r="C92" t="s">
        <v>87</v>
      </c>
    </row>
    <row r="93" spans="2:3" x14ac:dyDescent="0.2">
      <c r="B93" t="s">
        <v>170</v>
      </c>
      <c r="C93" t="s">
        <v>87</v>
      </c>
    </row>
    <row r="94" spans="2:3" x14ac:dyDescent="0.2">
      <c r="B94" t="s">
        <v>145</v>
      </c>
      <c r="C94" t="s">
        <v>87</v>
      </c>
    </row>
    <row r="95" spans="2:3" x14ac:dyDescent="0.2">
      <c r="B95" t="s">
        <v>146</v>
      </c>
      <c r="C95" t="s">
        <v>87</v>
      </c>
    </row>
    <row r="96" spans="2:3" x14ac:dyDescent="0.2">
      <c r="B96" t="s">
        <v>183</v>
      </c>
      <c r="C96" t="s">
        <v>88</v>
      </c>
    </row>
    <row r="97" spans="2:3" x14ac:dyDescent="0.2">
      <c r="B97" t="s">
        <v>184</v>
      </c>
      <c r="C97" t="s">
        <v>88</v>
      </c>
    </row>
    <row r="98" spans="2:3" x14ac:dyDescent="0.2">
      <c r="B98" t="s">
        <v>153</v>
      </c>
      <c r="C98" t="s">
        <v>88</v>
      </c>
    </row>
    <row r="99" spans="2:3" x14ac:dyDescent="0.2">
      <c r="B99" t="s">
        <v>188</v>
      </c>
      <c r="C99" t="s">
        <v>89</v>
      </c>
    </row>
    <row r="100" spans="2:3" x14ac:dyDescent="0.2">
      <c r="B100" t="s">
        <v>189</v>
      </c>
      <c r="C100" t="s">
        <v>89</v>
      </c>
    </row>
    <row r="101" spans="2:3" x14ac:dyDescent="0.2">
      <c r="B101" t="s">
        <v>174</v>
      </c>
      <c r="C101" t="s">
        <v>91</v>
      </c>
    </row>
    <row r="102" spans="2:3" x14ac:dyDescent="0.2">
      <c r="B102" t="s">
        <v>175</v>
      </c>
      <c r="C102" t="s">
        <v>91</v>
      </c>
    </row>
    <row r="103" spans="2:3" x14ac:dyDescent="0.2">
      <c r="B103" t="s">
        <v>176</v>
      </c>
      <c r="C103" t="s">
        <v>91</v>
      </c>
    </row>
    <row r="104" spans="2:3" x14ac:dyDescent="0.2">
      <c r="B104" t="s">
        <v>149</v>
      </c>
      <c r="C104" t="s">
        <v>91</v>
      </c>
    </row>
    <row r="105" spans="2:3" x14ac:dyDescent="0.2">
      <c r="B105" t="s">
        <v>190</v>
      </c>
      <c r="C105" t="s">
        <v>92</v>
      </c>
    </row>
    <row r="106" spans="2:3" x14ac:dyDescent="0.2">
      <c r="B106" t="s">
        <v>191</v>
      </c>
      <c r="C106" t="s">
        <v>92</v>
      </c>
    </row>
    <row r="107" spans="2:3" x14ac:dyDescent="0.2">
      <c r="B107" t="s">
        <v>177</v>
      </c>
      <c r="C107" t="s">
        <v>93</v>
      </c>
    </row>
    <row r="108" spans="2:3" x14ac:dyDescent="0.2">
      <c r="B108" t="s">
        <v>178</v>
      </c>
      <c r="C108" t="s">
        <v>93</v>
      </c>
    </row>
    <row r="109" spans="2:3" x14ac:dyDescent="0.2">
      <c r="B109" t="s">
        <v>150</v>
      </c>
      <c r="C109" t="s">
        <v>93</v>
      </c>
    </row>
    <row r="110" spans="2:3" x14ac:dyDescent="0.2">
      <c r="B110" t="s">
        <v>155</v>
      </c>
      <c r="C110" t="s">
        <v>94</v>
      </c>
    </row>
    <row r="111" spans="2:3" x14ac:dyDescent="0.2">
      <c r="B111" t="s">
        <v>156</v>
      </c>
      <c r="C111" t="s">
        <v>94</v>
      </c>
    </row>
    <row r="112" spans="2:3" x14ac:dyDescent="0.2">
      <c r="B112" t="s">
        <v>157</v>
      </c>
      <c r="C112" t="s">
        <v>94</v>
      </c>
    </row>
    <row r="113" spans="2:3" x14ac:dyDescent="0.2">
      <c r="B113" t="s">
        <v>179</v>
      </c>
      <c r="C113" t="s">
        <v>94</v>
      </c>
    </row>
    <row r="114" spans="2:3" x14ac:dyDescent="0.2">
      <c r="B114" t="s">
        <v>142</v>
      </c>
      <c r="C114" t="s">
        <v>94</v>
      </c>
    </row>
    <row r="115" spans="2:3" x14ac:dyDescent="0.2">
      <c r="B115" t="s">
        <v>180</v>
      </c>
      <c r="C115" t="s">
        <v>94</v>
      </c>
    </row>
    <row r="116" spans="2:3" x14ac:dyDescent="0.2">
      <c r="B116" t="s">
        <v>151</v>
      </c>
      <c r="C116" t="s">
        <v>94</v>
      </c>
    </row>
    <row r="117" spans="2:3" x14ac:dyDescent="0.2">
      <c r="B117" t="s">
        <v>147</v>
      </c>
      <c r="C117" t="s">
        <v>95</v>
      </c>
    </row>
    <row r="118" spans="2:3" x14ac:dyDescent="0.2">
      <c r="B118" t="s">
        <v>171</v>
      </c>
      <c r="C118" t="s">
        <v>95</v>
      </c>
    </row>
    <row r="119" spans="2:3" x14ac:dyDescent="0.2">
      <c r="B119" t="s">
        <v>172</v>
      </c>
      <c r="C119" t="s">
        <v>95</v>
      </c>
    </row>
    <row r="120" spans="2:3" x14ac:dyDescent="0.2">
      <c r="B120" t="s">
        <v>173</v>
      </c>
      <c r="C120" t="s">
        <v>95</v>
      </c>
    </row>
    <row r="121" spans="2:3" x14ac:dyDescent="0.2">
      <c r="B121" t="s">
        <v>148</v>
      </c>
      <c r="C121" t="s">
        <v>95</v>
      </c>
    </row>
    <row r="122" spans="2:3" x14ac:dyDescent="0.2">
      <c r="B122" t="s">
        <v>158</v>
      </c>
      <c r="C122" t="s">
        <v>96</v>
      </c>
    </row>
    <row r="123" spans="2:3" x14ac:dyDescent="0.2">
      <c r="B123" t="s">
        <v>159</v>
      </c>
      <c r="C123" t="s">
        <v>96</v>
      </c>
    </row>
    <row r="124" spans="2:3" x14ac:dyDescent="0.2">
      <c r="B124" t="s">
        <v>160</v>
      </c>
      <c r="C124" t="s">
        <v>96</v>
      </c>
    </row>
    <row r="125" spans="2:3" x14ac:dyDescent="0.2">
      <c r="B125" t="s">
        <v>161</v>
      </c>
      <c r="C125" t="s">
        <v>96</v>
      </c>
    </row>
    <row r="126" spans="2:3" x14ac:dyDescent="0.2">
      <c r="B126" t="s">
        <v>181</v>
      </c>
      <c r="C126" t="s">
        <v>98</v>
      </c>
    </row>
    <row r="127" spans="2:3" x14ac:dyDescent="0.2">
      <c r="B127" t="s">
        <v>112</v>
      </c>
      <c r="C127" t="s">
        <v>111</v>
      </c>
    </row>
    <row r="128" spans="2:3" x14ac:dyDescent="0.2">
      <c r="B128" t="s">
        <v>113</v>
      </c>
      <c r="C128" t="s">
        <v>111</v>
      </c>
    </row>
    <row r="129" spans="2:3" x14ac:dyDescent="0.2">
      <c r="B129" t="s">
        <v>99</v>
      </c>
      <c r="C129" t="s">
        <v>139</v>
      </c>
    </row>
    <row r="130" spans="2:3" x14ac:dyDescent="0.2">
      <c r="B130" t="s">
        <v>100</v>
      </c>
      <c r="C130" t="s">
        <v>139</v>
      </c>
    </row>
    <row r="131" spans="2:3" x14ac:dyDescent="0.2">
      <c r="B131" t="s">
        <v>101</v>
      </c>
      <c r="C131" t="s">
        <v>139</v>
      </c>
    </row>
    <row r="132" spans="2:3" x14ac:dyDescent="0.2">
      <c r="B132" t="s">
        <v>102</v>
      </c>
      <c r="C132" t="s">
        <v>139</v>
      </c>
    </row>
    <row r="133" spans="2:3" x14ac:dyDescent="0.2">
      <c r="B133" t="s">
        <v>103</v>
      </c>
      <c r="C133" t="s">
        <v>139</v>
      </c>
    </row>
    <row r="134" spans="2:3" x14ac:dyDescent="0.2">
      <c r="B134" t="s">
        <v>104</v>
      </c>
      <c r="C134" t="s">
        <v>139</v>
      </c>
    </row>
    <row r="135" spans="2:3" x14ac:dyDescent="0.2">
      <c r="B135" t="s">
        <v>105</v>
      </c>
      <c r="C135" t="s">
        <v>139</v>
      </c>
    </row>
    <row r="136" spans="2:3" x14ac:dyDescent="0.2">
      <c r="B136" t="s">
        <v>106</v>
      </c>
      <c r="C136" t="s">
        <v>139</v>
      </c>
    </row>
    <row r="137" spans="2:3" x14ac:dyDescent="0.2">
      <c r="B137" t="s">
        <v>107</v>
      </c>
      <c r="C137" t="s">
        <v>139</v>
      </c>
    </row>
    <row r="138" spans="2:3" x14ac:dyDescent="0.2">
      <c r="B138" t="s">
        <v>108</v>
      </c>
      <c r="C138" t="s">
        <v>139</v>
      </c>
    </row>
    <row r="139" spans="2:3" x14ac:dyDescent="0.2">
      <c r="B139" t="s">
        <v>109</v>
      </c>
      <c r="C139" t="s">
        <v>139</v>
      </c>
    </row>
    <row r="140" spans="2:3" x14ac:dyDescent="0.2">
      <c r="B140" t="s">
        <v>110</v>
      </c>
      <c r="C140" t="s">
        <v>139</v>
      </c>
    </row>
    <row r="141" spans="2:3" x14ac:dyDescent="0.2">
      <c r="B141" t="s">
        <v>111</v>
      </c>
      <c r="C141" t="s">
        <v>139</v>
      </c>
    </row>
    <row r="142" spans="2:3" x14ac:dyDescent="0.2">
      <c r="B142" t="s">
        <v>114</v>
      </c>
      <c r="C142" t="s">
        <v>139</v>
      </c>
    </row>
    <row r="143" spans="2:3" x14ac:dyDescent="0.2">
      <c r="B143" t="s">
        <v>115</v>
      </c>
      <c r="C143" t="s">
        <v>139</v>
      </c>
    </row>
    <row r="144" spans="2:3" x14ac:dyDescent="0.2">
      <c r="B144" t="s">
        <v>116</v>
      </c>
      <c r="C144" t="s">
        <v>139</v>
      </c>
    </row>
    <row r="145" spans="2:3" x14ac:dyDescent="0.2">
      <c r="B145" t="s">
        <v>117</v>
      </c>
      <c r="C145" t="s">
        <v>139</v>
      </c>
    </row>
    <row r="146" spans="2:3" x14ac:dyDescent="0.2">
      <c r="B146" t="s">
        <v>118</v>
      </c>
      <c r="C146" t="s">
        <v>139</v>
      </c>
    </row>
    <row r="147" spans="2:3" x14ac:dyDescent="0.2">
      <c r="B147" t="s">
        <v>119</v>
      </c>
      <c r="C147" t="s">
        <v>139</v>
      </c>
    </row>
    <row r="148" spans="2:3" x14ac:dyDescent="0.2">
      <c r="B148" t="s">
        <v>120</v>
      </c>
      <c r="C148" t="s">
        <v>139</v>
      </c>
    </row>
    <row r="149" spans="2:3" x14ac:dyDescent="0.2">
      <c r="B149" t="s">
        <v>121</v>
      </c>
      <c r="C149" t="s">
        <v>139</v>
      </c>
    </row>
    <row r="150" spans="2:3" x14ac:dyDescent="0.2">
      <c r="B150" t="s">
        <v>122</v>
      </c>
      <c r="C150" t="s">
        <v>139</v>
      </c>
    </row>
    <row r="151" spans="2:3" x14ac:dyDescent="0.2">
      <c r="B151" t="s">
        <v>123</v>
      </c>
      <c r="C151" t="s">
        <v>139</v>
      </c>
    </row>
    <row r="152" spans="2:3" x14ac:dyDescent="0.2">
      <c r="B152" t="s">
        <v>124</v>
      </c>
      <c r="C152" t="s">
        <v>139</v>
      </c>
    </row>
    <row r="153" spans="2:3" x14ac:dyDescent="0.2">
      <c r="B153" t="s">
        <v>125</v>
      </c>
      <c r="C153" t="s">
        <v>139</v>
      </c>
    </row>
    <row r="154" spans="2:3" x14ac:dyDescent="0.2">
      <c r="B154" t="s">
        <v>126</v>
      </c>
      <c r="C154" t="s">
        <v>139</v>
      </c>
    </row>
    <row r="155" spans="2:3" x14ac:dyDescent="0.2">
      <c r="B155" t="s">
        <v>127</v>
      </c>
      <c r="C155" t="s">
        <v>139</v>
      </c>
    </row>
    <row r="156" spans="2:3" x14ac:dyDescent="0.2">
      <c r="B156" t="s">
        <v>128</v>
      </c>
      <c r="C156" t="s">
        <v>139</v>
      </c>
    </row>
    <row r="157" spans="2:3" x14ac:dyDescent="0.2">
      <c r="B157" t="s">
        <v>129</v>
      </c>
      <c r="C157" t="s">
        <v>139</v>
      </c>
    </row>
    <row r="158" spans="2:3" x14ac:dyDescent="0.2">
      <c r="B158" t="s">
        <v>130</v>
      </c>
      <c r="C158" t="s">
        <v>139</v>
      </c>
    </row>
    <row r="159" spans="2:3" x14ac:dyDescent="0.2">
      <c r="B159" t="s">
        <v>131</v>
      </c>
      <c r="C159" t="s">
        <v>139</v>
      </c>
    </row>
    <row r="160" spans="2:3" x14ac:dyDescent="0.2">
      <c r="B160" t="s">
        <v>132</v>
      </c>
      <c r="C160" t="s">
        <v>139</v>
      </c>
    </row>
    <row r="161" spans="1:3" x14ac:dyDescent="0.2">
      <c r="B161" t="s">
        <v>133</v>
      </c>
      <c r="C161" t="s">
        <v>139</v>
      </c>
    </row>
    <row r="162" spans="1:3" x14ac:dyDescent="0.2">
      <c r="B162" t="s">
        <v>134</v>
      </c>
      <c r="C162" t="s">
        <v>139</v>
      </c>
    </row>
    <row r="163" spans="1:3" x14ac:dyDescent="0.2">
      <c r="B163" t="s">
        <v>135</v>
      </c>
      <c r="C163" t="s">
        <v>139</v>
      </c>
    </row>
    <row r="164" spans="1:3" x14ac:dyDescent="0.2">
      <c r="B164" t="s">
        <v>136</v>
      </c>
      <c r="C164" t="s">
        <v>139</v>
      </c>
    </row>
    <row r="165" spans="1:3" x14ac:dyDescent="0.2">
      <c r="B165" t="s">
        <v>137</v>
      </c>
      <c r="C165" t="s">
        <v>139</v>
      </c>
    </row>
    <row r="166" spans="1:3" x14ac:dyDescent="0.2">
      <c r="B166" t="s">
        <v>138</v>
      </c>
      <c r="C166" t="s">
        <v>139</v>
      </c>
    </row>
    <row r="167" spans="1:3" x14ac:dyDescent="0.2">
      <c r="B167" t="s">
        <v>305</v>
      </c>
      <c r="C167" t="str">
        <f>B167</f>
        <v>*Reference*</v>
      </c>
    </row>
    <row r="168" spans="1:3" x14ac:dyDescent="0.2">
      <c r="A168" t="s">
        <v>194</v>
      </c>
    </row>
    <row r="169" spans="1:3" x14ac:dyDescent="0.2">
      <c r="A169" t="s">
        <v>196</v>
      </c>
      <c r="B169" t="s">
        <v>21</v>
      </c>
    </row>
    <row r="170" spans="1:3" x14ac:dyDescent="0.2">
      <c r="B170" t="s">
        <v>304</v>
      </c>
    </row>
    <row r="171" spans="1:3" x14ac:dyDescent="0.2">
      <c r="A171" t="s">
        <v>199</v>
      </c>
      <c r="B171" t="s">
        <v>211</v>
      </c>
      <c r="C171" t="s">
        <v>201</v>
      </c>
    </row>
    <row r="172" spans="1:3" x14ac:dyDescent="0.2">
      <c r="B172" t="s">
        <v>206</v>
      </c>
      <c r="C172" t="s">
        <v>200</v>
      </c>
    </row>
    <row r="173" spans="1:3" x14ac:dyDescent="0.2">
      <c r="B173" t="s">
        <v>223</v>
      </c>
      <c r="C173" t="s">
        <v>202</v>
      </c>
    </row>
    <row r="174" spans="1:3" x14ac:dyDescent="0.2">
      <c r="B174" t="s">
        <v>212</v>
      </c>
      <c r="C174" t="s">
        <v>201</v>
      </c>
    </row>
    <row r="175" spans="1:3" x14ac:dyDescent="0.2">
      <c r="B175" t="s">
        <v>213</v>
      </c>
      <c r="C175" t="s">
        <v>201</v>
      </c>
    </row>
    <row r="176" spans="1:3" x14ac:dyDescent="0.2">
      <c r="B176" t="s">
        <v>224</v>
      </c>
      <c r="C176" t="s">
        <v>202</v>
      </c>
    </row>
    <row r="177" spans="2:3" x14ac:dyDescent="0.2">
      <c r="B177" t="s">
        <v>235</v>
      </c>
      <c r="C177" t="s">
        <v>203</v>
      </c>
    </row>
    <row r="178" spans="2:3" x14ac:dyDescent="0.2">
      <c r="B178" t="s">
        <v>207</v>
      </c>
      <c r="C178" t="s">
        <v>200</v>
      </c>
    </row>
    <row r="179" spans="2:3" x14ac:dyDescent="0.2">
      <c r="B179" t="s">
        <v>236</v>
      </c>
      <c r="C179" t="s">
        <v>203</v>
      </c>
    </row>
    <row r="180" spans="2:3" x14ac:dyDescent="0.2">
      <c r="B180" t="s">
        <v>214</v>
      </c>
      <c r="C180" t="s">
        <v>201</v>
      </c>
    </row>
    <row r="181" spans="2:3" x14ac:dyDescent="0.2">
      <c r="B181" t="s">
        <v>225</v>
      </c>
      <c r="C181" t="s">
        <v>202</v>
      </c>
    </row>
    <row r="182" spans="2:3" x14ac:dyDescent="0.2">
      <c r="B182" t="s">
        <v>237</v>
      </c>
      <c r="C182" t="s">
        <v>203</v>
      </c>
    </row>
    <row r="183" spans="2:3" x14ac:dyDescent="0.2">
      <c r="B183" t="s">
        <v>240</v>
      </c>
      <c r="C183" t="s">
        <v>203</v>
      </c>
    </row>
    <row r="184" spans="2:3" x14ac:dyDescent="0.2">
      <c r="B184" t="s">
        <v>226</v>
      </c>
      <c r="C184" t="s">
        <v>202</v>
      </c>
    </row>
    <row r="185" spans="2:3" x14ac:dyDescent="0.2">
      <c r="B185" t="s">
        <v>238</v>
      </c>
      <c r="C185" t="s">
        <v>203</v>
      </c>
    </row>
    <row r="186" spans="2:3" x14ac:dyDescent="0.2">
      <c r="B186" t="s">
        <v>239</v>
      </c>
      <c r="C186" t="s">
        <v>203</v>
      </c>
    </row>
    <row r="187" spans="2:3" x14ac:dyDescent="0.2">
      <c r="B187" t="s">
        <v>227</v>
      </c>
      <c r="C187" t="s">
        <v>202</v>
      </c>
    </row>
    <row r="188" spans="2:3" x14ac:dyDescent="0.2">
      <c r="B188" t="s">
        <v>215</v>
      </c>
      <c r="C188" t="s">
        <v>201</v>
      </c>
    </row>
    <row r="189" spans="2:3" x14ac:dyDescent="0.2">
      <c r="B189" t="s">
        <v>216</v>
      </c>
      <c r="C189" t="s">
        <v>201</v>
      </c>
    </row>
    <row r="190" spans="2:3" x14ac:dyDescent="0.2">
      <c r="B190" t="s">
        <v>241</v>
      </c>
      <c r="C190" t="s">
        <v>203</v>
      </c>
    </row>
    <row r="191" spans="2:3" x14ac:dyDescent="0.2">
      <c r="B191" t="s">
        <v>208</v>
      </c>
      <c r="C191" t="s">
        <v>200</v>
      </c>
    </row>
    <row r="192" spans="2:3" x14ac:dyDescent="0.2">
      <c r="B192" t="s">
        <v>228</v>
      </c>
      <c r="C192" t="s">
        <v>202</v>
      </c>
    </row>
    <row r="193" spans="2:3" x14ac:dyDescent="0.2">
      <c r="B193" t="s">
        <v>242</v>
      </c>
      <c r="C193" t="s">
        <v>203</v>
      </c>
    </row>
    <row r="194" spans="2:3" x14ac:dyDescent="0.2">
      <c r="B194" t="s">
        <v>243</v>
      </c>
      <c r="C194" t="s">
        <v>203</v>
      </c>
    </row>
    <row r="195" spans="2:3" x14ac:dyDescent="0.2">
      <c r="B195" t="s">
        <v>218</v>
      </c>
      <c r="C195" t="s">
        <v>201</v>
      </c>
    </row>
    <row r="196" spans="2:3" x14ac:dyDescent="0.2">
      <c r="B196" t="s">
        <v>217</v>
      </c>
      <c r="C196" t="s">
        <v>201</v>
      </c>
    </row>
    <row r="197" spans="2:3" x14ac:dyDescent="0.2">
      <c r="B197" t="s">
        <v>244</v>
      </c>
      <c r="C197" t="s">
        <v>203</v>
      </c>
    </row>
    <row r="198" spans="2:3" x14ac:dyDescent="0.2">
      <c r="B198" t="s">
        <v>209</v>
      </c>
      <c r="C198" t="s">
        <v>200</v>
      </c>
    </row>
    <row r="199" spans="2:3" x14ac:dyDescent="0.2">
      <c r="B199" t="s">
        <v>229</v>
      </c>
      <c r="C199" t="s">
        <v>202</v>
      </c>
    </row>
    <row r="200" spans="2:3" x14ac:dyDescent="0.2">
      <c r="B200" t="s">
        <v>230</v>
      </c>
      <c r="C200" t="s">
        <v>202</v>
      </c>
    </row>
    <row r="201" spans="2:3" x14ac:dyDescent="0.2">
      <c r="B201" t="s">
        <v>246</v>
      </c>
      <c r="C201" t="s">
        <v>203</v>
      </c>
    </row>
    <row r="202" spans="2:3" x14ac:dyDescent="0.2">
      <c r="B202" t="s">
        <v>247</v>
      </c>
      <c r="C202" t="s">
        <v>203</v>
      </c>
    </row>
    <row r="203" spans="2:3" x14ac:dyDescent="0.2">
      <c r="B203" t="s">
        <v>219</v>
      </c>
      <c r="C203" t="s">
        <v>201</v>
      </c>
    </row>
    <row r="204" spans="2:3" x14ac:dyDescent="0.2">
      <c r="B204" t="s">
        <v>245</v>
      </c>
      <c r="C204" t="s">
        <v>203</v>
      </c>
    </row>
    <row r="205" spans="2:3" x14ac:dyDescent="0.2">
      <c r="B205" t="s">
        <v>220</v>
      </c>
      <c r="C205" t="s">
        <v>201</v>
      </c>
    </row>
    <row r="206" spans="2:3" x14ac:dyDescent="0.2">
      <c r="B206" t="s">
        <v>248</v>
      </c>
      <c r="C206" t="s">
        <v>203</v>
      </c>
    </row>
    <row r="207" spans="2:3" x14ac:dyDescent="0.2">
      <c r="B207" t="s">
        <v>249</v>
      </c>
      <c r="C207" t="s">
        <v>203</v>
      </c>
    </row>
    <row r="208" spans="2:3" x14ac:dyDescent="0.2">
      <c r="B208" t="s">
        <v>250</v>
      </c>
      <c r="C208" t="s">
        <v>203</v>
      </c>
    </row>
    <row r="209" spans="1:3" x14ac:dyDescent="0.2">
      <c r="B209" t="s">
        <v>251</v>
      </c>
      <c r="C209" t="s">
        <v>203</v>
      </c>
    </row>
    <row r="210" spans="1:3" x14ac:dyDescent="0.2">
      <c r="B210" t="s">
        <v>221</v>
      </c>
      <c r="C210" t="s">
        <v>201</v>
      </c>
    </row>
    <row r="211" spans="1:3" x14ac:dyDescent="0.2">
      <c r="B211" t="s">
        <v>252</v>
      </c>
      <c r="C211" t="s">
        <v>203</v>
      </c>
    </row>
    <row r="212" spans="1:3" x14ac:dyDescent="0.2">
      <c r="B212" t="s">
        <v>231</v>
      </c>
      <c r="C212" t="s">
        <v>202</v>
      </c>
    </row>
    <row r="213" spans="1:3" x14ac:dyDescent="0.2">
      <c r="B213" t="s">
        <v>232</v>
      </c>
      <c r="C213" t="s">
        <v>202</v>
      </c>
    </row>
    <row r="214" spans="1:3" x14ac:dyDescent="0.2">
      <c r="B214" t="s">
        <v>253</v>
      </c>
      <c r="C214" t="s">
        <v>203</v>
      </c>
    </row>
    <row r="215" spans="1:3" x14ac:dyDescent="0.2">
      <c r="B215" t="s">
        <v>233</v>
      </c>
      <c r="C215" t="s">
        <v>202</v>
      </c>
    </row>
    <row r="216" spans="1:3" x14ac:dyDescent="0.2">
      <c r="B216" t="s">
        <v>210</v>
      </c>
      <c r="C216" t="s">
        <v>200</v>
      </c>
    </row>
    <row r="217" spans="1:3" x14ac:dyDescent="0.2">
      <c r="B217" t="s">
        <v>254</v>
      </c>
      <c r="C217" t="s">
        <v>203</v>
      </c>
    </row>
    <row r="218" spans="1:3" x14ac:dyDescent="0.2">
      <c r="B218" t="s">
        <v>222</v>
      </c>
      <c r="C218" t="s">
        <v>201</v>
      </c>
    </row>
    <row r="219" spans="1:3" x14ac:dyDescent="0.2">
      <c r="B219" t="s">
        <v>255</v>
      </c>
      <c r="C219" t="s">
        <v>203</v>
      </c>
    </row>
    <row r="220" spans="1:3" x14ac:dyDescent="0.2">
      <c r="B220" t="s">
        <v>234</v>
      </c>
      <c r="C220" t="s">
        <v>202</v>
      </c>
    </row>
    <row r="221" spans="1:3" x14ac:dyDescent="0.2">
      <c r="B221" t="s">
        <v>256</v>
      </c>
      <c r="C221" t="s">
        <v>203</v>
      </c>
    </row>
    <row r="222" spans="1:3" x14ac:dyDescent="0.2">
      <c r="A222" t="s">
        <v>259</v>
      </c>
    </row>
    <row r="223" spans="1:3" x14ac:dyDescent="0.2">
      <c r="A223" t="s">
        <v>261</v>
      </c>
    </row>
    <row r="224" spans="1:3" x14ac:dyDescent="0.2">
      <c r="A224" t="s">
        <v>263</v>
      </c>
    </row>
    <row r="225" spans="1:2" x14ac:dyDescent="0.2">
      <c r="A225" t="s">
        <v>266</v>
      </c>
    </row>
    <row r="226" spans="1:2" x14ac:dyDescent="0.2">
      <c r="A226" s="22" t="s">
        <v>303</v>
      </c>
    </row>
    <row r="227" spans="1:2" x14ac:dyDescent="0.2">
      <c r="A227" s="21" t="s">
        <v>290</v>
      </c>
      <c r="B227" t="s">
        <v>291</v>
      </c>
    </row>
    <row r="228" spans="1:2" x14ac:dyDescent="0.2">
      <c r="B228" t="s">
        <v>292</v>
      </c>
    </row>
    <row r="229" spans="1:2" x14ac:dyDescent="0.2">
      <c r="B229" t="s">
        <v>305</v>
      </c>
    </row>
    <row r="230" spans="1:2" x14ac:dyDescent="0.2">
      <c r="A230" t="s">
        <v>296</v>
      </c>
    </row>
    <row r="231" spans="1:2" x14ac:dyDescent="0.2">
      <c r="A231" t="s">
        <v>297</v>
      </c>
    </row>
  </sheetData>
  <sortState ref="B171:C221">
    <sortCondition ref="B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U33"/>
  <sheetViews>
    <sheetView workbookViewId="0">
      <selection activeCell="E38" sqref="E38"/>
    </sheetView>
  </sheetViews>
  <sheetFormatPr defaultRowHeight="14.25" x14ac:dyDescent="0.2"/>
  <cols>
    <col min="1" max="1" width="5.625" customWidth="1"/>
    <col min="2" max="2" width="59.625" bestFit="1" customWidth="1"/>
    <col min="3" max="3" width="14" bestFit="1" customWidth="1"/>
    <col min="4" max="4" width="5.625" customWidth="1"/>
    <col min="5" max="5" width="15.625" style="34" customWidth="1"/>
    <col min="6" max="6" width="22" style="34" bestFit="1" customWidth="1"/>
    <col min="7" max="7" width="5.625" customWidth="1"/>
    <col min="8" max="8" width="23.625" bestFit="1" customWidth="1"/>
    <col min="9" max="9" width="14" bestFit="1" customWidth="1"/>
    <col min="10" max="10" width="5.625" customWidth="1"/>
    <col min="11" max="11" width="23" bestFit="1" customWidth="1"/>
    <col min="12" max="12" width="14" bestFit="1" customWidth="1"/>
    <col min="13" max="13" width="5.625" customWidth="1"/>
    <col min="14" max="14" width="22.25" bestFit="1" customWidth="1"/>
    <col min="15" max="15" width="14" bestFit="1" customWidth="1"/>
  </cols>
  <sheetData>
    <row r="2" spans="1:21" ht="15" x14ac:dyDescent="0.25">
      <c r="B2" s="1"/>
    </row>
    <row r="3" spans="1:21" ht="16.5" x14ac:dyDescent="0.2">
      <c r="A3" s="35" t="s">
        <v>271</v>
      </c>
      <c r="B3" s="36" t="s">
        <v>276</v>
      </c>
      <c r="C3" s="44" t="s">
        <v>273</v>
      </c>
      <c r="P3" s="34"/>
      <c r="Q3" s="34"/>
      <c r="R3" s="34"/>
      <c r="S3" s="34"/>
      <c r="T3" s="34"/>
      <c r="U3" s="34"/>
    </row>
    <row r="4" spans="1:21" ht="15" x14ac:dyDescent="0.25">
      <c r="A4" s="37"/>
      <c r="B4" s="38">
        <v>0</v>
      </c>
      <c r="C4" s="45" t="s">
        <v>274</v>
      </c>
      <c r="E4" s="48" t="s">
        <v>277</v>
      </c>
      <c r="F4" s="48">
        <f>FullCalculator!B17</f>
        <v>45</v>
      </c>
      <c r="P4" s="34"/>
      <c r="Q4" s="34"/>
      <c r="R4" s="34"/>
      <c r="S4" s="34"/>
      <c r="T4" s="34"/>
      <c r="U4" s="34"/>
    </row>
    <row r="5" spans="1:21" x14ac:dyDescent="0.2">
      <c r="A5" s="39"/>
      <c r="B5" s="40">
        <v>0</v>
      </c>
      <c r="C5" s="46" t="s">
        <v>275</v>
      </c>
      <c r="E5" s="47" t="s">
        <v>271</v>
      </c>
      <c r="F5" s="47">
        <f>IF(F4&lt;=45,B19,IF(F4&gt;=73,B21,B20))</f>
        <v>1.4872099937601746E-4</v>
      </c>
      <c r="P5" s="34"/>
      <c r="Q5" s="34"/>
      <c r="R5" s="34"/>
      <c r="S5" s="34"/>
      <c r="T5" s="34"/>
      <c r="U5" s="34"/>
    </row>
    <row r="6" spans="1:21" ht="16.5" x14ac:dyDescent="0.2">
      <c r="A6" s="35" t="s">
        <v>267</v>
      </c>
      <c r="B6" s="41" t="s">
        <v>278</v>
      </c>
      <c r="C6" s="44" t="s">
        <v>273</v>
      </c>
      <c r="E6" s="47" t="s">
        <v>267</v>
      </c>
      <c r="F6" s="47">
        <f>IF(F4&lt;=45,B22,IF(F4&gt;=73,B24,B23))</f>
        <v>0.51197204045208844</v>
      </c>
    </row>
    <row r="7" spans="1:21" ht="16.5" x14ac:dyDescent="0.2">
      <c r="A7" s="37"/>
      <c r="B7" s="42" t="s">
        <v>279</v>
      </c>
      <c r="C7" s="45" t="s">
        <v>274</v>
      </c>
      <c r="E7" s="47" t="s">
        <v>268</v>
      </c>
      <c r="F7" s="47">
        <f>IF(F4&lt;=45,B25,IF(F4&gt;=73,B27,B26))</f>
        <v>0.48787923854848358</v>
      </c>
    </row>
    <row r="8" spans="1:21" x14ac:dyDescent="0.2">
      <c r="A8" s="39"/>
      <c r="B8" s="40">
        <v>0</v>
      </c>
      <c r="C8" s="46" t="s">
        <v>275</v>
      </c>
      <c r="E8" s="47" t="s">
        <v>269</v>
      </c>
      <c r="F8" s="47">
        <f>IF(F4&lt;=45,B28,IF(F4&gt;=73,B30,B29))</f>
        <v>0</v>
      </c>
    </row>
    <row r="9" spans="1:21" ht="16.5" x14ac:dyDescent="0.2">
      <c r="A9" s="35" t="s">
        <v>268</v>
      </c>
      <c r="B9" s="41" t="s">
        <v>280</v>
      </c>
      <c r="C9" s="44" t="s">
        <v>273</v>
      </c>
      <c r="E9" s="47" t="s">
        <v>270</v>
      </c>
      <c r="F9" s="47">
        <f>IF(F4&lt;=45,B31,IF(F4&gt;=73,B33,B32))</f>
        <v>0</v>
      </c>
    </row>
    <row r="10" spans="1:21" ht="16.5" x14ac:dyDescent="0.2">
      <c r="A10" s="37"/>
      <c r="B10" s="42" t="s">
        <v>281</v>
      </c>
      <c r="C10" s="45" t="s">
        <v>274</v>
      </c>
    </row>
    <row r="11" spans="1:21" ht="16.5" x14ac:dyDescent="0.2">
      <c r="A11" s="39"/>
      <c r="B11" s="43" t="s">
        <v>282</v>
      </c>
      <c r="C11" s="46" t="s">
        <v>275</v>
      </c>
    </row>
    <row r="12" spans="1:21" x14ac:dyDescent="0.2">
      <c r="A12" s="35" t="s">
        <v>269</v>
      </c>
      <c r="B12" s="41">
        <v>0</v>
      </c>
      <c r="C12" s="44" t="s">
        <v>273</v>
      </c>
    </row>
    <row r="13" spans="1:21" ht="16.5" x14ac:dyDescent="0.2">
      <c r="A13" s="37"/>
      <c r="B13" s="42" t="s">
        <v>283</v>
      </c>
      <c r="C13" s="45" t="s">
        <v>274</v>
      </c>
    </row>
    <row r="14" spans="1:21" ht="16.5" x14ac:dyDescent="0.2">
      <c r="A14" s="39"/>
      <c r="B14" s="43" t="s">
        <v>284</v>
      </c>
      <c r="C14" s="46" t="s">
        <v>275</v>
      </c>
    </row>
    <row r="15" spans="1:21" x14ac:dyDescent="0.2">
      <c r="A15" s="35" t="s">
        <v>270</v>
      </c>
      <c r="B15" s="41">
        <v>0</v>
      </c>
      <c r="C15" s="44" t="s">
        <v>273</v>
      </c>
    </row>
    <row r="16" spans="1:21" x14ac:dyDescent="0.2">
      <c r="A16" s="37"/>
      <c r="B16" s="42">
        <v>0</v>
      </c>
      <c r="C16" s="45" t="s">
        <v>274</v>
      </c>
    </row>
    <row r="17" spans="1:3" ht="16.5" x14ac:dyDescent="0.2">
      <c r="A17" s="39"/>
      <c r="B17" s="43" t="s">
        <v>285</v>
      </c>
      <c r="C17" s="46" t="s">
        <v>275</v>
      </c>
    </row>
    <row r="19" spans="1:3" x14ac:dyDescent="0.2">
      <c r="A19" s="35" t="s">
        <v>271</v>
      </c>
      <c r="B19" s="36">
        <f>0.00133848899464604*F4^2-0.121356335514575*F4+2.75074360499702</f>
        <v>1.4872099937601746E-4</v>
      </c>
      <c r="C19" s="44" t="s">
        <v>273</v>
      </c>
    </row>
    <row r="20" spans="1:3" x14ac:dyDescent="0.2">
      <c r="A20" s="37"/>
      <c r="B20" s="38">
        <v>0</v>
      </c>
      <c r="C20" s="45" t="s">
        <v>274</v>
      </c>
    </row>
    <row r="21" spans="1:3" x14ac:dyDescent="0.2">
      <c r="A21" s="39"/>
      <c r="B21" s="40">
        <v>0</v>
      </c>
      <c r="C21" s="46" t="s">
        <v>275</v>
      </c>
    </row>
    <row r="22" spans="1:3" x14ac:dyDescent="0.2">
      <c r="A22" s="35" t="s">
        <v>267</v>
      </c>
      <c r="B22" s="41">
        <f>-0.00200773349196907*F4^2+0.145449137418203*F4-1.96757882212968</f>
        <v>0.51197204045208844</v>
      </c>
      <c r="C22" s="44" t="s">
        <v>273</v>
      </c>
    </row>
    <row r="23" spans="1:3" x14ac:dyDescent="0.2">
      <c r="A23" s="37"/>
      <c r="B23" s="42">
        <f>0.000669244497323023*F4^2-0.0972635336109459*F4+3.53390838786437</f>
        <v>0.51226948245092574</v>
      </c>
      <c r="C23" s="45" t="s">
        <v>274</v>
      </c>
    </row>
    <row r="24" spans="1:3" x14ac:dyDescent="0.2">
      <c r="A24" s="39"/>
      <c r="B24" s="40">
        <v>0</v>
      </c>
      <c r="C24" s="46" t="s">
        <v>275</v>
      </c>
    </row>
    <row r="25" spans="1:3" x14ac:dyDescent="0.2">
      <c r="A25" s="35" t="s">
        <v>268</v>
      </c>
      <c r="B25" s="41">
        <f>0.000669244497323022*F4^2-0.0240928019036288*F4+0.21683521713266</f>
        <v>0.48787923854848358</v>
      </c>
      <c r="C25" s="44" t="s">
        <v>273</v>
      </c>
    </row>
    <row r="26" spans="1:3" x14ac:dyDescent="0.2">
      <c r="A26" s="37"/>
      <c r="B26" s="42">
        <f>-0.00133848899464605*F4^2+0.157941701368234*F4-3.90928019036289</f>
        <v>0.48765615704938758</v>
      </c>
      <c r="C26" s="45" t="s">
        <v>274</v>
      </c>
    </row>
    <row r="27" spans="1:3" x14ac:dyDescent="0.2">
      <c r="A27" s="39"/>
      <c r="B27" s="43">
        <f>0.000669244497323021*F4^2-0.133848899464604*F4+6.69244497323021</f>
        <v>2.0244646044021488</v>
      </c>
      <c r="C27" s="46" t="s">
        <v>275</v>
      </c>
    </row>
    <row r="28" spans="1:3" x14ac:dyDescent="0.2">
      <c r="A28" s="35" t="s">
        <v>269</v>
      </c>
      <c r="B28" s="41">
        <v>0</v>
      </c>
      <c r="C28" s="44" t="s">
        <v>273</v>
      </c>
    </row>
    <row r="29" spans="1:3" x14ac:dyDescent="0.2">
      <c r="A29" s="37"/>
      <c r="B29" s="42">
        <f>0.000669244497323023*F4^2-0.0606781677572875*F4+1.37537180249852</f>
        <v>7.4360499703773897E-5</v>
      </c>
      <c r="C29" s="45" t="s">
        <v>274</v>
      </c>
    </row>
    <row r="30" spans="1:3" x14ac:dyDescent="0.2">
      <c r="A30" s="39"/>
      <c r="B30" s="43">
        <f>-0.00200773349196906*F4^2+0.328375966686496*F4-12.7602617489589</f>
        <v>-2.0490035693039275</v>
      </c>
      <c r="C30" s="46" t="s">
        <v>275</v>
      </c>
    </row>
    <row r="31" spans="1:3" x14ac:dyDescent="0.2">
      <c r="A31" s="35" t="s">
        <v>270</v>
      </c>
      <c r="B31" s="41">
        <v>0</v>
      </c>
      <c r="C31" s="44" t="s">
        <v>273</v>
      </c>
    </row>
    <row r="32" spans="1:3" x14ac:dyDescent="0.2">
      <c r="A32" s="37"/>
      <c r="B32" s="42">
        <v>0</v>
      </c>
      <c r="C32" s="45" t="s">
        <v>274</v>
      </c>
    </row>
    <row r="33" spans="1:3" x14ac:dyDescent="0.2">
      <c r="A33" s="39"/>
      <c r="B33" s="43">
        <f>0.00133848899464604*F4^2-0.194527067221891*F4+7.06781677572872</f>
        <v>1.024538964901855</v>
      </c>
      <c r="C33" s="46" t="s">
        <v>275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8"/>
  <sheetViews>
    <sheetView topLeftCell="A16" workbookViewId="0">
      <selection activeCell="C13" sqref="C13"/>
    </sheetView>
  </sheetViews>
  <sheetFormatPr defaultRowHeight="14.25" x14ac:dyDescent="0.2"/>
  <cols>
    <col min="1" max="1" width="30.25" bestFit="1" customWidth="1"/>
    <col min="2" max="3" width="29.5" style="34" bestFit="1" customWidth="1"/>
    <col min="4" max="4" width="11.875" style="34" bestFit="1" customWidth="1"/>
    <col min="5" max="5" width="17.625" bestFit="1" customWidth="1"/>
    <col min="6" max="6" width="20.25" bestFit="1" customWidth="1"/>
    <col min="7" max="7" width="13.875" bestFit="1" customWidth="1"/>
  </cols>
  <sheetData>
    <row r="1" spans="1:6" ht="15" x14ac:dyDescent="0.25">
      <c r="A1" s="1" t="s">
        <v>307</v>
      </c>
      <c r="C1" s="34" t="s">
        <v>308</v>
      </c>
      <c r="D1" s="34" t="s">
        <v>309</v>
      </c>
      <c r="E1" t="s">
        <v>310</v>
      </c>
      <c r="F1" t="s">
        <v>311</v>
      </c>
    </row>
    <row r="2" spans="1:6" x14ac:dyDescent="0.2">
      <c r="A2" s="54" t="s">
        <v>10</v>
      </c>
      <c r="B2" s="60"/>
      <c r="E2">
        <v>45.010222825343703</v>
      </c>
      <c r="F2">
        <v>3.7686072312186299E-2</v>
      </c>
    </row>
    <row r="3" spans="1:6" x14ac:dyDescent="0.2">
      <c r="A3" s="54" t="s">
        <v>13</v>
      </c>
      <c r="B3" s="34" t="s">
        <v>287</v>
      </c>
      <c r="E3">
        <f>IF(ISNA(VLOOKUP(B3,'Logistic Model'!E3:F4,2,FALSE)),0,VLOOKUP(B3,'Logistic Model'!E3:F4,2,FALSE))</f>
        <v>0</v>
      </c>
      <c r="F3">
        <f>IF(ISNA(VLOOKUP(B3,'LogNormal Model'!E3:F4,2,FALSE)),0,VLOOKUP(B3,'LogNormal Model'!E3:F4,2,FALSE))</f>
        <v>1.27143713045669E-2</v>
      </c>
    </row>
    <row r="4" spans="1:6" x14ac:dyDescent="0.2">
      <c r="A4" s="54" t="s">
        <v>20</v>
      </c>
      <c r="B4" s="34" t="s">
        <v>21</v>
      </c>
      <c r="E4">
        <f>IF(ISNA(VLOOKUP(B4,'Logistic Model'!E5:F5,2,FALSE)),0,VLOOKUP(B4,'Logistic Model'!E5:F5,2,FALSE))</f>
        <v>0.15159474572281001</v>
      </c>
      <c r="F4">
        <f>IF(ISNA(VLOOKUP(B4,'LogNormal Model'!E5:F5,2,FALSE)),0,VLOOKUP(B4,'LogNormal Model'!E5:F5,2,FALSE))</f>
        <v>-7.7562346198402203E-4</v>
      </c>
    </row>
    <row r="5" spans="1:6" x14ac:dyDescent="0.2">
      <c r="A5" s="54" t="s">
        <v>23</v>
      </c>
      <c r="B5" s="34" t="s">
        <v>21</v>
      </c>
      <c r="E5">
        <f>IF(ISNA(VLOOKUP(B5,'Logistic Model'!E6:F6,2,FALSE)),0,VLOOKUP(B5,'Logistic Model'!E6:F6,2,FALSE))</f>
        <v>-0.59599461116075603</v>
      </c>
      <c r="F5">
        <f>IF(ISNA(VLOOKUP(B5,'LogNormal Model'!E6:F6,2,FALSE)),0,VLOOKUP(B5,'LogNormal Model'!E6:F6,2,FALSE))</f>
        <v>-0.157901113523259</v>
      </c>
    </row>
    <row r="6" spans="1:6" x14ac:dyDescent="0.2">
      <c r="A6" s="54" t="s">
        <v>25</v>
      </c>
      <c r="B6" s="34" t="s">
        <v>36</v>
      </c>
      <c r="E6">
        <f>IF(ISNA(VLOOKUP(B6,'Logistic Model'!E7:F18,2,FALSE)),0,VLOOKUP(B6,'Logistic Model'!E7:F18,2,FALSE))</f>
        <v>0.43883185455145102</v>
      </c>
      <c r="F6">
        <f>IF(ISNA(VLOOKUP(B6,'LogNormal Model'!E7:F12,2,FALSE)),0,VLOOKUP(B6,'LogNormal Model'!E7:F12,2,FALSE))</f>
        <v>0</v>
      </c>
    </row>
    <row r="7" spans="1:6" x14ac:dyDescent="0.2">
      <c r="A7" s="54" t="s">
        <v>290</v>
      </c>
      <c r="B7" s="34" t="s">
        <v>292</v>
      </c>
      <c r="E7">
        <v>0</v>
      </c>
      <c r="F7">
        <f>IF(ISNA(VLOOKUP(B7,'LogNormal Model'!E13:F14,2,FALSE)),0,VLOOKUP(B7,'LogNormal Model'!E13:F14,2,FALSE))</f>
        <v>0.10497576680346</v>
      </c>
    </row>
    <row r="8" spans="1:6" x14ac:dyDescent="0.2">
      <c r="A8" s="54" t="s">
        <v>40</v>
      </c>
      <c r="B8" s="34" t="s">
        <v>42</v>
      </c>
      <c r="C8" s="34" t="str">
        <f>IF(ISNA(VLOOKUP(B8,MasterCoef!B24:C56,2,FALSE)),0,VLOOKUP(B8,MasterCoef!B24:C56,2,FALSE))</f>
        <v>Another Vehicle Rear-Ended Insured</v>
      </c>
      <c r="E8">
        <f>IF(ISNA(VLOOKUP(C8,'Logistic Model'!E19:F33,2,FALSE)),0,VLOOKUP(C8,'Logistic Model'!E19:F33,2,FALSE))</f>
        <v>-0.40877293105865897</v>
      </c>
      <c r="F8">
        <f>IF(ISNA(VLOOKUP(C8,'LogNormal Model'!E15:F25,2,FALSE)),0,VLOOKUP(C8,'LogNormal Model'!E15:F25,2,FALSE))</f>
        <v>4.5535180829194499E-2</v>
      </c>
    </row>
    <row r="9" spans="1:6" x14ac:dyDescent="0.2">
      <c r="A9" s="54" t="s">
        <v>75</v>
      </c>
      <c r="B9" s="34" t="s">
        <v>304</v>
      </c>
      <c r="E9">
        <f>IF(ISNA(VLOOKUP(B9,'Logistic Model'!E34:F34,2,FALSE)),0,VLOOKUP(B9,'Logistic Model'!E34:F34,2,FALSE))</f>
        <v>0</v>
      </c>
      <c r="F9">
        <f>IF(ISNA(VLOOKUP(B9,'LogNormal Model'!E26:F26,2,FALSE)),0,VLOOKUP(B9,'LogNormal Model'!E26:F26,2,FALSE))</f>
        <v>0</v>
      </c>
    </row>
    <row r="10" spans="1:6" x14ac:dyDescent="0.2">
      <c r="A10" s="54" t="s">
        <v>80</v>
      </c>
      <c r="B10" s="34" t="s">
        <v>85</v>
      </c>
      <c r="C10" s="34" t="str">
        <f>IF(ISNA(VLOOKUP(B10,MasterCoef!B59:C128,2,FALSE)),0,VLOOKUP(B10,MasterCoef!B59:C128,2,FALSE))</f>
        <v>Dodge</v>
      </c>
      <c r="D10" s="34" t="str">
        <f>IF(ISNA(VLOOKUP(C10,MasterCoef!B59:C167,2,FALSE)),0,VLOOKUP(C10,MasterCoef!B59:C167,2,FALSE))</f>
        <v>Dodge</v>
      </c>
      <c r="E10">
        <f>IF(ISNA(VLOOKUP(D10,'Logistic Model'!E35:F53,2,FALSE)),0,VLOOKUP(D10,'Logistic Model'!E35:F53,2,FALSE))</f>
        <v>-0.13230221470928699</v>
      </c>
      <c r="F10">
        <f>IF(ISNA(VLOOKUP(D10,'LogNormal Model'!E27:F28,2,FALSE)),0,VLOOKUP(D10,'LogNormal Model'!E27:F28,2,FALSE))</f>
        <v>0</v>
      </c>
    </row>
    <row r="11" spans="1:6" x14ac:dyDescent="0.2">
      <c r="A11" s="54" t="s">
        <v>194</v>
      </c>
      <c r="B11" s="34">
        <v>2000</v>
      </c>
      <c r="E11">
        <f>B11*'Logistic Model'!F54</f>
        <v>-48.088373628823</v>
      </c>
      <c r="F11">
        <v>0</v>
      </c>
    </row>
    <row r="12" spans="1:6" x14ac:dyDescent="0.2">
      <c r="A12" s="54" t="s">
        <v>196</v>
      </c>
      <c r="B12" s="34" t="s">
        <v>21</v>
      </c>
      <c r="E12">
        <f>IF(ISNA(VLOOKUP(B12,'Logistic Model'!E55:F55,2,FALSE)),0,VLOOKUP(B12,'Logistic Model'!E55:F55,2,FALSE))</f>
        <v>0.73784699890055405</v>
      </c>
      <c r="F12">
        <v>0</v>
      </c>
    </row>
    <row r="13" spans="1:6" x14ac:dyDescent="0.2">
      <c r="A13" s="54" t="s">
        <v>199</v>
      </c>
      <c r="B13" s="34" t="s">
        <v>220</v>
      </c>
      <c r="C13" s="34" t="str">
        <f>IF(ISNA(VLOOKUP(B13,MasterCoef!B171:C221,2,FALSE)),0,VLOOKUP(B13,MasterCoef!B171:C221,2,FALSE))</f>
        <v>Pure</v>
      </c>
      <c r="E13">
        <f>IF(ISNA(VLOOKUP(C13,'Logistic Model'!E56:F59,2,FALSE)),0,VLOOKUP(C13,'Logistic Model'!E56:F59,2,FALSE))</f>
        <v>0.24071901875645399</v>
      </c>
      <c r="F13">
        <f>IF(ISNA(VLOOKUP(C13,'LogNormal Model'!E29:F30,2,FALSE)),0,VLOOKUP(C13,'LogNormal Model'!E29:F30,2,FALSE))</f>
        <v>-4.43663519817327E-2</v>
      </c>
    </row>
    <row r="14" spans="1:6" x14ac:dyDescent="0.2">
      <c r="A14" s="54" t="s">
        <v>259</v>
      </c>
      <c r="B14" s="34">
        <v>0</v>
      </c>
      <c r="E14">
        <f>B14*'Logistic Model'!F60</f>
        <v>0</v>
      </c>
      <c r="F14" s="57">
        <f>B14*'LogNormal Model'!F32</f>
        <v>0</v>
      </c>
    </row>
    <row r="15" spans="1:6" x14ac:dyDescent="0.2">
      <c r="A15" s="54" t="s">
        <v>261</v>
      </c>
      <c r="B15" s="34">
        <v>2500</v>
      </c>
      <c r="E15">
        <f>B15*'Logistic Model'!F61</f>
        <v>6.636015376730275</v>
      </c>
      <c r="F15" s="57">
        <f>B15*'LogNormal Model'!F33</f>
        <v>4.5047712803154998E-2</v>
      </c>
    </row>
    <row r="16" spans="1:6" x14ac:dyDescent="0.2">
      <c r="A16" s="54" t="s">
        <v>263</v>
      </c>
      <c r="B16" s="34">
        <v>2000</v>
      </c>
      <c r="C16" s="34">
        <f>LN(B16)</f>
        <v>7.6009024595420822</v>
      </c>
      <c r="E16">
        <f>C16*'Logistic Model'!F62</f>
        <v>3.2455534080691728</v>
      </c>
      <c r="F16">
        <f>C16*'LogNormal Model'!F31</f>
        <v>7.35891872300098</v>
      </c>
    </row>
    <row r="17" spans="1:7" x14ac:dyDescent="0.2">
      <c r="A17" s="54" t="s">
        <v>266</v>
      </c>
      <c r="B17" s="34">
        <v>45</v>
      </c>
      <c r="E17">
        <v>0</v>
      </c>
      <c r="F17">
        <v>0</v>
      </c>
    </row>
    <row r="18" spans="1:7" ht="15" x14ac:dyDescent="0.25">
      <c r="A18" s="55" t="s">
        <v>271</v>
      </c>
      <c r="B18" s="56">
        <f>AgeSplineCalc!F5</f>
        <v>1.4872099937601746E-4</v>
      </c>
      <c r="E18">
        <f>B188</f>
        <v>0</v>
      </c>
      <c r="F18">
        <v>0</v>
      </c>
    </row>
    <row r="19" spans="1:7" ht="15" x14ac:dyDescent="0.25">
      <c r="A19" s="55" t="s">
        <v>267</v>
      </c>
      <c r="B19" s="56">
        <f>AgeSplineCalc!F6</f>
        <v>0.51197204045208844</v>
      </c>
      <c r="E19">
        <f>B19*'Logistic Model'!F64</f>
        <v>0.20520223656412059</v>
      </c>
      <c r="F19">
        <v>0</v>
      </c>
    </row>
    <row r="20" spans="1:7" ht="15" x14ac:dyDescent="0.25">
      <c r="A20" s="55" t="s">
        <v>268</v>
      </c>
      <c r="B20" s="56">
        <f>AgeSplineCalc!F7</f>
        <v>0.48787923854848358</v>
      </c>
      <c r="E20">
        <f>B20*'Logistic Model'!F65</f>
        <v>0.1635579853769554</v>
      </c>
      <c r="F20">
        <v>0</v>
      </c>
    </row>
    <row r="21" spans="1:7" ht="15" x14ac:dyDescent="0.25">
      <c r="A21" s="55" t="s">
        <v>269</v>
      </c>
      <c r="B21" s="56">
        <f>AgeSplineCalc!F8</f>
        <v>0</v>
      </c>
      <c r="E21">
        <f>B21*'Logistic Model'!F66</f>
        <v>0</v>
      </c>
      <c r="F21">
        <v>0</v>
      </c>
    </row>
    <row r="22" spans="1:7" ht="15" x14ac:dyDescent="0.25">
      <c r="A22" s="55" t="s">
        <v>270</v>
      </c>
      <c r="B22" s="56">
        <f>AgeSplineCalc!F9</f>
        <v>0</v>
      </c>
      <c r="E22">
        <f>B22*'Logistic Model'!F67</f>
        <v>0</v>
      </c>
      <c r="F22">
        <v>0</v>
      </c>
    </row>
    <row r="23" spans="1:7" x14ac:dyDescent="0.2">
      <c r="A23" s="54" t="s">
        <v>303</v>
      </c>
      <c r="B23" s="34" t="s">
        <v>315</v>
      </c>
      <c r="E23">
        <v>0</v>
      </c>
      <c r="F23">
        <v>0</v>
      </c>
    </row>
    <row r="24" spans="1:7" x14ac:dyDescent="0.2">
      <c r="A24" s="54" t="s">
        <v>296</v>
      </c>
      <c r="B24" s="58">
        <v>31564</v>
      </c>
      <c r="C24" s="34">
        <f>LN(B24)</f>
        <v>10.359772509640926</v>
      </c>
    </row>
    <row r="25" spans="1:7" x14ac:dyDescent="0.2">
      <c r="A25" s="54" t="s">
        <v>297</v>
      </c>
      <c r="B25" s="59">
        <v>141</v>
      </c>
      <c r="C25" s="34">
        <f>LN(B25)</f>
        <v>4.9487598903781684</v>
      </c>
    </row>
    <row r="26" spans="1:7" x14ac:dyDescent="0.2">
      <c r="E26">
        <f>SUM(E2:E25)</f>
        <v>7.6041010642638014</v>
      </c>
      <c r="F26">
        <f>SUM(F2:F25)</f>
        <v>7.401834738086567</v>
      </c>
    </row>
    <row r="27" spans="1:7" ht="15" x14ac:dyDescent="0.25">
      <c r="E27" s="1" t="s">
        <v>312</v>
      </c>
      <c r="F27" s="1" t="s">
        <v>313</v>
      </c>
      <c r="G27" s="1" t="s">
        <v>314</v>
      </c>
    </row>
    <row r="28" spans="1:7" x14ac:dyDescent="0.2">
      <c r="E28">
        <f>1/(1+EXP(-1*E26))</f>
        <v>0.99950184502937545</v>
      </c>
      <c r="F28">
        <f>EXP(F26)</f>
        <v>1638.9887882010946</v>
      </c>
      <c r="G28">
        <f>E28*F28</f>
        <v>1638.1723177894544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MasterCoef!$B$2:$B$5</xm:f>
          </x14:formula1>
          <xm:sqref>B3</xm:sqref>
        </x14:dataValidation>
        <x14:dataValidation type="list" allowBlank="1" showInputMessage="1" showErrorMessage="1">
          <x14:formula1>
            <xm:f>MasterCoef!$B$6:$B$7</xm:f>
          </x14:formula1>
          <xm:sqref>B4</xm:sqref>
        </x14:dataValidation>
        <x14:dataValidation type="list" allowBlank="1" showInputMessage="1" showErrorMessage="1">
          <x14:formula1>
            <xm:f>MasterCoef!$B$8:$B$9</xm:f>
          </x14:formula1>
          <xm:sqref>B5</xm:sqref>
        </x14:dataValidation>
        <x14:dataValidation type="list" allowBlank="1" showInputMessage="1" showErrorMessage="1">
          <x14:formula1>
            <xm:f>MasterCoef!$B$10:$B$23</xm:f>
          </x14:formula1>
          <xm:sqref>B6</xm:sqref>
        </x14:dataValidation>
        <x14:dataValidation type="list" allowBlank="1" showInputMessage="1" showErrorMessage="1">
          <x14:formula1>
            <xm:f>MasterCoef!$B$227:$B$229</xm:f>
          </x14:formula1>
          <xm:sqref>B7</xm:sqref>
        </x14:dataValidation>
        <x14:dataValidation type="list" allowBlank="1" showInputMessage="1" showErrorMessage="1">
          <x14:formula1>
            <xm:f>MasterCoef!$B$24:$B$56</xm:f>
          </x14:formula1>
          <xm:sqref>B8</xm:sqref>
        </x14:dataValidation>
        <x14:dataValidation type="list" allowBlank="1" showInputMessage="1" showErrorMessage="1">
          <x14:formula1>
            <xm:f>MasterCoef!$B$57:$B$58</xm:f>
          </x14:formula1>
          <xm:sqref>B9</xm:sqref>
        </x14:dataValidation>
        <x14:dataValidation type="list" allowBlank="1" showInputMessage="1" showErrorMessage="1">
          <x14:formula1>
            <xm:f>MasterCoef!$B$59:$B$167</xm:f>
          </x14:formula1>
          <xm:sqref>B10</xm:sqref>
        </x14:dataValidation>
        <x14:dataValidation type="list" allowBlank="1" showInputMessage="1" showErrorMessage="1">
          <x14:formula1>
            <xm:f>MasterCoef!$B$169:$B$170</xm:f>
          </x14:formula1>
          <xm:sqref>B12</xm:sqref>
        </x14:dataValidation>
        <x14:dataValidation type="list" allowBlank="1" showInputMessage="1" showErrorMessage="1">
          <x14:formula1>
            <xm:f>MasterCoef!$B$171:$B$221</xm:f>
          </x14:formula1>
          <xm:sqref>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"/>
  <sheetViews>
    <sheetView tabSelected="1" zoomScale="70" zoomScaleNormal="70" workbookViewId="0">
      <selection activeCell="F7" sqref="F7"/>
    </sheetView>
  </sheetViews>
  <sheetFormatPr defaultRowHeight="14.25" x14ac:dyDescent="0.2"/>
  <cols>
    <col min="1" max="1" width="8.5" bestFit="1" customWidth="1"/>
    <col min="2" max="2" width="16" bestFit="1" customWidth="1"/>
    <col min="3" max="3" width="15.125" bestFit="1" customWidth="1"/>
    <col min="4" max="4" width="11.25" bestFit="1" customWidth="1"/>
    <col min="5" max="5" width="21.75" bestFit="1" customWidth="1"/>
    <col min="6" max="6" width="32.25" bestFit="1" customWidth="1"/>
    <col min="7" max="7" width="10.25" customWidth="1"/>
    <col min="8" max="8" width="15.125" bestFit="1" customWidth="1"/>
    <col min="9" max="9" width="11.5" bestFit="1" customWidth="1"/>
    <col min="10" max="10" width="11" bestFit="1" customWidth="1"/>
    <col min="11" max="11" width="17.5" bestFit="1" customWidth="1"/>
    <col min="12" max="12" width="19.25" bestFit="1" customWidth="1"/>
    <col min="13" max="13" width="17.25" bestFit="1" customWidth="1"/>
    <col min="14" max="14" width="14.625" bestFit="1" customWidth="1"/>
    <col min="15" max="15" width="9.5" bestFit="1" customWidth="1"/>
    <col min="16" max="16" width="12.75" bestFit="1" customWidth="1"/>
    <col min="17" max="17" width="11.625" bestFit="1" customWidth="1"/>
    <col min="18" max="18" width="9.75" bestFit="1" customWidth="1"/>
    <col min="19" max="20" width="13.5" style="62" bestFit="1" customWidth="1"/>
  </cols>
  <sheetData>
    <row r="1" spans="1:20" x14ac:dyDescent="0.2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s="61" t="s">
        <v>312</v>
      </c>
      <c r="S1" s="61" t="s">
        <v>333</v>
      </c>
      <c r="T1" s="61" t="s">
        <v>334</v>
      </c>
    </row>
    <row r="2" spans="1:20" x14ac:dyDescent="0.2">
      <c r="A2">
        <v>1</v>
      </c>
      <c r="B2" t="s">
        <v>14</v>
      </c>
      <c r="C2" t="s">
        <v>21</v>
      </c>
      <c r="D2" t="s">
        <v>21</v>
      </c>
      <c r="E2" t="s">
        <v>36</v>
      </c>
      <c r="F2" t="s">
        <v>41</v>
      </c>
      <c r="G2" t="s">
        <v>304</v>
      </c>
      <c r="H2">
        <v>55</v>
      </c>
      <c r="I2" t="s">
        <v>86</v>
      </c>
      <c r="J2">
        <v>2015</v>
      </c>
      <c r="K2" t="s">
        <v>304</v>
      </c>
      <c r="L2">
        <v>0</v>
      </c>
      <c r="M2">
        <v>1000</v>
      </c>
      <c r="N2" t="s">
        <v>241</v>
      </c>
      <c r="O2">
        <v>32319.72</v>
      </c>
      <c r="P2" t="s">
        <v>292</v>
      </c>
      <c r="Q2" t="b">
        <v>0</v>
      </c>
      <c r="R2" s="61">
        <f ca="1">INDIRECT(ADDRESS(2*A2,24,1,FALSE,"BatchTestCalc"),FALSE)</f>
        <v>0.88468244763033355</v>
      </c>
      <c r="S2" s="63">
        <f ca="1">INDIRECT(ADDRESS(2*A2,25,1,FALSE,"BatchTestCalc"),FALSE)</f>
        <v>24831.082859077298</v>
      </c>
      <c r="T2" s="63">
        <f ca="1">R2*S2</f>
        <v>21967.623161080126</v>
      </c>
    </row>
    <row r="3" spans="1:20" x14ac:dyDescent="0.2">
      <c r="A3">
        <v>2</v>
      </c>
      <c r="B3" t="s">
        <v>14</v>
      </c>
      <c r="C3" t="s">
        <v>21</v>
      </c>
      <c r="D3" t="s">
        <v>21</v>
      </c>
      <c r="E3" t="s">
        <v>27</v>
      </c>
      <c r="F3" t="s">
        <v>42</v>
      </c>
      <c r="G3" t="s">
        <v>21</v>
      </c>
      <c r="H3">
        <v>21</v>
      </c>
      <c r="I3" t="s">
        <v>86</v>
      </c>
      <c r="J3">
        <v>2013</v>
      </c>
      <c r="K3" t="s">
        <v>304</v>
      </c>
      <c r="L3">
        <v>500</v>
      </c>
      <c r="M3">
        <v>1000</v>
      </c>
      <c r="N3" t="s">
        <v>235</v>
      </c>
      <c r="O3">
        <v>30000</v>
      </c>
      <c r="P3" t="s">
        <v>292</v>
      </c>
      <c r="Q3" t="b">
        <v>0</v>
      </c>
      <c r="R3" s="61">
        <f ca="1">INDIRECT(ADDRESS(2*A3,24,1,FALSE,"BatchTestCalc"),FALSE)</f>
        <v>0.99449893870947104</v>
      </c>
      <c r="S3" s="63">
        <f ca="1">INDIRECT(ADDRESS(2*A3,25,1,FALSE,"BatchTestCalc"),FALSE)</f>
        <v>24050.032784180086</v>
      </c>
      <c r="T3" s="63">
        <f ca="1">R3*S3</f>
        <v>23917.732079795082</v>
      </c>
    </row>
    <row r="4" spans="1:20" x14ac:dyDescent="0.2">
      <c r="R4" s="61"/>
      <c r="S4" s="63"/>
      <c r="T4" s="6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7"/>
  <sheetViews>
    <sheetView zoomScale="70" zoomScaleNormal="70" workbookViewId="0">
      <selection activeCell="W25" sqref="W25"/>
    </sheetView>
  </sheetViews>
  <sheetFormatPr defaultRowHeight="14.25" x14ac:dyDescent="0.2"/>
  <cols>
    <col min="2" max="2" width="13" bestFit="1" customWidth="1"/>
    <col min="3" max="3" width="16" bestFit="1" customWidth="1"/>
    <col min="4" max="4" width="15.125" bestFit="1" customWidth="1"/>
    <col min="5" max="5" width="11.25" bestFit="1" customWidth="1"/>
    <col min="6" max="6" width="21.75" bestFit="1" customWidth="1"/>
    <col min="7" max="7" width="18.375" bestFit="1" customWidth="1"/>
    <col min="8" max="8" width="10.25" bestFit="1" customWidth="1"/>
    <col min="9" max="9" width="15.25" bestFit="1" customWidth="1"/>
    <col min="10" max="14" width="15.25" customWidth="1"/>
    <col min="15" max="15" width="14.625" bestFit="1" customWidth="1"/>
    <col min="16" max="16" width="11" bestFit="1" customWidth="1"/>
    <col min="17" max="17" width="18.125" bestFit="1" customWidth="1"/>
    <col min="18" max="18" width="20.5" bestFit="1" customWidth="1"/>
    <col min="19" max="19" width="18.125" bestFit="1" customWidth="1"/>
    <col min="20" max="20" width="15.25" bestFit="1" customWidth="1"/>
    <col min="21" max="21" width="9.625" bestFit="1" customWidth="1"/>
    <col min="22" max="22" width="12.75" bestFit="1" customWidth="1"/>
    <col min="23" max="23" width="12.5" bestFit="1" customWidth="1"/>
    <col min="24" max="24" width="9.75" bestFit="1" customWidth="1"/>
    <col min="25" max="25" width="13.5" bestFit="1" customWidth="1"/>
    <col min="26" max="26" width="12.125" bestFit="1" customWidth="1"/>
  </cols>
  <sheetData>
    <row r="1" spans="1:26" x14ac:dyDescent="0.2">
      <c r="A1" t="s">
        <v>316</v>
      </c>
      <c r="B1" t="s">
        <v>335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271</v>
      </c>
      <c r="K1" t="s">
        <v>267</v>
      </c>
      <c r="L1" t="s">
        <v>268</v>
      </c>
      <c r="M1" t="s">
        <v>269</v>
      </c>
      <c r="N1" t="s">
        <v>270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312</v>
      </c>
      <c r="Y1" t="s">
        <v>333</v>
      </c>
      <c r="Z1" t="s">
        <v>334</v>
      </c>
    </row>
    <row r="2" spans="1:26" x14ac:dyDescent="0.2">
      <c r="A2">
        <v>1</v>
      </c>
      <c r="B2">
        <v>45.010222825343703</v>
      </c>
      <c r="C2">
        <f>IF(ISNA(VLOOKUP(VLOOKUP(A2,BatchTest!A2:$Q$2,2),'Logistic Model'!$E$3:$F$4,2,FALSE)),0,VLOOKUP(VLOOKUP(A2,BatchTest!A2:$Q$2,2),'Logistic Model'!$E$3:$F$4,2,FALSE))</f>
        <v>0.26294672535788899</v>
      </c>
      <c r="D2">
        <f>IF(ISNA(VLOOKUP(VLOOKUP(A2,BatchTest!A2:$Q$2,3),'Logistic Model'!$E$5:$F$5,2,FALSE)),0,VLOOKUP(VLOOKUP(A2,BatchTest!A2:$Q$2,3),'Logistic Model'!$E$5:$F$5,2,FALSE))</f>
        <v>0.15159474572281001</v>
      </c>
      <c r="E2">
        <f>IF(ISNA(VLOOKUP(VLOOKUP(A2,BatchTest!A2:$Q$2,4),'Logistic Model'!$E$6:$F$6,2,FALSE)),0,VLOOKUP(VLOOKUP(A2,BatchTest!A2:$Q$2,4),'Logistic Model'!$E$6:$F$6,2,FALSE))</f>
        <v>-0.59599461116075603</v>
      </c>
      <c r="F2">
        <f>IF(ISNA(VLOOKUP(VLOOKUP(A2,BatchTest!A2:$Q$2,5),'Logistic Model'!$E$7:$F$18,2,FALSE)),0,VLOOKUP(VLOOKUP(A2,BatchTest!A2:$Q$2,5),'Logistic Model'!$E$7:$F$18,2,FALSE))</f>
        <v>0.43883185455145102</v>
      </c>
      <c r="G2">
        <f>IF(ISNA(VLOOKUP(IF(ISNA(VLOOKUP(VLOOKUP(A2,BatchTest!A2:$Q$2,6),MasterCoef!$B$24:$C$56,2,FALSE)),0,VLOOKUP(VLOOKUP(A2,BatchTest!A2:$Q$2,6),MasterCoef!$B$24:$C$56,2,FALSE)),'Logistic Model'!$E$19:$F$33,2,FALSE)),0,VLOOKUP(IF(ISNA(VLOOKUP(VLOOKUP(A2,BatchTest!A2:$Q$2,6),MasterCoef!$B$24:$C$56,2,FALSE)),0,VLOOKUP(VLOOKUP(A2,BatchTest!A2:$Q$2,6),MasterCoef!$B$24:$C$56,2,FALSE)),'Logistic Model'!$E$19:$F$33,2,FALSE))</f>
        <v>-2.4035376609419199</v>
      </c>
      <c r="H2">
        <f>IF(ISNA(VLOOKUP(VLOOKUP(A2,BatchTest!A2:$Q$2,7),'Logistic Model'!$E$34:$F$34,2,FALSE)),0,VLOOKUP(VLOOKUP(A2,BatchTest!A2:$Q$2,7),'Logistic Model'!$E$34:$F$34,2,FALSE))</f>
        <v>0</v>
      </c>
      <c r="I2">
        <f>MAX(MIN((VLOOKUP(A2,BatchTest!A2:$Q$2,8)),100),18)</f>
        <v>55</v>
      </c>
      <c r="J2">
        <f>IF(I2&lt;=45,0.00133848899464604*I2^2-0.121356335514575*I2+2.75074360499702,0)*0</f>
        <v>0</v>
      </c>
      <c r="K2">
        <f>IF(I2&lt;=45,-0.00200773349196907*I2^2+0.145449137418203*I2-1.96757882212968,IF(I2&lt;=72,0.000669244497323023*I2^2-0.0972635336109459*I2+3.53390838786437,0))*VLOOKUP($K$1,'Logistic Model'!$E$63:$F$67,2)</f>
        <v>8.3720128178453534E-2</v>
      </c>
      <c r="L2">
        <f>IF(I2&lt;=45,0.000669244497323022*I2^2-0.0240928019036288*I2+0.21683521713266,IF(I2&lt;=72,-0.00133848899464605*I2^2+0.157941701368234*I2-3.90928019036289,0.000669244497323021*I2^2-0.133848899464604*I2+6.69244497323021))*VLOOKUP($L$1,'Logistic Model'!$E$63:$F$67,2)</f>
        <v>0.24425257441296128</v>
      </c>
      <c r="M2">
        <f>IF(I2&gt;=73,-0.00200773349196906*I2^2+0.328375966686496*I2-12.7602617489589,IF(I2&gt;=46,0.000669244497323023*I2^2-0.0606781677572875*I2+1.37537180249852,0))*VLOOKUP($M$1,'Logistic Model'!$E$63:$F$67,2)</f>
        <v>3.3926000706651152E-2</v>
      </c>
      <c r="N2">
        <f>IF(I2&gt;=73,0.00133848899464604*I2^2-0.194527067221891*I2+7.06781677572872,0)*VLOOKUP($N$1,'Logistic Model'!$E$63:$F$67,2)</f>
        <v>0</v>
      </c>
      <c r="O2">
        <f>IF(ISNA(VLOOKUP(IF(ISNA(VLOOKUP(IF(ISNA(VLOOKUP(VLOOKUP(A2,BatchTest!A$2:$Q3,9),MasterCoef!$B$59:$C$128,2,FALSE)),0,VLOOKUP(VLOOKUP(A2,BatchTest!A$2:$Q3,9),MasterCoef!$B$59:$C$128,2,FALSE)),MasterCoef!$B$59:$C$167,2,FALSE)),0,VLOOKUP(IF(ISNA(VLOOKUP(VLOOKUP(A2,BatchTest!A$2:$Q3,9),MasterCoef!$B$59:$C$128,2,FALSE)),0,VLOOKUP(VLOOKUP(A2,BatchTest!A$2:$Q3,9),MasterCoef!$B$59:$C$128,2,FALSE)),MasterCoef!$B$59:$C$167,2,FALSE)),'Logistic Model'!$E$35:$F$53,2,FALSE)),0,VLOOKUP(IF(ISNA(VLOOKUP(IF(ISNA(VLOOKUP(VLOOKUP(A2,BatchTest!A$2:$Q3,9),MasterCoef!$B$59:$C$128,2,FALSE)),0,VLOOKUP(VLOOKUP(A2,BatchTest!A$2:$Q3,9),MasterCoef!$B$59:$C$128,2,FALSE)),MasterCoef!$B$59:$C$167,2,FALSE)),0,VLOOKUP(IF(ISNA(VLOOKUP(VLOOKUP(A2,BatchTest!A$2:$Q3,9),MasterCoef!$B$59:$C$128,2,FALSE)),0,VLOOKUP(VLOOKUP(A2,BatchTest!A$2:$Q3,9),MasterCoef!$B$59:$C$128,2,FALSE)),MasterCoef!$B$59:$C$167,2,FALSE)),'Logistic Model'!$E$35:$F$53,2,FALSE))</f>
        <v>0.17252462357822199</v>
      </c>
      <c r="P2">
        <f>VLOOKUP(A2,BatchTest!A2:$Q$2,10)*'Logistic Model'!$F$54</f>
        <v>-48.449036431039168</v>
      </c>
      <c r="Q2">
        <f>IF(ISNA(VLOOKUP(VLOOKUP(A2,BatchTest!A2:$Q$2,11),'Logistic Model'!$E$55:$F$55,2,FALSE)),0,VLOOKUP(VLOOKUP(A2,BatchTest!A2:$Q$2,11),'Logistic Model'!$E$55:$F$55,2,FALSE))</f>
        <v>0</v>
      </c>
      <c r="R2">
        <f>VLOOKUP(A2,BatchTest!A2:$Q$2,12)*'Logistic Model'!$F$60</f>
        <v>0</v>
      </c>
      <c r="S2">
        <f>VLOOKUP(A2,BatchTest!A2:$Q$2,13)*'Logistic Model'!$F$61</f>
        <v>2.6544061506921102</v>
      </c>
      <c r="T2">
        <f>IF(ISNA(VLOOKUP(VLOOKUP(VLOOKUP(A2,BatchTest!A2:$Q$2,14),MasterCoef!$B$171:$C$221,2,FALSE),'Logistic Model'!$E$56:$F$59,2,FALSE)),0,VLOOKUP(VLOOKUP(VLOOKUP(A2,BatchTest!A2:$Q$2,14),MasterCoef!$B$171:$C$221,2,FALSE),'Logistic Model'!$E$56:$F$59,2,FALSE))</f>
        <v>0</v>
      </c>
      <c r="U2">
        <f>LOG(VLOOKUP(A2,BatchTest!A2:$Q$2,15),EXP(1))*'Logistic Model'!$F$62</f>
        <v>4.4336821911157482</v>
      </c>
      <c r="V2">
        <f>0*0</f>
        <v>0</v>
      </c>
      <c r="W2">
        <v>0</v>
      </c>
      <c r="X2">
        <f>1/(1+EXP(-(SUM(J2:W2)+SUM(B2:H2))))</f>
        <v>0.88468244763033355</v>
      </c>
      <c r="Y2">
        <f>Y3</f>
        <v>24831.082859077298</v>
      </c>
      <c r="Z2">
        <f>X2*Y3</f>
        <v>21967.623161080126</v>
      </c>
    </row>
    <row r="3" spans="1:26" x14ac:dyDescent="0.2">
      <c r="A3">
        <v>1</v>
      </c>
      <c r="B3">
        <v>3.7686072312186299E-2</v>
      </c>
      <c r="C3">
        <f>IF(ISNA(VLOOKUP(VLOOKUP(A2,BatchTest!A2:$Q$2,2),'LogNormal Model'!$E$3:$F$4,2,FALSE)),0,VLOOKUP(VLOOKUP(A2,BatchTest!A2:$Q$2,2),'LogNormal Model'!$E$3:$F$4,2,FALSE))</f>
        <v>1.58500381175357E-2</v>
      </c>
      <c r="D3">
        <f>IF(ISNA(VLOOKUP(VLOOKUP(A2,BatchTest!A2:$Q$2,3),'LogNormal Model'!$E$5:$F$5,2,FALSE)),0,VLOOKUP(VLOOKUP(A2,BatchTest!A2:$Q$2,3),'LogNormal Model'!$E$5:$F$5,2,FALSE))</f>
        <v>-7.7562346198402203E-4</v>
      </c>
      <c r="E3">
        <f>IF(ISNA(VLOOKUP(VLOOKUP(A2,BatchTest!A2:$Q$2,4),'LogNormal Model'!$E$6:$F$6,2,FALSE)),0,VLOOKUP(VLOOKUP(A2,BatchTest!A2:$Q$2,4),'LogNormal Model'!$E$6:$F$6,2,FALSE))</f>
        <v>-0.157901113523259</v>
      </c>
      <c r="F3">
        <f>IF(ISNA(VLOOKUP(VLOOKUP(A3,BatchTest!A$2:$Q3,5),'LogNormal Model'!$E$7:$F$12,2,FALSE)),0,VLOOKUP(VLOOKUP(A3,BatchTest!A$2:$Q3,5),'LogNormal Model'!$E$7:$F$12,2,FALSE))</f>
        <v>0</v>
      </c>
      <c r="G3">
        <f>IF(ISNA(VLOOKUP(IF(ISNA(VLOOKUP(VLOOKUP(A3,BatchTest!A$2:$Q3,6),MasterCoef!$B$24:$C$56,2,FALSE)),0,VLOOKUP(VLOOKUP(A3,BatchTest!A$2:$Q3,6),MasterCoef!$B$24:$C$56,2,FALSE)),'LogNormal Model'!$E$15:$F$25,2,FALSE)),0,VLOOKUP(IF(ISNA(VLOOKUP(VLOOKUP(A3,BatchTest!A$2:$Q3,6),MasterCoef!$B$24:$C$56,2,FALSE)),0,VLOOKUP(VLOOKUP(A3,BatchTest!A$2:$Q3,6),MasterCoef!$B$24:$C$56,2,FALSE)),'LogNormal Model'!$E$15:$F$25,2,FALSE))</f>
        <v>3.8251392565467002E-2</v>
      </c>
      <c r="H3">
        <f>IF(ISNA(VLOOKUP(VLOOKUP(A3,BatchTest!A$2:$Q3,7),'LogNormal Model'!$E$26:$F$26,2,FALSE)),0,VLOOKUP(VLOOKUP(A3,BatchTest!A$2:$Q3,7),'LogNormal Model'!$E$26:$F$26,2,FALSE))</f>
        <v>0</v>
      </c>
      <c r="I3">
        <f>MAX(MIN((VLOOKUP(A3,BatchTest!A$2:$Q3,8)),100),18)</f>
        <v>55</v>
      </c>
      <c r="J3">
        <v>0</v>
      </c>
      <c r="K3">
        <f>0*0</f>
        <v>0</v>
      </c>
      <c r="L3">
        <f>0*0</f>
        <v>0</v>
      </c>
      <c r="M3">
        <f>0*0</f>
        <v>0</v>
      </c>
      <c r="N3">
        <f>0*0</f>
        <v>0</v>
      </c>
      <c r="O3">
        <f>IF(ISNA(VLOOKUP(IF(ISNA(VLOOKUP(IF(ISNA(VLOOKUP(VLOOKUP(A3,BatchTest!A$2:$Q4,9),MasterCoef!$B$59:$C$128,2,FALSE)),0,VLOOKUP(VLOOKUP(A3,BatchTest!A$2:$Q4,9),MasterCoef!$B$59:$C$128,2,FALSE)),MasterCoef!$B$59:$C$167,2,FALSE)),0,VLOOKUP(IF(ISNA(VLOOKUP(VLOOKUP(A3,BatchTest!A$2:$Q4,9),MasterCoef!$B$59:$C$128,2,FALSE)),0,VLOOKUP(VLOOKUP(A3,BatchTest!A$2:$Q4,9),MasterCoef!$B$59:$C$128,2,FALSE)),MasterCoef!$B$59:$C$167,2,FALSE)),'LogNormal Model'!$E$27:$F$28,2,FALSE)),0,VLOOKUP(IF(ISNA(VLOOKUP(IF(ISNA(VLOOKUP(VLOOKUP(A3,BatchTest!A$2:$Q4,9),MasterCoef!$B$59:$C$128,2,FALSE)),0,VLOOKUP(VLOOKUP(A3,BatchTest!A$2:$Q4,9),MasterCoef!$B$59:$C$128,2,FALSE)),MasterCoef!$B$59:$C$167,2,FALSE)),0,VLOOKUP(IF(ISNA(VLOOKUP(VLOOKUP(A3,BatchTest!A$2:$Q4,9),MasterCoef!$B$59:$C$128,2,FALSE)),0,VLOOKUP(VLOOKUP(A3,BatchTest!A$2:$Q4,9),MasterCoef!$B$59:$C$128,2,FALSE)),MasterCoef!$B$59:$C$167,2,FALSE)),'LogNormal Model'!$E$27:$F$28,2,FALSE))</f>
        <v>-8.6057774904807396E-3</v>
      </c>
      <c r="P3">
        <f>0*0</f>
        <v>0</v>
      </c>
      <c r="Q3">
        <f>IF(ISNA(VLOOKUP(VLOOKUP(A3,BatchTest!A$2:$Q3,11),'Logistic Model'!$E$55:$F$55,2,FALSE)),0,VLOOKUP(VLOOKUP(A3,BatchTest!A$2:$Q3,11),'Logistic Model'!$E$55:$F$55,2,FALSE))</f>
        <v>0</v>
      </c>
      <c r="R3" s="57">
        <f>VLOOKUP(A3,BatchTest!A$2:$Q3,12)*'LogNormal Model'!$F$32</f>
        <v>0</v>
      </c>
      <c r="S3" s="57">
        <f>VLOOKUP(A3,BatchTest!A$2:$Q3,13)*'LogNormal Model'!$F$33</f>
        <v>1.8019085121262001E-2</v>
      </c>
      <c r="T3">
        <f>IF(ISNA(VLOOKUP(VLOOKUP(VLOOKUP(A2,BatchTest!A2:$Q$2,14),MasterCoef!$B$171:$C$221,2,FALSE),'LogNormal Model'!$E$29:$F$30,2,FALSE)),0,VLOOKUP(VLOOKUP(VLOOKUP(A2,BatchTest!A2:$Q$2,14),MasterCoef!$B$171:$C$221,2,FALSE),'LogNormal Model'!$E$29:$F$30,2,FALSE))</f>
        <v>1.94876874686126E-2</v>
      </c>
      <c r="U3">
        <f>LOG(VLOOKUP(A2,BatchTest!A2:$Q$2,15),EXP(1))*'LogNormal Model'!$F$31</f>
        <v>10.052863960555815</v>
      </c>
      <c r="V3">
        <f>IF(ISNA(VLOOKUP(VLOOKUP(A3,BatchTest!A$2:$Q3,16),'LogNormal Model'!$E$13:$F$14,2,FALSE)),0,VLOOKUP(VLOOKUP(A3,BatchTest!A$2:$Q3,16),'LogNormal Model'!$E$13:$F$14,2,FALSE))</f>
        <v>0.10497576680346</v>
      </c>
      <c r="W3">
        <v>0</v>
      </c>
      <c r="X3">
        <f>X2</f>
        <v>0.88468244763033355</v>
      </c>
      <c r="Y3">
        <f>EXP((SUM(J3:W3)+SUM(B3:H3)))</f>
        <v>24831.082859077298</v>
      </c>
      <c r="Z3">
        <f>Z2</f>
        <v>21967.623161080126</v>
      </c>
    </row>
    <row r="4" spans="1:26" x14ac:dyDescent="0.2">
      <c r="A4">
        <f>A2+1</f>
        <v>2</v>
      </c>
      <c r="B4">
        <f>B2</f>
        <v>45.010222825343703</v>
      </c>
      <c r="C4">
        <f>IF(ISNA(VLOOKUP(VLOOKUP(A4,BatchTest!A$2:$Q4,2),'Logistic Model'!$E$3:$F$4,2,FALSE)),0,VLOOKUP(VLOOKUP(A4,BatchTest!A$2:$Q4,2),'Logistic Model'!$E$3:$F$4,2,FALSE))</f>
        <v>0.26294672535788899</v>
      </c>
      <c r="D4">
        <f>IF(ISNA(VLOOKUP(VLOOKUP(A4,BatchTest!A$2:$Q4,3),'Logistic Model'!$E$5:$F$5,2,FALSE)),0,VLOOKUP(VLOOKUP(A4,BatchTest!A$2:$Q4,3),'Logistic Model'!$E$5:$F$5,2,FALSE))</f>
        <v>0.15159474572281001</v>
      </c>
      <c r="E4">
        <f>IF(ISNA(VLOOKUP(VLOOKUP(A4,BatchTest!A$2:$Q4,4),'Logistic Model'!$E$6:$F$6,2,FALSE)),0,VLOOKUP(VLOOKUP(A4,BatchTest!A$2:$Q4,4),'Logistic Model'!$E$6:$F$6,2,FALSE))</f>
        <v>-0.59599461116075603</v>
      </c>
      <c r="F4">
        <f>IF(ISNA(VLOOKUP(VLOOKUP(A4,BatchTest!A$2:$Q4,5),'Logistic Model'!$E$7:$F$18,2,FALSE)),0,VLOOKUP(VLOOKUP(A4,BatchTest!A$2:$Q4,5),'Logistic Model'!$E$7:$F$18,2,FALSE))</f>
        <v>0.11832255558081201</v>
      </c>
      <c r="G4">
        <f>IF(ISNA(VLOOKUP(IF(ISNA(VLOOKUP(VLOOKUP(A4,BatchTest!A$2:$Q4,6),MasterCoef!$B$24:$C$56,2,FALSE)),0,VLOOKUP(VLOOKUP(A4,BatchTest!A$2:$Q4,6),MasterCoef!$B$24:$C$56,2,FALSE)),'Logistic Model'!$E$19:$F$33,2,FALSE)),0,VLOOKUP(IF(ISNA(VLOOKUP(VLOOKUP(A4,BatchTest!A$2:$Q4,6),MasterCoef!$B$24:$C$56,2,FALSE)),0,VLOOKUP(VLOOKUP(A4,BatchTest!A$2:$Q4,6),MasterCoef!$B$24:$C$56,2,FALSE)),'Logistic Model'!$E$19:$F$33,2,FALSE))</f>
        <v>-0.40877293105865897</v>
      </c>
      <c r="H4">
        <f>IF(ISNA(VLOOKUP(VLOOKUP(A4,BatchTest!A$2:$Q4,7),'Logistic Model'!$E$34:$F$34,2,FALSE)),0,VLOOKUP(VLOOKUP(A4,BatchTest!A$2:$Q4,7),'Logistic Model'!$E$34:$F$34,2,FALSE))</f>
        <v>4.4282780545973899E-2</v>
      </c>
      <c r="I4">
        <f>MAX(MIN((VLOOKUP(A4,BatchTest!A$2:$Q4,8)),100),18)</f>
        <v>21</v>
      </c>
      <c r="J4">
        <f>IF(I4&lt;=45,0.00133848899464604*I4^2-0.121356335514575*I4+2.75074360499702,0)*0</f>
        <v>0</v>
      </c>
      <c r="K4">
        <f>IF(I4&lt;=45,-0.00200773349196907*I4^2+0.145449137418203*I4-1.96757882212968,IF(I4&lt;=72,0.000669244497323023*I4^2-0.0972635336109459*I4+3.53390838786437,0))*VLOOKUP($K$1,'Logistic Model'!$E$63:$F$67,2)</f>
        <v>8.0739703536994986E-2</v>
      </c>
      <c r="L4">
        <f>IF(I4&lt;=45,0.000669244497323022*I4^2-0.0240928019036288*I4+0.21683521713266,IF(I4&lt;=72,-0.00133848899464605*I4^2+0.157941701368234*I4-3.90928019036289,0.000669244497323021*I4^2-0.133848899464604*I4+6.69244497323021))*VLOOKUP($L$1,'Logistic Model'!$E$63:$F$67,2)</f>
        <v>2.0192343873700535E-3</v>
      </c>
      <c r="M4">
        <f>IF(I4&gt;=73,-0.00200773349196906*I4^2+0.328375966686496*I4-12.7602617489589,IF(I4&gt;=46,0.000669244497323023*I4^2-0.0606781677572875*I4+1.37537180249852,0))*VLOOKUP($M$1,'Logistic Model'!$E$63:$F$67,2)</f>
        <v>0</v>
      </c>
      <c r="N4">
        <f>IF(I4&gt;=73,0.00133848899464604*I4^2-0.194527067221891*I4+7.06781677572872,0)*VLOOKUP($N$1,'Logistic Model'!$E$63:$F$67,2)</f>
        <v>0</v>
      </c>
      <c r="O4">
        <f>IF(ISNA(VLOOKUP(IF(ISNA(VLOOKUP(IF(ISNA(VLOOKUP(VLOOKUP(A4,BatchTest!A$2:$Q5,9),MasterCoef!$B$59:$C$128,2,FALSE)),0,VLOOKUP(VLOOKUP(A4,BatchTest!A$2:$Q5,9),MasterCoef!$B$59:$C$128,2,FALSE)),MasterCoef!$B$59:$C$167,2,FALSE)),0,VLOOKUP(IF(ISNA(VLOOKUP(VLOOKUP(A4,BatchTest!A$2:$Q5,9),MasterCoef!$B$59:$C$128,2,FALSE)),0,VLOOKUP(VLOOKUP(A4,BatchTest!A$2:$Q5,9),MasterCoef!$B$59:$C$128,2,FALSE)),MasterCoef!$B$59:$C$167,2,FALSE)),'Logistic Model'!$E$35:$F$53,2,FALSE)),0,VLOOKUP(IF(ISNA(VLOOKUP(IF(ISNA(VLOOKUP(VLOOKUP(A4,BatchTest!A$2:$Q5,9),MasterCoef!$B$59:$C$128,2,FALSE)),0,VLOOKUP(VLOOKUP(A4,BatchTest!A$2:$Q5,9),MasterCoef!$B$59:$C$128,2,FALSE)),MasterCoef!$B$59:$C$167,2,FALSE)),0,VLOOKUP(IF(ISNA(VLOOKUP(VLOOKUP(A4,BatchTest!A$2:$Q5,9),MasterCoef!$B$59:$C$128,2,FALSE)),0,VLOOKUP(VLOOKUP(A4,BatchTest!A$2:$Q5,9),MasterCoef!$B$59:$C$128,2,FALSE)),MasterCoef!$B$59:$C$167,2,FALSE)),'Logistic Model'!$E$35:$F$53,2,FALSE))</f>
        <v>0.17252462357822199</v>
      </c>
      <c r="P4">
        <f>VLOOKUP(A4,BatchTest!A$2:$Q4,10)*'Logistic Model'!$F$54</f>
        <v>-48.400948057410346</v>
      </c>
      <c r="Q4">
        <f>IF(ISNA(VLOOKUP(VLOOKUP(A4,BatchTest!A$2:$Q4,11),'Logistic Model'!$E$55:$F$55,2,FALSE)),0,VLOOKUP(VLOOKUP(A4,BatchTest!A$2:$Q4,11),'Logistic Model'!$E$55:$F$55,2,FALSE))</f>
        <v>0</v>
      </c>
      <c r="R4">
        <f>VLOOKUP(A4,BatchTest!A$2:$Q4,12)*'Logistic Model'!$F$60</f>
        <v>1.7040747868935051</v>
      </c>
      <c r="S4">
        <f>VLOOKUP(A4,BatchTest!A$2:$Q4,13)*'Logistic Model'!$F$61</f>
        <v>2.6544061506921102</v>
      </c>
      <c r="T4">
        <f>IF(ISNA(VLOOKUP(VLOOKUP(VLOOKUP(A4,BatchTest!A$2:$Q4,14),MasterCoef!$B$171:$C$221,2,FALSE),'Logistic Model'!$E$56:$F$59,2,FALSE)),0,VLOOKUP(VLOOKUP(VLOOKUP(A4,BatchTest!A$2:$Q4,14),MasterCoef!$B$171:$C$221,2,FALSE),'Logistic Model'!$E$56:$F$59,2,FALSE))</f>
        <v>0</v>
      </c>
      <c r="U4">
        <f>LOG(VLOOKUP(A4,BatchTest!A$2:$Q4,15),EXP(1))*'Logistic Model'!$F$62</f>
        <v>4.4018794635859004</v>
      </c>
      <c r="V4">
        <f>0*0</f>
        <v>0</v>
      </c>
      <c r="W4">
        <v>0</v>
      </c>
      <c r="X4">
        <f>1/(1+EXP(-(SUM(J4:W4)+SUM(B4:H4))))</f>
        <v>0.99449893870947104</v>
      </c>
      <c r="Y4">
        <f>Y5</f>
        <v>24050.032784180086</v>
      </c>
      <c r="Z4">
        <f>X4*Y5</f>
        <v>23917.732079795082</v>
      </c>
    </row>
    <row r="5" spans="1:26" x14ac:dyDescent="0.2">
      <c r="A5">
        <f>A3+1</f>
        <v>2</v>
      </c>
      <c r="B5">
        <f>B3</f>
        <v>3.7686072312186299E-2</v>
      </c>
      <c r="C5">
        <f>IF(ISNA(VLOOKUP(VLOOKUP(A4,BatchTest!A$2:$Q4,2),'LogNormal Model'!$E$3:$F$4,2,FALSE)),0,VLOOKUP(VLOOKUP(A4,BatchTest!A$2:$Q4,2),'LogNormal Model'!$E$3:$F$4,2,FALSE))</f>
        <v>1.58500381175357E-2</v>
      </c>
      <c r="D5">
        <f>IF(ISNA(VLOOKUP(VLOOKUP(A4,BatchTest!A$2:$Q4,3),'LogNormal Model'!$E$5:$F$5,2,FALSE)),0,VLOOKUP(VLOOKUP(A4,BatchTest!A$2:$Q4,3),'LogNormal Model'!$E$5:$F$5,2,FALSE))</f>
        <v>-7.7562346198402203E-4</v>
      </c>
      <c r="E5">
        <f>IF(ISNA(VLOOKUP(VLOOKUP(A4,BatchTest!A$2:$Q4,4),'LogNormal Model'!$E$6:$F$6,2,FALSE)),0,VLOOKUP(VLOOKUP(A4,BatchTest!A$2:$Q4,4),'LogNormal Model'!$E$6:$F$6,2,FALSE))</f>
        <v>-0.157901113523259</v>
      </c>
      <c r="F5">
        <f>IF(ISNA(VLOOKUP(VLOOKUP(A5,BatchTest!A$2:$Q5,5),'LogNormal Model'!$E$7:$F$12,2,FALSE)),0,VLOOKUP(VLOOKUP(A5,BatchTest!A$2:$Q5,5),'LogNormal Model'!$E$7:$F$12,2,FALSE))</f>
        <v>0</v>
      </c>
      <c r="G5">
        <f>IF(ISNA(VLOOKUP(IF(ISNA(VLOOKUP(VLOOKUP(A5,BatchTest!A$2:$Q5,6),MasterCoef!$B$24:$C$56,2,FALSE)),0,VLOOKUP(VLOOKUP(A5,BatchTest!A$2:$Q5,6),MasterCoef!$B$24:$C$56,2,FALSE)),'LogNormal Model'!$E$15:$F$25,2,FALSE)),0,VLOOKUP(IF(ISNA(VLOOKUP(VLOOKUP(A5,BatchTest!A$2:$Q5,6),MasterCoef!$B$24:$C$56,2,FALSE)),0,VLOOKUP(VLOOKUP(A5,BatchTest!A$2:$Q5,6),MasterCoef!$B$24:$C$56,2,FALSE)),'LogNormal Model'!$E$15:$F$25,2,FALSE))</f>
        <v>4.5535180829194499E-2</v>
      </c>
      <c r="H5">
        <f>IF(ISNA(VLOOKUP(VLOOKUP(A5,BatchTest!A$2:$Q5,7),'LogNormal Model'!$E$26:$F$26,2,FALSE)),0,VLOOKUP(VLOOKUP(A5,BatchTest!A$2:$Q5,7),'LogNormal Model'!$E$26:$F$26,2,FALSE))</f>
        <v>6.43929223875871E-3</v>
      </c>
      <c r="I5">
        <f>MAX(MIN((VLOOKUP(A5,BatchTest!A$2:$Q5,8)),100),18)</f>
        <v>21</v>
      </c>
      <c r="J5">
        <v>0</v>
      </c>
      <c r="K5">
        <f>0*0</f>
        <v>0</v>
      </c>
      <c r="L5">
        <f>0*0</f>
        <v>0</v>
      </c>
      <c r="M5">
        <f>0*0</f>
        <v>0</v>
      </c>
      <c r="N5">
        <f>0*0</f>
        <v>0</v>
      </c>
      <c r="O5">
        <f>IF(ISNA(VLOOKUP(IF(ISNA(VLOOKUP(IF(ISNA(VLOOKUP(VLOOKUP(A5,BatchTest!A$2:$Q6,9),MasterCoef!$B$59:$C$128,2,FALSE)),0,VLOOKUP(VLOOKUP(A5,BatchTest!A$2:$Q6,9),MasterCoef!$B$59:$C$128,2,FALSE)),MasterCoef!$B$59:$C$167,2,FALSE)),0,VLOOKUP(IF(ISNA(VLOOKUP(VLOOKUP(A5,BatchTest!A$2:$Q6,9),MasterCoef!$B$59:$C$128,2,FALSE)),0,VLOOKUP(VLOOKUP(A5,BatchTest!A$2:$Q6,9),MasterCoef!$B$59:$C$128,2,FALSE)),MasterCoef!$B$59:$C$167,2,FALSE)),'LogNormal Model'!$E$27:$F$28,2,FALSE)),0,VLOOKUP(IF(ISNA(VLOOKUP(IF(ISNA(VLOOKUP(VLOOKUP(A5,BatchTest!A$2:$Q6,9),MasterCoef!$B$59:$C$128,2,FALSE)),0,VLOOKUP(VLOOKUP(A5,BatchTest!A$2:$Q6,9),MasterCoef!$B$59:$C$128,2,FALSE)),MasterCoef!$B$59:$C$167,2,FALSE)),0,VLOOKUP(IF(ISNA(VLOOKUP(VLOOKUP(A5,BatchTest!A$2:$Q6,9),MasterCoef!$B$59:$C$128,2,FALSE)),0,VLOOKUP(VLOOKUP(A5,BatchTest!A$2:$Q6,9),MasterCoef!$B$59:$C$128,2,FALSE)),MasterCoef!$B$59:$C$167,2,FALSE)),'LogNormal Model'!$E$27:$F$28,2,FALSE))</f>
        <v>-8.6057774904807396E-3</v>
      </c>
      <c r="P5">
        <f>0*0</f>
        <v>0</v>
      </c>
      <c r="Q5">
        <f>IF(ISNA(VLOOKUP(VLOOKUP(A5,BatchTest!A$2:$Q5,11),'Logistic Model'!$E$55:$F$55,2,FALSE)),0,VLOOKUP(VLOOKUP(A5,BatchTest!A$2:$Q5,11),'Logistic Model'!$E$55:$F$55,2,FALSE))</f>
        <v>0</v>
      </c>
      <c r="R5" s="57">
        <f>VLOOKUP(A5,BatchTest!A$2:$Q5,12)*'LogNormal Model'!$F$32</f>
        <v>2.6426093256851798E-2</v>
      </c>
      <c r="S5" s="57">
        <f>VLOOKUP(A5,BatchTest!A$2:$Q5,13)*'LogNormal Model'!$F$33</f>
        <v>1.8019085121262001E-2</v>
      </c>
      <c r="T5">
        <f>IF(ISNA(VLOOKUP(VLOOKUP(VLOOKUP(A4,BatchTest!A$2:$Q4,14),MasterCoef!$B$171:$C$221,2,FALSE),'LogNormal Model'!$E$29:$F$30,2,FALSE)),0,VLOOKUP(VLOOKUP(VLOOKUP(A4,BatchTest!A$2:$Q4,14),MasterCoef!$B$171:$C$221,2,FALSE),'LogNormal Model'!$E$29:$F$30,2,FALSE))</f>
        <v>1.94876874686126E-2</v>
      </c>
      <c r="U5">
        <f>LOG(VLOOKUP(A4,BatchTest!A$2:$Q4,15),EXP(1))*'LogNormal Model'!$F$31</f>
        <v>9.9807549370284132</v>
      </c>
      <c r="V5">
        <f>IF(ISNA(VLOOKUP(VLOOKUP(A5,BatchTest!A$2:$Q5,16),'LogNormal Model'!$E$13:$F$14,2,FALSE)),0,VLOOKUP(VLOOKUP(A5,BatchTest!A$2:$Q5,16),'LogNormal Model'!$E$13:$F$14,2,FALSE))</f>
        <v>0.10497576680346</v>
      </c>
      <c r="W5">
        <v>0</v>
      </c>
      <c r="X5">
        <f>X4</f>
        <v>0.99449893870947104</v>
      </c>
      <c r="Y5">
        <f>EXP((SUM(J5:W5)+SUM(B5:H5)))</f>
        <v>24050.032784180086</v>
      </c>
      <c r="Z5">
        <f>Z4</f>
        <v>23917.732079795082</v>
      </c>
    </row>
    <row r="7" spans="1:26" x14ac:dyDescent="0.2">
      <c r="R7" s="57"/>
      <c r="S7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Logistic Model</vt:lpstr>
      <vt:lpstr>LogNormal Model</vt:lpstr>
      <vt:lpstr>Groups</vt:lpstr>
      <vt:lpstr>MasterCoef</vt:lpstr>
      <vt:lpstr>AgeSplineCalc</vt:lpstr>
      <vt:lpstr>FullCalculator</vt:lpstr>
      <vt:lpstr>BatchTest</vt:lpstr>
      <vt:lpstr>BatchTestCalc</vt:lpstr>
    </vt:vector>
  </TitlesOfParts>
  <Company>Liberty Mutual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Warner</dc:creator>
  <cp:lastModifiedBy>Andrew Warner</cp:lastModifiedBy>
  <dcterms:created xsi:type="dcterms:W3CDTF">2016-10-14T12:38:36Z</dcterms:created>
  <dcterms:modified xsi:type="dcterms:W3CDTF">2016-11-15T18:32:15Z</dcterms:modified>
</cp:coreProperties>
</file>