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yC\Desktop\"/>
    </mc:Choice>
  </mc:AlternateContent>
  <bookViews>
    <workbookView xWindow="0" yWindow="0" windowWidth="24000" windowHeight="9495"/>
  </bookViews>
  <sheets>
    <sheet name="RIAA calcs" sheetId="1" r:id="rId1"/>
  </sheets>
  <definedNames>
    <definedName name="solver_adj" localSheetId="0" hidden="1">'RIAA calcs'!$C$11:$F$22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'RIAA calcs'!$C$11:$F$22</definedName>
    <definedName name="solver_lhs2" localSheetId="0" hidden="1">'RIAA calcs'!$C$11:$F$22</definedName>
    <definedName name="solver_lhs3" localSheetId="0" hidden="1">'RIAA calcs'!#REF!</definedName>
    <definedName name="solver_lhs4" localSheetId="0" hidden="1">'RIAA calcs'!#REF!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integer</definedName>
    <definedName name="solver_rhs2" localSheetId="0" hidden="1">0</definedName>
    <definedName name="solver_rhs3" localSheetId="0" hidden="1">4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I6" i="1"/>
  <c r="F6" i="1"/>
  <c r="I13" i="1"/>
  <c r="I7" i="1"/>
  <c r="I17" i="1"/>
  <c r="I18" i="1"/>
  <c r="I19" i="1"/>
  <c r="F8" i="1"/>
  <c r="I5" i="1"/>
  <c r="I3" i="1"/>
  <c r="I4" i="1"/>
  <c r="I16" i="1"/>
  <c r="I15" i="1"/>
  <c r="I14" i="1"/>
  <c r="I10" i="1"/>
  <c r="F7" i="1"/>
</calcChain>
</file>

<file path=xl/sharedStrings.xml><?xml version="1.0" encoding="utf-8"?>
<sst xmlns="http://schemas.openxmlformats.org/spreadsheetml/2006/main" count="45" uniqueCount="42">
  <si>
    <t>edit green; output is orange; white are calcs</t>
  </si>
  <si>
    <t>All-In-One Phono RIAA Calculations</t>
  </si>
  <si>
    <t>in---R1---+---+---+---out
              |   |    |
           C2  C1  R0
              |   |    |
              |  R2  |
              |   |    |
              |   |    |
             +---+---+
             |
        ground</t>
  </si>
  <si>
    <t>R1 = R1' || R0</t>
  </si>
  <si>
    <t>C1 uF</t>
  </si>
  <si>
    <t>Miller cap 2nd stage uf</t>
  </si>
  <si>
    <t>R1' = Rp || Rload + R1''</t>
  </si>
  <si>
    <t>R1'' (calc wrt C1)</t>
  </si>
  <si>
    <t>C2 (C2' - Cin)</t>
  </si>
  <si>
    <t>R1' (calc wrt R1'', R0)</t>
  </si>
  <si>
    <t>C2' (wrt R2)</t>
  </si>
  <si>
    <t>R1'' x C1 = T1</t>
  </si>
  <si>
    <t>R1 (calc wrt Zout, R1')</t>
  </si>
  <si>
    <t>Zout 1st stage</t>
  </si>
  <si>
    <t xml:space="preserve">R1''/R2 </t>
  </si>
  <si>
    <t>R1 (all in one)</t>
  </si>
  <si>
    <t>gain divider</t>
  </si>
  <si>
    <t>R2 x C2 = T2</t>
  </si>
  <si>
    <t>R2 (calc wrt R1'')</t>
  </si>
  <si>
    <t xml:space="preserve">C1/C2 </t>
  </si>
  <si>
    <t>Note: adjust C1 value for ratio of 5-10x below</t>
  </si>
  <si>
    <t>1st Stage (bypassed Rk)</t>
  </si>
  <si>
    <t>Z ratio R1 to Zout</t>
  </si>
  <si>
    <t>R1'' is target effective</t>
  </si>
  <si>
    <t>Mu</t>
  </si>
  <si>
    <t>R1' is Zout + actual</t>
  </si>
  <si>
    <t>Rp</t>
  </si>
  <si>
    <t xml:space="preserve">Output Values </t>
  </si>
  <si>
    <t>R1 is actual value</t>
  </si>
  <si>
    <t>Rload</t>
  </si>
  <si>
    <t>R1</t>
  </si>
  <si>
    <t>(Zout + R1) || R0 = R1''</t>
  </si>
  <si>
    <t>R2</t>
  </si>
  <si>
    <t>2nd Stage (bypassed Rk)</t>
  </si>
  <si>
    <t>C1</t>
  </si>
  <si>
    <t>R0 = Rg</t>
  </si>
  <si>
    <t>C2</t>
  </si>
  <si>
    <t>Gain db 1st Stage (w filter)</t>
  </si>
  <si>
    <t>C g-a</t>
  </si>
  <si>
    <t>Gain db 2nd Stage</t>
  </si>
  <si>
    <t>C g-k</t>
  </si>
  <si>
    <t>Total gain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</si>
</sst>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Font="1" applyFill="1" applyBorder="1"/>
    <xf numFmtId="0" fontId="1" fillId="0" borderId="0" xfId="0" applyFont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6" xfId="0" applyFont="1" applyFill="1" applyBorder="1"/>
    <xf numFmtId="0" fontId="0" fillId="2" borderId="7" xfId="0" applyFill="1" applyBorder="1"/>
    <xf numFmtId="0" fontId="0" fillId="0" borderId="8" xfId="0" applyFont="1" applyFill="1" applyBorder="1" applyAlignment="1">
      <alignment horizontal="right"/>
    </xf>
    <xf numFmtId="0" fontId="0" fillId="0" borderId="8" xfId="0" applyFill="1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left" indent="2"/>
    </xf>
    <xf numFmtId="0" fontId="1" fillId="0" borderId="0" xfId="0" applyFont="1" applyFill="1" applyBorder="1"/>
    <xf numFmtId="2" fontId="0" fillId="0" borderId="0" xfId="0" applyNumberFormat="1" applyFill="1" applyBorder="1"/>
    <xf numFmtId="0" fontId="1" fillId="0" borderId="0" xfId="0" applyFont="1" applyAlignment="1">
      <alignment horizontal="left" indent="2"/>
    </xf>
    <xf numFmtId="2" fontId="0" fillId="0" borderId="0" xfId="0" applyNumberFormat="1" applyBorder="1"/>
    <xf numFmtId="0" fontId="0" fillId="0" borderId="0" xfId="0" applyFont="1" applyBorder="1" applyAlignment="1">
      <alignment horizontal="left" indent="4"/>
    </xf>
    <xf numFmtId="2" fontId="1" fillId="0" borderId="0" xfId="0" applyNumberFormat="1" applyFont="1" applyFill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9" xfId="0" applyFont="1" applyBorder="1" applyAlignment="1">
      <alignment horizontal="right"/>
    </xf>
    <xf numFmtId="2" fontId="0" fillId="3" borderId="9" xfId="0" applyNumberFormat="1" applyFill="1" applyBorder="1"/>
    <xf numFmtId="0" fontId="0" fillId="0" borderId="10" xfId="0" applyFont="1" applyFill="1" applyBorder="1"/>
    <xf numFmtId="0" fontId="0" fillId="2" borderId="11" xfId="0" applyFill="1" applyBorder="1"/>
    <xf numFmtId="0" fontId="1" fillId="0" borderId="5" xfId="0" applyFont="1" applyFill="1" applyBorder="1"/>
    <xf numFmtId="0" fontId="0" fillId="2" borderId="12" xfId="0" applyFill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1" xfId="0" applyFont="1" applyFill="1" applyBorder="1" applyAlignment="1">
      <alignment horizontal="right"/>
    </xf>
    <xf numFmtId="2" fontId="0" fillId="3" borderId="13" xfId="0" applyNumberFormat="1" applyFill="1" applyBorder="1"/>
    <xf numFmtId="0" fontId="1" fillId="0" borderId="12" xfId="0" applyFont="1" applyFill="1" applyBorder="1" applyAlignment="1">
      <alignment horizontal="right"/>
    </xf>
    <xf numFmtId="0" fontId="0" fillId="3" borderId="14" xfId="0" applyFill="1" applyBorder="1"/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164" fontId="0" fillId="3" borderId="15" xfId="0" applyNumberFormat="1" applyFill="1" applyBorder="1"/>
    <xf numFmtId="0" fontId="0" fillId="0" borderId="12" xfId="0" applyFont="1" applyFill="1" applyBorder="1" applyAlignment="1">
      <alignment horizontal="right"/>
    </xf>
    <xf numFmtId="165" fontId="0" fillId="3" borderId="14" xfId="0" applyNumberFormat="1" applyFill="1" applyBorder="1"/>
    <xf numFmtId="0" fontId="0" fillId="0" borderId="5" xfId="0" applyFont="1" applyFill="1" applyBorder="1" applyAlignment="1">
      <alignment horizontal="left" indent="2"/>
    </xf>
    <xf numFmtId="0" fontId="0" fillId="0" borderId="7" xfId="0" applyFont="1" applyFill="1" applyBorder="1" applyAlignment="1">
      <alignment horizontal="right"/>
    </xf>
    <xf numFmtId="165" fontId="0" fillId="3" borderId="16" xfId="0" applyNumberFormat="1" applyFill="1" applyBorder="1"/>
    <xf numFmtId="0" fontId="0" fillId="0" borderId="6" xfId="0" applyFont="1" applyFill="1" applyBorder="1" applyAlignment="1">
      <alignment horizontal="left" indent="2"/>
    </xf>
    <xf numFmtId="2" fontId="0" fillId="0" borderId="6" xfId="0" applyNumberFormat="1" applyFill="1" applyBorder="1"/>
    <xf numFmtId="165" fontId="1" fillId="3" borderId="9" xfId="0" applyNumberFormat="1" applyFont="1" applyFill="1" applyBorder="1"/>
    <xf numFmtId="0" fontId="0" fillId="0" borderId="10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H21" sqref="H21"/>
    </sheetView>
  </sheetViews>
  <sheetFormatPr defaultRowHeight="12.75" x14ac:dyDescent="0.2"/>
  <cols>
    <col min="1" max="7" width="16.85546875" customWidth="1"/>
    <col min="8" max="8" width="23.7109375" customWidth="1"/>
    <col min="9" max="9" width="23.42578125" customWidth="1"/>
    <col min="10" max="10" width="20.28515625" customWidth="1"/>
    <col min="11" max="13" width="18" customWidth="1"/>
  </cols>
  <sheetData>
    <row r="1" spans="1:10" ht="16.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0" ht="27.75" thickBot="1" x14ac:dyDescent="0.4">
      <c r="A2" s="2" t="s">
        <v>1</v>
      </c>
      <c r="B2" s="3"/>
      <c r="C2" s="3"/>
      <c r="D2" s="3"/>
      <c r="E2" s="3"/>
      <c r="F2" s="3"/>
      <c r="G2" s="3"/>
      <c r="H2" s="3"/>
      <c r="I2" s="4"/>
      <c r="J2" s="5"/>
    </row>
    <row r="3" spans="1:10" ht="13.5" thickBot="1" x14ac:dyDescent="0.25">
      <c r="A3" s="6" t="s">
        <v>2</v>
      </c>
      <c r="B3" s="6"/>
      <c r="C3" s="7" t="s">
        <v>3</v>
      </c>
      <c r="D3" s="8"/>
      <c r="E3" s="9" t="s">
        <v>4</v>
      </c>
      <c r="F3" s="10">
        <v>0.01</v>
      </c>
      <c r="G3" s="7"/>
      <c r="H3" s="11" t="s">
        <v>5</v>
      </c>
      <c r="I3" s="12">
        <f>(F19+((F17*F21/(F21+F20)+1)*F18))/1000000</f>
        <v>9.98E-5</v>
      </c>
      <c r="J3" s="13"/>
    </row>
    <row r="4" spans="1:10" x14ac:dyDescent="0.2">
      <c r="A4" s="6"/>
      <c r="B4" s="6"/>
      <c r="C4" s="7" t="s">
        <v>6</v>
      </c>
      <c r="D4" s="8"/>
      <c r="E4" s="13" t="s">
        <v>7</v>
      </c>
      <c r="F4" s="14">
        <f>D6/F3</f>
        <v>218700</v>
      </c>
      <c r="H4" s="15" t="s">
        <v>8</v>
      </c>
      <c r="I4" s="14">
        <f>I5-I3</f>
        <v>3.3295559457905805E-3</v>
      </c>
    </row>
    <row r="5" spans="1:10" x14ac:dyDescent="0.2">
      <c r="A5" s="6"/>
      <c r="B5" s="6"/>
      <c r="D5" s="8"/>
      <c r="E5" s="16" t="s">
        <v>9</v>
      </c>
      <c r="F5" s="17">
        <f>(F4*F16)/(F16-F4)</f>
        <v>279918.08524254448</v>
      </c>
      <c r="H5" s="18" t="s">
        <v>10</v>
      </c>
      <c r="I5">
        <f>D8/F8</f>
        <v>3.4293559457905807E-3</v>
      </c>
    </row>
    <row r="6" spans="1:10" x14ac:dyDescent="0.2">
      <c r="A6" s="6"/>
      <c r="B6" s="6"/>
      <c r="C6" s="7" t="s">
        <v>11</v>
      </c>
      <c r="D6" s="8">
        <v>2187</v>
      </c>
      <c r="E6" s="16" t="s">
        <v>12</v>
      </c>
      <c r="F6" s="19">
        <f>F5-I6</f>
        <v>237003.41857587782</v>
      </c>
      <c r="H6" s="20" t="s">
        <v>13</v>
      </c>
      <c r="I6" s="14">
        <f>(F12*F13)/(F12+F13)</f>
        <v>42914.666666666664</v>
      </c>
      <c r="J6" s="7"/>
    </row>
    <row r="7" spans="1:10" x14ac:dyDescent="0.2">
      <c r="A7" s="6"/>
      <c r="B7" s="6"/>
      <c r="C7" s="7" t="s">
        <v>14</v>
      </c>
      <c r="D7" s="8">
        <v>6.8773660000000003</v>
      </c>
      <c r="E7" s="16" t="s">
        <v>15</v>
      </c>
      <c r="F7">
        <f>((F4*F16)/(F16-F4))-I6</f>
        <v>237003.41857587782</v>
      </c>
      <c r="G7" s="7"/>
      <c r="H7" s="20" t="s">
        <v>16</v>
      </c>
      <c r="I7" s="21">
        <f>F16/(F16+I13)</f>
        <v>0.80840547678542407</v>
      </c>
    </row>
    <row r="8" spans="1:10" ht="13.5" thickBot="1" x14ac:dyDescent="0.25">
      <c r="A8" s="6"/>
      <c r="B8" s="6"/>
      <c r="C8" s="7" t="s">
        <v>17</v>
      </c>
      <c r="D8" s="8">
        <v>109.0534</v>
      </c>
      <c r="E8" s="13" t="s">
        <v>18</v>
      </c>
      <c r="F8" s="14">
        <f>F4/D7</f>
        <v>31799.965277404168</v>
      </c>
    </row>
    <row r="9" spans="1:10" ht="13.5" thickBot="1" x14ac:dyDescent="0.25">
      <c r="A9" s="6"/>
      <c r="B9" s="6"/>
      <c r="C9" s="7" t="s">
        <v>19</v>
      </c>
      <c r="D9" s="8">
        <v>2.9159999999999999</v>
      </c>
      <c r="G9" s="7"/>
      <c r="H9" s="22" t="s">
        <v>20</v>
      </c>
      <c r="I9" s="23"/>
    </row>
    <row r="10" spans="1:10" ht="13.5" thickBot="1" x14ac:dyDescent="0.25">
      <c r="A10" s="6"/>
      <c r="B10" s="6"/>
      <c r="E10" s="24" t="s">
        <v>21</v>
      </c>
      <c r="F10" s="25"/>
      <c r="H10" s="26" t="s">
        <v>22</v>
      </c>
      <c r="I10" s="27">
        <f>I13/I6</f>
        <v>5.5226573665568885</v>
      </c>
    </row>
    <row r="11" spans="1:10" ht="13.5" thickBot="1" x14ac:dyDescent="0.25">
      <c r="A11" s="6"/>
      <c r="B11" s="6"/>
      <c r="C11" s="16" t="s">
        <v>23</v>
      </c>
      <c r="E11" s="28" t="s">
        <v>24</v>
      </c>
      <c r="F11" s="29">
        <v>100</v>
      </c>
    </row>
    <row r="12" spans="1:10" ht="13.5" thickBot="1" x14ac:dyDescent="0.25">
      <c r="A12" s="6"/>
      <c r="B12" s="6"/>
      <c r="C12" t="s">
        <v>25</v>
      </c>
      <c r="E12" s="30" t="s">
        <v>26</v>
      </c>
      <c r="F12" s="31">
        <v>66500</v>
      </c>
      <c r="H12" s="32" t="s">
        <v>27</v>
      </c>
      <c r="I12" s="33"/>
    </row>
    <row r="13" spans="1:10" ht="13.5" thickBot="1" x14ac:dyDescent="0.25">
      <c r="A13" s="6"/>
      <c r="B13" s="6"/>
      <c r="C13" t="s">
        <v>28</v>
      </c>
      <c r="E13" s="9" t="s">
        <v>29</v>
      </c>
      <c r="F13" s="10">
        <v>121000</v>
      </c>
      <c r="G13" s="7"/>
      <c r="H13" s="34" t="s">
        <v>30</v>
      </c>
      <c r="I13" s="35">
        <f>ROUND(F6,0)</f>
        <v>237003</v>
      </c>
      <c r="J13" s="14"/>
    </row>
    <row r="14" spans="1:10" ht="13.5" thickBot="1" x14ac:dyDescent="0.25">
      <c r="A14" s="6"/>
      <c r="B14" s="6"/>
      <c r="C14" s="7" t="s">
        <v>31</v>
      </c>
      <c r="G14" s="7"/>
      <c r="H14" s="36" t="s">
        <v>32</v>
      </c>
      <c r="I14" s="37">
        <f>ROUND(F8,0)</f>
        <v>31800</v>
      </c>
    </row>
    <row r="15" spans="1:10" ht="13.5" thickBot="1" x14ac:dyDescent="0.25">
      <c r="A15" s="6"/>
      <c r="B15" s="6"/>
      <c r="E15" s="38" t="s">
        <v>33</v>
      </c>
      <c r="F15" s="39"/>
      <c r="H15" s="36" t="s">
        <v>34</v>
      </c>
      <c r="I15" s="37">
        <f>F3</f>
        <v>0.01</v>
      </c>
    </row>
    <row r="16" spans="1:10" ht="13.5" thickBot="1" x14ac:dyDescent="0.25">
      <c r="A16" s="40"/>
      <c r="B16" s="40"/>
      <c r="E16" s="28" t="s">
        <v>35</v>
      </c>
      <c r="F16" s="29">
        <v>1000000</v>
      </c>
      <c r="H16" s="36" t="s">
        <v>36</v>
      </c>
      <c r="I16" s="41">
        <f>ROUND(I4,4)</f>
        <v>3.3E-3</v>
      </c>
    </row>
    <row r="17" spans="1:9" x14ac:dyDescent="0.2">
      <c r="A17" s="40"/>
      <c r="B17" s="40"/>
      <c r="E17" s="28" t="s">
        <v>24</v>
      </c>
      <c r="F17" s="29">
        <v>100</v>
      </c>
      <c r="H17" s="42" t="s">
        <v>37</v>
      </c>
      <c r="I17" s="43">
        <f>LOG((F11*F13/(F13+F12))*I7)*20-20</f>
        <v>14.348266907284028</v>
      </c>
    </row>
    <row r="18" spans="1:9" ht="13.5" thickBot="1" x14ac:dyDescent="0.25">
      <c r="A18" s="40"/>
      <c r="B18" s="40"/>
      <c r="E18" s="44" t="s">
        <v>38</v>
      </c>
      <c r="F18" s="31">
        <v>1.5</v>
      </c>
      <c r="H18" s="45" t="s">
        <v>39</v>
      </c>
      <c r="I18" s="46">
        <f>LOG(F17*F21/(F21+F20))*20</f>
        <v>36.195681965054249</v>
      </c>
    </row>
    <row r="19" spans="1:9" ht="13.5" thickBot="1" x14ac:dyDescent="0.25">
      <c r="A19" s="40"/>
      <c r="B19" s="40"/>
      <c r="E19" s="47" t="s">
        <v>40</v>
      </c>
      <c r="F19" s="10">
        <v>1.5</v>
      </c>
      <c r="H19" s="48" t="s">
        <v>41</v>
      </c>
      <c r="I19" s="49">
        <f>SUM(I17:I18)</f>
        <v>50.543948872338277</v>
      </c>
    </row>
    <row r="20" spans="1:9" x14ac:dyDescent="0.2">
      <c r="A20" s="40"/>
      <c r="B20" s="40"/>
      <c r="E20" s="50" t="s">
        <v>26</v>
      </c>
      <c r="F20" s="29">
        <v>66500</v>
      </c>
    </row>
    <row r="21" spans="1:9" ht="13.5" thickBot="1" x14ac:dyDescent="0.25">
      <c r="A21" s="40"/>
      <c r="B21" s="40"/>
      <c r="E21" s="51" t="s">
        <v>29</v>
      </c>
      <c r="F21" s="10">
        <v>121000</v>
      </c>
      <c r="H21" s="17"/>
      <c r="I21" s="13"/>
    </row>
    <row r="22" spans="1:9" x14ac:dyDescent="0.2">
      <c r="I22" s="13"/>
    </row>
  </sheetData>
  <mergeCells count="7">
    <mergeCell ref="A1:I1"/>
    <mergeCell ref="A2:I2"/>
    <mergeCell ref="A3:B15"/>
    <mergeCell ref="H9:I9"/>
    <mergeCell ref="E10:F10"/>
    <mergeCell ref="H12:I12"/>
    <mergeCell ref="E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RIAA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Cose</dc:creator>
  <cp:lastModifiedBy>Timothy Cose</cp:lastModifiedBy>
  <dcterms:created xsi:type="dcterms:W3CDTF">2017-03-16T17:21:27Z</dcterms:created>
  <dcterms:modified xsi:type="dcterms:W3CDTF">2017-03-16T17:22:14Z</dcterms:modified>
</cp:coreProperties>
</file>