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dac-pcm1702-v1/kicad-asrc-v5/"/>
    </mc:Choice>
  </mc:AlternateContent>
  <xr:revisionPtr revIDLastSave="0" documentId="8_{0AD9F0AC-9FC5-B646-BF60-48BCE6E4F07A}" xr6:coauthVersionLast="47" xr6:coauthVersionMax="47" xr10:uidLastSave="{00000000-0000-0000-0000-000000000000}"/>
  <bookViews>
    <workbookView xWindow="240" yWindow="460" windowWidth="27400" windowHeight="15420" xr2:uid="{00000000-000D-0000-FFFF-FFFF00000000}"/>
  </bookViews>
  <sheets>
    <sheet name="dac. " sheetId="1" r:id="rId1"/>
  </sheets>
  <definedNames>
    <definedName name="arrow_part_data">'dac. '!$H$5:$L$42</definedName>
    <definedName name="BoardQty">'dac. '!$G$1</definedName>
    <definedName name="digikey_part_data">'dac. '!$M$5:$Q$42</definedName>
    <definedName name="farnell_part_data">'dac. '!$R$5:$V$42</definedName>
    <definedName name="global_part_data">'dac. '!$A$5:$G$42</definedName>
    <definedName name="lcsc_part_data">'dac. '!$W$5:$AA$42</definedName>
    <definedName name="mouser_part_data">'dac. '!$AB$5:$AF$42</definedName>
    <definedName name="newark_part_data">'dac. '!$AG$5:$AK$42</definedName>
    <definedName name="PURCHASE_DESCRIPTION">'dac. '!$G$45</definedName>
    <definedName name="rs_part_data">'dac. '!$AL$5:$AP$42</definedName>
    <definedName name="tme_part_data">'dac. '!$AQ$5:$AU$42</definedName>
    <definedName name="TotalCost">'dac. '!$G$3</definedName>
    <definedName name="USD_GBP">'dac. '!$C$45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1" i="1" l="1" a="1"/>
  <c r="X81" i="1" s="1"/>
  <c r="AR80" i="1" a="1"/>
  <c r="AR80" i="1" s="1"/>
  <c r="AM80" i="1" a="1"/>
  <c r="AM80" i="1" s="1"/>
  <c r="AH80" i="1" a="1"/>
  <c r="AH80" i="1" s="1"/>
  <c r="AC80" i="1" a="1"/>
  <c r="AC80" i="1" s="1"/>
  <c r="X80" i="1" a="1"/>
  <c r="X80" i="1" s="1"/>
  <c r="S80" i="1" a="1"/>
  <c r="S80" i="1" s="1"/>
  <c r="N80" i="1" a="1"/>
  <c r="N80" i="1" s="1"/>
  <c r="I80" i="1" a="1"/>
  <c r="I80" i="1" s="1"/>
  <c r="AR79" i="1" a="1"/>
  <c r="AR79" i="1" s="1"/>
  <c r="AM79" i="1" a="1"/>
  <c r="AM79" i="1" s="1"/>
  <c r="AH79" i="1" a="1"/>
  <c r="AH79" i="1" s="1"/>
  <c r="AC79" i="1" a="1"/>
  <c r="AC79" i="1" s="1"/>
  <c r="X79" i="1" a="1"/>
  <c r="X79" i="1" s="1"/>
  <c r="S79" i="1" a="1"/>
  <c r="S79" i="1" s="1"/>
  <c r="N79" i="1" a="1"/>
  <c r="N79" i="1" s="1"/>
  <c r="I79" i="1" a="1"/>
  <c r="I79" i="1" s="1"/>
  <c r="AR78" i="1" a="1"/>
  <c r="AR78" i="1" s="1"/>
  <c r="AM78" i="1" a="1"/>
  <c r="AM78" i="1" s="1"/>
  <c r="AH78" i="1" a="1"/>
  <c r="AH78" i="1" s="1"/>
  <c r="AC78" i="1" a="1"/>
  <c r="AC78" i="1" s="1"/>
  <c r="X78" i="1" a="1"/>
  <c r="X78" i="1" s="1"/>
  <c r="S78" i="1" a="1"/>
  <c r="S78" i="1" s="1"/>
  <c r="N78" i="1" a="1"/>
  <c r="N78" i="1" s="1"/>
  <c r="I78" i="1" a="1"/>
  <c r="I78" i="1" s="1"/>
  <c r="AR77" i="1" a="1"/>
  <c r="AR77" i="1" s="1"/>
  <c r="AM77" i="1" a="1"/>
  <c r="AM77" i="1" s="1"/>
  <c r="AH77" i="1" a="1"/>
  <c r="AH77" i="1" s="1"/>
  <c r="AC77" i="1" a="1"/>
  <c r="AC77" i="1" s="1"/>
  <c r="X77" i="1" a="1"/>
  <c r="X77" i="1" s="1"/>
  <c r="S77" i="1" a="1"/>
  <c r="S77" i="1" s="1"/>
  <c r="N77" i="1" a="1"/>
  <c r="N77" i="1" s="1"/>
  <c r="I77" i="1" a="1"/>
  <c r="I77" i="1" s="1"/>
  <c r="AR76" i="1" a="1"/>
  <c r="AR76" i="1" s="1"/>
  <c r="AM76" i="1" a="1"/>
  <c r="AM76" i="1" s="1"/>
  <c r="AH76" i="1" a="1"/>
  <c r="AH76" i="1" s="1"/>
  <c r="AC76" i="1" a="1"/>
  <c r="AC76" i="1" s="1"/>
  <c r="X76" i="1" a="1"/>
  <c r="X76" i="1" s="1"/>
  <c r="S76" i="1" a="1"/>
  <c r="S76" i="1" s="1"/>
  <c r="N76" i="1" a="1"/>
  <c r="N76" i="1" s="1"/>
  <c r="I76" i="1" a="1"/>
  <c r="I76" i="1" s="1"/>
  <c r="AR75" i="1" a="1"/>
  <c r="AR75" i="1" s="1"/>
  <c r="AM75" i="1" a="1"/>
  <c r="AM75" i="1" s="1"/>
  <c r="AH75" i="1" a="1"/>
  <c r="AH75" i="1" s="1"/>
  <c r="AC75" i="1" a="1"/>
  <c r="AC75" i="1" s="1"/>
  <c r="X75" i="1" a="1"/>
  <c r="X75" i="1" s="1"/>
  <c r="S75" i="1" a="1"/>
  <c r="S75" i="1" s="1"/>
  <c r="N75" i="1" a="1"/>
  <c r="N75" i="1" s="1"/>
  <c r="I75" i="1" a="1"/>
  <c r="I75" i="1" s="1"/>
  <c r="AR74" i="1" a="1"/>
  <c r="AR74" i="1" s="1"/>
  <c r="AM74" i="1" a="1"/>
  <c r="AM74" i="1" s="1"/>
  <c r="AH74" i="1" a="1"/>
  <c r="AH74" i="1" s="1"/>
  <c r="AC74" i="1" a="1"/>
  <c r="AC74" i="1" s="1"/>
  <c r="X74" i="1" a="1"/>
  <c r="X74" i="1" s="1"/>
  <c r="S74" i="1" a="1"/>
  <c r="S74" i="1" s="1"/>
  <c r="N74" i="1" a="1"/>
  <c r="N74" i="1" s="1"/>
  <c r="I74" i="1" a="1"/>
  <c r="I74" i="1" s="1"/>
  <c r="AR73" i="1" a="1"/>
  <c r="AR73" i="1" s="1"/>
  <c r="AM73" i="1" a="1"/>
  <c r="AM73" i="1" s="1"/>
  <c r="AH73" i="1" a="1"/>
  <c r="AH73" i="1" s="1"/>
  <c r="AC73" i="1" a="1"/>
  <c r="AC73" i="1" s="1"/>
  <c r="X73" i="1" a="1"/>
  <c r="X73" i="1" s="1"/>
  <c r="S73" i="1" a="1"/>
  <c r="S73" i="1" s="1"/>
  <c r="N73" i="1" a="1"/>
  <c r="N73" i="1" s="1"/>
  <c r="I73" i="1" a="1"/>
  <c r="I73" i="1" s="1"/>
  <c r="AR72" i="1" a="1"/>
  <c r="AR72" i="1" s="1"/>
  <c r="AM72" i="1" a="1"/>
  <c r="AM72" i="1" s="1"/>
  <c r="AH72" i="1" a="1"/>
  <c r="AH72" i="1" s="1"/>
  <c r="AC72" i="1" a="1"/>
  <c r="AC72" i="1" s="1"/>
  <c r="X72" i="1" a="1"/>
  <c r="X72" i="1" s="1"/>
  <c r="S72" i="1" a="1"/>
  <c r="S72" i="1" s="1"/>
  <c r="N72" i="1" a="1"/>
  <c r="N72" i="1" s="1"/>
  <c r="I72" i="1" a="1"/>
  <c r="I72" i="1" s="1"/>
  <c r="AR71" i="1" a="1"/>
  <c r="AR71" i="1" s="1"/>
  <c r="AM71" i="1" a="1"/>
  <c r="AM71" i="1" s="1"/>
  <c r="AH71" i="1" a="1"/>
  <c r="AH71" i="1" s="1"/>
  <c r="AC71" i="1" a="1"/>
  <c r="AC71" i="1" s="1"/>
  <c r="X71" i="1" a="1"/>
  <c r="X71" i="1" s="1"/>
  <c r="S71" i="1" a="1"/>
  <c r="S71" i="1" s="1"/>
  <c r="N71" i="1" a="1"/>
  <c r="N71" i="1" s="1"/>
  <c r="I71" i="1" a="1"/>
  <c r="I71" i="1" s="1"/>
  <c r="AR70" i="1" a="1"/>
  <c r="AR70" i="1" s="1"/>
  <c r="AM70" i="1" a="1"/>
  <c r="AM70" i="1" s="1"/>
  <c r="AH70" i="1" a="1"/>
  <c r="AH70" i="1" s="1"/>
  <c r="AC70" i="1" a="1"/>
  <c r="AC70" i="1" s="1"/>
  <c r="X70" i="1" a="1"/>
  <c r="X70" i="1" s="1"/>
  <c r="S70" i="1" a="1"/>
  <c r="S70" i="1" s="1"/>
  <c r="N70" i="1" a="1"/>
  <c r="N70" i="1" s="1"/>
  <c r="I70" i="1" a="1"/>
  <c r="I70" i="1" s="1"/>
  <c r="AR69" i="1" a="1"/>
  <c r="AR69" i="1" s="1"/>
  <c r="AM69" i="1" a="1"/>
  <c r="AM69" i="1" s="1"/>
  <c r="AH69" i="1" a="1"/>
  <c r="AH69" i="1" s="1"/>
  <c r="AC69" i="1" a="1"/>
  <c r="AC69" i="1" s="1"/>
  <c r="X69" i="1" a="1"/>
  <c r="X69" i="1" s="1"/>
  <c r="S69" i="1" a="1"/>
  <c r="S69" i="1" s="1"/>
  <c r="N69" i="1" a="1"/>
  <c r="N69" i="1" s="1"/>
  <c r="I69" i="1" a="1"/>
  <c r="I69" i="1" s="1"/>
  <c r="AR68" i="1" a="1"/>
  <c r="AR68" i="1" s="1"/>
  <c r="AM68" i="1" a="1"/>
  <c r="AM68" i="1" s="1"/>
  <c r="AH68" i="1" a="1"/>
  <c r="AH68" i="1" s="1"/>
  <c r="AC68" i="1" a="1"/>
  <c r="AC68" i="1" s="1"/>
  <c r="X68" i="1" a="1"/>
  <c r="X68" i="1" s="1"/>
  <c r="S68" i="1" a="1"/>
  <c r="S68" i="1" s="1"/>
  <c r="N68" i="1" a="1"/>
  <c r="N68" i="1" s="1"/>
  <c r="I68" i="1" a="1"/>
  <c r="I68" i="1" s="1"/>
  <c r="AR67" i="1" a="1"/>
  <c r="AR67" i="1" s="1"/>
  <c r="AM67" i="1" a="1"/>
  <c r="AM67" i="1" s="1"/>
  <c r="AH67" i="1" a="1"/>
  <c r="AH67" i="1" s="1"/>
  <c r="AC67" i="1" a="1"/>
  <c r="AC67" i="1" s="1"/>
  <c r="X67" i="1" a="1"/>
  <c r="X67" i="1" s="1"/>
  <c r="S67" i="1" a="1"/>
  <c r="S67" i="1" s="1"/>
  <c r="N67" i="1" a="1"/>
  <c r="N67" i="1" s="1"/>
  <c r="I67" i="1" a="1"/>
  <c r="I67" i="1" s="1"/>
  <c r="AR66" i="1" a="1"/>
  <c r="AR66" i="1" s="1"/>
  <c r="AM66" i="1" a="1"/>
  <c r="AM66" i="1" s="1"/>
  <c r="AH66" i="1" a="1"/>
  <c r="AH66" i="1" s="1"/>
  <c r="AC66" i="1" a="1"/>
  <c r="AC66" i="1" s="1"/>
  <c r="X66" i="1" a="1"/>
  <c r="X66" i="1" s="1"/>
  <c r="S66" i="1" a="1"/>
  <c r="S66" i="1" s="1"/>
  <c r="N66" i="1" a="1"/>
  <c r="N66" i="1" s="1"/>
  <c r="I66" i="1" a="1"/>
  <c r="I66" i="1" s="1"/>
  <c r="AR65" i="1" a="1"/>
  <c r="AR65" i="1" s="1"/>
  <c r="AM65" i="1" a="1"/>
  <c r="AM65" i="1" s="1"/>
  <c r="AH65" i="1" a="1"/>
  <c r="AH65" i="1" s="1"/>
  <c r="AC65" i="1" a="1"/>
  <c r="AC65" i="1" s="1"/>
  <c r="X65" i="1" a="1"/>
  <c r="X65" i="1" s="1"/>
  <c r="S65" i="1" a="1"/>
  <c r="S65" i="1" s="1"/>
  <c r="N65" i="1" a="1"/>
  <c r="N65" i="1" s="1"/>
  <c r="I65" i="1" a="1"/>
  <c r="I65" i="1" s="1"/>
  <c r="AR64" i="1" a="1"/>
  <c r="AR64" i="1" s="1"/>
  <c r="AM64" i="1" a="1"/>
  <c r="AM64" i="1" s="1"/>
  <c r="AH64" i="1" a="1"/>
  <c r="AH64" i="1" s="1"/>
  <c r="AC64" i="1" a="1"/>
  <c r="AC64" i="1" s="1"/>
  <c r="X64" i="1" a="1"/>
  <c r="X64" i="1" s="1"/>
  <c r="S64" i="1" a="1"/>
  <c r="S64" i="1" s="1"/>
  <c r="N64" i="1" a="1"/>
  <c r="N64" i="1" s="1"/>
  <c r="I64" i="1" a="1"/>
  <c r="I64" i="1" s="1"/>
  <c r="AR63" i="1" a="1"/>
  <c r="AR63" i="1" s="1"/>
  <c r="AM63" i="1" a="1"/>
  <c r="AM63" i="1" s="1"/>
  <c r="AH63" i="1" a="1"/>
  <c r="AH63" i="1" s="1"/>
  <c r="AC63" i="1" a="1"/>
  <c r="AC63" i="1" s="1"/>
  <c r="X63" i="1" a="1"/>
  <c r="X63" i="1" s="1"/>
  <c r="S63" i="1" a="1"/>
  <c r="S63" i="1" s="1"/>
  <c r="N63" i="1" a="1"/>
  <c r="N63" i="1" s="1"/>
  <c r="I63" i="1" a="1"/>
  <c r="I63" i="1" s="1"/>
  <c r="AR62" i="1" a="1"/>
  <c r="AR62" i="1" s="1"/>
  <c r="AM62" i="1" a="1"/>
  <c r="AM62" i="1" s="1"/>
  <c r="AH62" i="1" a="1"/>
  <c r="AH62" i="1" s="1"/>
  <c r="AC62" i="1" a="1"/>
  <c r="AC62" i="1" s="1"/>
  <c r="X62" i="1" a="1"/>
  <c r="X62" i="1" s="1"/>
  <c r="S62" i="1" a="1"/>
  <c r="S62" i="1" s="1"/>
  <c r="N62" i="1" a="1"/>
  <c r="N62" i="1" s="1"/>
  <c r="I62" i="1" a="1"/>
  <c r="I62" i="1" s="1"/>
  <c r="AR61" i="1" a="1"/>
  <c r="AR61" i="1" s="1"/>
  <c r="AM61" i="1" a="1"/>
  <c r="AM61" i="1" s="1"/>
  <c r="AH61" i="1" a="1"/>
  <c r="AH61" i="1" s="1"/>
  <c r="AC61" i="1" a="1"/>
  <c r="AC61" i="1" s="1"/>
  <c r="X61" i="1" a="1"/>
  <c r="X61" i="1" s="1"/>
  <c r="S61" i="1" a="1"/>
  <c r="S61" i="1" s="1"/>
  <c r="N61" i="1" a="1"/>
  <c r="N61" i="1" s="1"/>
  <c r="I61" i="1" a="1"/>
  <c r="I61" i="1" s="1"/>
  <c r="AR60" i="1" a="1"/>
  <c r="AR60" i="1" s="1"/>
  <c r="AM60" i="1" a="1"/>
  <c r="AM60" i="1" s="1"/>
  <c r="AH60" i="1" a="1"/>
  <c r="AH60" i="1" s="1"/>
  <c r="AC60" i="1" a="1"/>
  <c r="AC60" i="1" s="1"/>
  <c r="X60" i="1" a="1"/>
  <c r="X60" i="1" s="1"/>
  <c r="S60" i="1" a="1"/>
  <c r="S60" i="1" s="1"/>
  <c r="N60" i="1" a="1"/>
  <c r="N60" i="1" s="1"/>
  <c r="I60" i="1" a="1"/>
  <c r="I60" i="1" s="1"/>
  <c r="AR59" i="1" a="1"/>
  <c r="AR59" i="1" s="1"/>
  <c r="AM59" i="1" a="1"/>
  <c r="AM59" i="1" s="1"/>
  <c r="AH59" i="1" a="1"/>
  <c r="AH59" i="1" s="1"/>
  <c r="AC59" i="1" a="1"/>
  <c r="AC59" i="1" s="1"/>
  <c r="X59" i="1" a="1"/>
  <c r="X59" i="1" s="1"/>
  <c r="S59" i="1" a="1"/>
  <c r="S59" i="1" s="1"/>
  <c r="N59" i="1" a="1"/>
  <c r="N59" i="1" s="1"/>
  <c r="I59" i="1" a="1"/>
  <c r="I59" i="1" s="1"/>
  <c r="AR58" i="1" a="1"/>
  <c r="AR58" i="1" s="1"/>
  <c r="AM58" i="1" a="1"/>
  <c r="AM58" i="1" s="1"/>
  <c r="AH58" i="1" a="1"/>
  <c r="AH58" i="1" s="1"/>
  <c r="AC58" i="1" a="1"/>
  <c r="AC58" i="1" s="1"/>
  <c r="X58" i="1" a="1"/>
  <c r="X58" i="1" s="1"/>
  <c r="S58" i="1" a="1"/>
  <c r="S58" i="1" s="1"/>
  <c r="N58" i="1" a="1"/>
  <c r="N58" i="1" s="1"/>
  <c r="I58" i="1" a="1"/>
  <c r="I58" i="1" s="1"/>
  <c r="AR57" i="1" a="1"/>
  <c r="AR57" i="1" s="1"/>
  <c r="AM57" i="1" a="1"/>
  <c r="AM57" i="1" s="1"/>
  <c r="AH57" i="1" a="1"/>
  <c r="AH57" i="1" s="1"/>
  <c r="AC57" i="1" a="1"/>
  <c r="AC57" i="1" s="1"/>
  <c r="X57" i="1" a="1"/>
  <c r="X57" i="1" s="1"/>
  <c r="S57" i="1" a="1"/>
  <c r="S57" i="1" s="1"/>
  <c r="N57" i="1" a="1"/>
  <c r="N57" i="1" s="1"/>
  <c r="I57" i="1" a="1"/>
  <c r="I57" i="1" s="1"/>
  <c r="AR56" i="1" a="1"/>
  <c r="AR56" i="1" s="1"/>
  <c r="AM56" i="1" a="1"/>
  <c r="AM56" i="1" s="1"/>
  <c r="AH56" i="1" a="1"/>
  <c r="AH56" i="1" s="1"/>
  <c r="AC56" i="1" a="1"/>
  <c r="AC56" i="1" s="1"/>
  <c r="X56" i="1" a="1"/>
  <c r="X56" i="1" s="1"/>
  <c r="S56" i="1" a="1"/>
  <c r="S56" i="1" s="1"/>
  <c r="N56" i="1" a="1"/>
  <c r="N56" i="1" s="1"/>
  <c r="I56" i="1" a="1"/>
  <c r="I56" i="1" s="1"/>
  <c r="AR55" i="1" a="1"/>
  <c r="AR55" i="1" s="1"/>
  <c r="AM55" i="1" a="1"/>
  <c r="AM55" i="1" s="1"/>
  <c r="AH55" i="1" a="1"/>
  <c r="AH55" i="1" s="1"/>
  <c r="AC55" i="1" a="1"/>
  <c r="AC55" i="1" s="1"/>
  <c r="X55" i="1" a="1"/>
  <c r="X55" i="1" s="1"/>
  <c r="S55" i="1" a="1"/>
  <c r="S55" i="1" s="1"/>
  <c r="N55" i="1" a="1"/>
  <c r="N55" i="1" s="1"/>
  <c r="I55" i="1" a="1"/>
  <c r="I55" i="1" s="1"/>
  <c r="AR54" i="1" a="1"/>
  <c r="AR54" i="1" s="1"/>
  <c r="AM54" i="1" a="1"/>
  <c r="AM54" i="1" s="1"/>
  <c r="AH54" i="1" a="1"/>
  <c r="AH54" i="1" s="1"/>
  <c r="AC54" i="1" a="1"/>
  <c r="AC54" i="1" s="1"/>
  <c r="X54" i="1" a="1"/>
  <c r="X54" i="1" s="1"/>
  <c r="S54" i="1" a="1"/>
  <c r="S54" i="1" s="1"/>
  <c r="N54" i="1" a="1"/>
  <c r="N54" i="1" s="1"/>
  <c r="I54" i="1" a="1"/>
  <c r="I54" i="1" s="1"/>
  <c r="AR53" i="1" a="1"/>
  <c r="AR53" i="1" s="1"/>
  <c r="AM53" i="1" a="1"/>
  <c r="AM53" i="1" s="1"/>
  <c r="AH53" i="1" a="1"/>
  <c r="AH53" i="1" s="1"/>
  <c r="AC53" i="1" a="1"/>
  <c r="AC53" i="1" s="1"/>
  <c r="X53" i="1" a="1"/>
  <c r="X53" i="1" s="1"/>
  <c r="S53" i="1" a="1"/>
  <c r="S53" i="1" s="1"/>
  <c r="N53" i="1" a="1"/>
  <c r="N53" i="1" s="1"/>
  <c r="I53" i="1" a="1"/>
  <c r="I53" i="1" s="1"/>
  <c r="AR52" i="1" a="1"/>
  <c r="AR52" i="1" s="1"/>
  <c r="AM52" i="1" a="1"/>
  <c r="AM52" i="1" s="1"/>
  <c r="AH52" i="1" a="1"/>
  <c r="AH52" i="1" s="1"/>
  <c r="AC52" i="1" a="1"/>
  <c r="AC52" i="1" s="1"/>
  <c r="X52" i="1" a="1"/>
  <c r="X52" i="1" s="1"/>
  <c r="S52" i="1" a="1"/>
  <c r="S52" i="1" s="1"/>
  <c r="N52" i="1" a="1"/>
  <c r="N52" i="1" s="1"/>
  <c r="I52" i="1" a="1"/>
  <c r="I52" i="1" s="1"/>
  <c r="AR51" i="1" a="1"/>
  <c r="AR51" i="1" s="1"/>
  <c r="AM51" i="1" a="1"/>
  <c r="AM51" i="1" s="1"/>
  <c r="AH51" i="1" a="1"/>
  <c r="AH51" i="1" s="1"/>
  <c r="AC51" i="1" a="1"/>
  <c r="AC51" i="1" s="1"/>
  <c r="X51" i="1" a="1"/>
  <c r="X51" i="1" s="1"/>
  <c r="S51" i="1" a="1"/>
  <c r="S51" i="1" s="1"/>
  <c r="N51" i="1" a="1"/>
  <c r="N51" i="1" s="1"/>
  <c r="I51" i="1" a="1"/>
  <c r="I51" i="1" s="1"/>
  <c r="AR50" i="1" a="1"/>
  <c r="AR50" i="1" s="1"/>
  <c r="AM50" i="1" a="1"/>
  <c r="AM50" i="1" s="1"/>
  <c r="AH50" i="1" a="1"/>
  <c r="AH50" i="1" s="1"/>
  <c r="AC50" i="1" a="1"/>
  <c r="AC50" i="1" s="1"/>
  <c r="X50" i="1" a="1"/>
  <c r="X50" i="1" s="1"/>
  <c r="S50" i="1" a="1"/>
  <c r="S50" i="1" s="1"/>
  <c r="N50" i="1" a="1"/>
  <c r="N50" i="1" s="1"/>
  <c r="I50" i="1" a="1"/>
  <c r="I50" i="1" s="1"/>
  <c r="AR49" i="1" a="1"/>
  <c r="AR49" i="1" s="1"/>
  <c r="AM49" i="1" a="1"/>
  <c r="AM49" i="1" s="1"/>
  <c r="AH49" i="1" a="1"/>
  <c r="AH49" i="1" s="1"/>
  <c r="AC49" i="1" a="1"/>
  <c r="AC49" i="1" s="1"/>
  <c r="X49" i="1" a="1"/>
  <c r="X49" i="1" s="1"/>
  <c r="S49" i="1" a="1"/>
  <c r="S49" i="1" s="1"/>
  <c r="N49" i="1" a="1"/>
  <c r="N49" i="1" s="1"/>
  <c r="I49" i="1" a="1"/>
  <c r="I49" i="1" s="1"/>
  <c r="AR48" i="1" a="1"/>
  <c r="AR48" i="1" s="1"/>
  <c r="AM48" i="1" a="1"/>
  <c r="AM48" i="1" s="1"/>
  <c r="AH48" i="1" a="1"/>
  <c r="AH48" i="1" s="1"/>
  <c r="AC48" i="1" a="1"/>
  <c r="AC48" i="1" s="1"/>
  <c r="X48" i="1" a="1"/>
  <c r="X48" i="1" s="1"/>
  <c r="S48" i="1" a="1"/>
  <c r="S48" i="1" s="1"/>
  <c r="N48" i="1" a="1"/>
  <c r="N48" i="1" s="1"/>
  <c r="I48" i="1" a="1"/>
  <c r="I48" i="1" s="1"/>
  <c r="AR47" i="1" a="1"/>
  <c r="AR47" i="1" s="1"/>
  <c r="AM47" i="1" a="1"/>
  <c r="AM47" i="1" s="1"/>
  <c r="AH47" i="1" a="1"/>
  <c r="AH47" i="1" s="1"/>
  <c r="AC47" i="1" a="1"/>
  <c r="AC47" i="1" s="1"/>
  <c r="X47" i="1" a="1"/>
  <c r="X47" i="1" s="1"/>
  <c r="S47" i="1" a="1"/>
  <c r="S47" i="1" s="1"/>
  <c r="N47" i="1" a="1"/>
  <c r="N47" i="1" s="1"/>
  <c r="I47" i="1" a="1"/>
  <c r="I47" i="1" s="1"/>
  <c r="AR46" i="1" a="1"/>
  <c r="AR46" i="1" s="1"/>
  <c r="AM46" i="1" a="1"/>
  <c r="AM46" i="1" s="1"/>
  <c r="AH46" i="1" a="1"/>
  <c r="AH46" i="1" s="1"/>
  <c r="AC46" i="1" a="1"/>
  <c r="AC46" i="1" s="1"/>
  <c r="X46" i="1" a="1"/>
  <c r="X46" i="1" s="1"/>
  <c r="S46" i="1" a="1"/>
  <c r="S46" i="1" s="1"/>
  <c r="N46" i="1" a="1"/>
  <c r="N46" i="1" s="1"/>
  <c r="I46" i="1" a="1"/>
  <c r="I46" i="1" s="1"/>
  <c r="AR45" i="1" a="1"/>
  <c r="AR45" i="1" s="1"/>
  <c r="AM45" i="1" a="1"/>
  <c r="AM45" i="1" s="1"/>
  <c r="AH45" i="1" a="1"/>
  <c r="AH45" i="1" s="1"/>
  <c r="AC45" i="1" a="1"/>
  <c r="AC45" i="1" s="1"/>
  <c r="X45" i="1"/>
  <c r="S45" i="1" a="1"/>
  <c r="S45" i="1"/>
  <c r="N45" i="1" a="1"/>
  <c r="N45" i="1"/>
  <c r="I45" i="1" a="1"/>
  <c r="I45" i="1"/>
  <c r="AT44" i="1"/>
  <c r="AR44" i="1"/>
  <c r="AO44" i="1"/>
  <c r="AM44" i="1"/>
  <c r="AJ44" i="1"/>
  <c r="AH44" i="1"/>
  <c r="AE44" i="1"/>
  <c r="AC44" i="1"/>
  <c r="Z44" i="1"/>
  <c r="X44" i="1"/>
  <c r="U44" i="1"/>
  <c r="S44" i="1"/>
  <c r="P44" i="1"/>
  <c r="N44" i="1"/>
  <c r="K44" i="1"/>
  <c r="I44" i="1"/>
  <c r="E42" i="1"/>
  <c r="O42" i="1" s="1"/>
  <c r="P42" i="1" s="1"/>
  <c r="E41" i="1"/>
  <c r="T41" i="1" s="1"/>
  <c r="U41" i="1" s="1"/>
  <c r="E40" i="1"/>
  <c r="AI40" i="1" s="1"/>
  <c r="AJ40" i="1" s="1"/>
  <c r="AD39" i="1"/>
  <c r="AE39" i="1" s="1"/>
  <c r="E39" i="1"/>
  <c r="AI39" i="1" s="1"/>
  <c r="AJ39" i="1" s="1"/>
  <c r="E38" i="1"/>
  <c r="AD37" i="1"/>
  <c r="AE37" i="1" s="1"/>
  <c r="O37" i="1"/>
  <c r="P37" i="1" s="1"/>
  <c r="E37" i="1"/>
  <c r="AE36" i="1"/>
  <c r="E36" i="1"/>
  <c r="AD36" i="1" s="1"/>
  <c r="AN35" i="1"/>
  <c r="AO35" i="1" s="1"/>
  <c r="AI35" i="1"/>
  <c r="AJ35" i="1" s="1"/>
  <c r="T35" i="1"/>
  <c r="U35" i="1" s="1"/>
  <c r="E35" i="1"/>
  <c r="AD35" i="1" s="1"/>
  <c r="AE35" i="1" s="1"/>
  <c r="E34" i="1"/>
  <c r="O34" i="1" s="1"/>
  <c r="P34" i="1" s="1"/>
  <c r="E33" i="1"/>
  <c r="E32" i="1"/>
  <c r="O32" i="1" s="1"/>
  <c r="P32" i="1" s="1"/>
  <c r="E31" i="1"/>
  <c r="O31" i="1" s="1"/>
  <c r="P31" i="1" s="1"/>
  <c r="E30" i="1"/>
  <c r="O30" i="1" s="1"/>
  <c r="E29" i="1"/>
  <c r="AS28" i="1"/>
  <c r="AT28" i="1" s="1"/>
  <c r="E28" i="1"/>
  <c r="AN28" i="1" s="1"/>
  <c r="AO28" i="1" s="1"/>
  <c r="E27" i="1"/>
  <c r="AD27" i="1" s="1"/>
  <c r="AE27" i="1" s="1"/>
  <c r="E26" i="1"/>
  <c r="T26" i="1" s="1"/>
  <c r="U26" i="1" s="1"/>
  <c r="E25" i="1"/>
  <c r="E24" i="1"/>
  <c r="E23" i="1"/>
  <c r="E22" i="1"/>
  <c r="AS22" i="1" s="1"/>
  <c r="AT22" i="1" s="1"/>
  <c r="E21" i="1"/>
  <c r="E20" i="1"/>
  <c r="E19" i="1"/>
  <c r="O19" i="1" s="1"/>
  <c r="P19" i="1" s="1"/>
  <c r="E18" i="1"/>
  <c r="AS18" i="1" s="1"/>
  <c r="AT18" i="1" s="1"/>
  <c r="E17" i="1"/>
  <c r="E16" i="1"/>
  <c r="E15" i="1"/>
  <c r="T15" i="1" s="1"/>
  <c r="U15" i="1" s="1"/>
  <c r="AD14" i="1"/>
  <c r="AE14" i="1" s="1"/>
  <c r="E14" i="1"/>
  <c r="AS14" i="1" s="1"/>
  <c r="AT14" i="1" s="1"/>
  <c r="AD13" i="1"/>
  <c r="AE13" i="1" s="1"/>
  <c r="E13" i="1"/>
  <c r="AI13" i="1" s="1"/>
  <c r="AJ13" i="1" s="1"/>
  <c r="AD12" i="1"/>
  <c r="AE12" i="1" s="1"/>
  <c r="O12" i="1"/>
  <c r="E12" i="1"/>
  <c r="AI12" i="1" s="1"/>
  <c r="AJ12" i="1" s="1"/>
  <c r="AD11" i="1"/>
  <c r="AE11" i="1" s="1"/>
  <c r="E11" i="1"/>
  <c r="Y11" i="1" s="1"/>
  <c r="Z11" i="1" s="1"/>
  <c r="AS10" i="1"/>
  <c r="AT10" i="1" s="1"/>
  <c r="AO10" i="1"/>
  <c r="AN10" i="1"/>
  <c r="Y10" i="1"/>
  <c r="Z10" i="1" s="1"/>
  <c r="T10" i="1"/>
  <c r="U10" i="1" s="1"/>
  <c r="E10" i="1"/>
  <c r="AI10" i="1" s="1"/>
  <c r="AJ10" i="1" s="1"/>
  <c r="E9" i="1"/>
  <c r="AI9" i="1" s="1"/>
  <c r="AJ9" i="1" s="1"/>
  <c r="AS8" i="1"/>
  <c r="AI8" i="1"/>
  <c r="AJ8" i="1" s="1"/>
  <c r="AD8" i="1"/>
  <c r="AE8" i="1" s="1"/>
  <c r="Y8" i="1"/>
  <c r="Z8" i="1" s="1"/>
  <c r="O8" i="1"/>
  <c r="P8" i="1" s="1"/>
  <c r="E8" i="1"/>
  <c r="AT8" i="1" s="1"/>
  <c r="E7" i="1"/>
  <c r="AD7" i="1" s="1"/>
  <c r="AE7" i="1" s="1"/>
  <c r="K3" i="1"/>
  <c r="G44" i="1"/>
  <c r="F37" i="1"/>
  <c r="F20" i="1"/>
  <c r="F16" i="1"/>
  <c r="F12" i="1"/>
  <c r="F8" i="1"/>
  <c r="F24" i="1"/>
  <c r="F29" i="1"/>
  <c r="F23" i="1"/>
  <c r="F17" i="1"/>
  <c r="F38" i="1"/>
  <c r="F31" i="1"/>
  <c r="F34" i="1"/>
  <c r="F21" i="1"/>
  <c r="F32" i="1"/>
  <c r="F25" i="1"/>
  <c r="Y9" i="1" l="1"/>
  <c r="Z9" i="1" s="1"/>
  <c r="T18" i="1"/>
  <c r="T22" i="1"/>
  <c r="U22" i="1" s="1"/>
  <c r="O27" i="1"/>
  <c r="AD33" i="1"/>
  <c r="AE33" i="1" s="1"/>
  <c r="O40" i="1"/>
  <c r="T42" i="1"/>
  <c r="U18" i="1"/>
  <c r="P12" i="1"/>
  <c r="AD18" i="1"/>
  <c r="AE18" i="1" s="1"/>
  <c r="AD22" i="1"/>
  <c r="AE22" i="1" s="1"/>
  <c r="T40" i="1"/>
  <c r="U40" i="1" s="1"/>
  <c r="AI42" i="1"/>
  <c r="AJ42" i="1" s="1"/>
  <c r="AS9" i="1"/>
  <c r="AT9" i="1" s="1"/>
  <c r="P30" i="1"/>
  <c r="T36" i="1"/>
  <c r="O39" i="1"/>
  <c r="AD40" i="1"/>
  <c r="AE40" i="1" s="1"/>
  <c r="AN9" i="1"/>
  <c r="AO9" i="1" s="1"/>
  <c r="O11" i="1"/>
  <c r="AI15" i="1"/>
  <c r="AJ15" i="1" s="1"/>
  <c r="AI19" i="1"/>
  <c r="AJ19" i="1" s="1"/>
  <c r="T28" i="1"/>
  <c r="U28" i="1" s="1"/>
  <c r="AD30" i="1"/>
  <c r="O35" i="1"/>
  <c r="U36" i="1"/>
  <c r="AS40" i="1"/>
  <c r="AT40" i="1" s="1"/>
  <c r="T9" i="1"/>
  <c r="U9" i="1" s="1"/>
  <c r="O13" i="1"/>
  <c r="AD28" i="1"/>
  <c r="AE28" i="1" s="1"/>
  <c r="Y35" i="1"/>
  <c r="Z35" i="1" s="1"/>
  <c r="AI41" i="1"/>
  <c r="AJ41" i="1" s="1"/>
  <c r="G25" i="1"/>
  <c r="G32" i="1"/>
  <c r="G8" i="1"/>
  <c r="G12" i="1"/>
  <c r="G16" i="1"/>
  <c r="G20" i="1"/>
  <c r="G37" i="1"/>
  <c r="G29" i="1"/>
  <c r="G38" i="1"/>
  <c r="G23" i="1"/>
  <c r="G24" i="1"/>
  <c r="G17" i="1"/>
  <c r="G21" i="1"/>
  <c r="Y7" i="1"/>
  <c r="Z7" i="1" s="1"/>
  <c r="AD15" i="1"/>
  <c r="AE15" i="1" s="1"/>
  <c r="AD19" i="1"/>
  <c r="AE19" i="1" s="1"/>
  <c r="AD41" i="1"/>
  <c r="AE41" i="1" s="1"/>
  <c r="AD26" i="1"/>
  <c r="AE26" i="1" s="1"/>
  <c r="AI7" i="1"/>
  <c r="AJ7" i="1" s="1"/>
  <c r="AN15" i="1"/>
  <c r="AO15" i="1" s="1"/>
  <c r="AS19" i="1"/>
  <c r="AT19" i="1" s="1"/>
  <c r="AI36" i="1"/>
  <c r="AJ36" i="1" s="1"/>
  <c r="O15" i="1"/>
  <c r="AI22" i="1"/>
  <c r="AJ22" i="1" s="1"/>
  <c r="AI28" i="1"/>
  <c r="AJ28" i="1" s="1"/>
  <c r="G34" i="1"/>
  <c r="O14" i="1"/>
  <c r="AI14" i="1"/>
  <c r="AJ14" i="1" s="1"/>
  <c r="AI26" i="1"/>
  <c r="AJ26" i="1" s="1"/>
  <c r="O7" i="1"/>
  <c r="AD9" i="1"/>
  <c r="AE9" i="1" s="1"/>
  <c r="AN14" i="1"/>
  <c r="AO14" i="1" s="1"/>
  <c r="O26" i="1"/>
  <c r="O41" i="1"/>
  <c r="T7" i="1"/>
  <c r="U7" i="1" s="1"/>
  <c r="O9" i="1"/>
  <c r="T19" i="1"/>
  <c r="G31" i="1"/>
  <c r="AD10" i="1"/>
  <c r="AE10" i="1" s="1"/>
  <c r="T14" i="1"/>
  <c r="U14" i="1" s="1"/>
  <c r="AI18" i="1"/>
  <c r="AJ18" i="1" s="1"/>
  <c r="O10" i="1"/>
  <c r="Y14" i="1"/>
  <c r="Z14" i="1" s="1"/>
  <c r="O18" i="1"/>
  <c r="O22" i="1"/>
  <c r="O28" i="1"/>
  <c r="O33" i="1"/>
  <c r="O36" i="1"/>
  <c r="F11" i="1"/>
  <c r="F13" i="1"/>
  <c r="F27" i="1"/>
  <c r="F30" i="1"/>
  <c r="F40" i="1"/>
  <c r="F39" i="1"/>
  <c r="F35" i="1"/>
  <c r="F42" i="1"/>
  <c r="F18" i="1"/>
  <c r="F15" i="1"/>
  <c r="F7" i="1"/>
  <c r="F22" i="1"/>
  <c r="F28" i="1"/>
  <c r="F36" i="1"/>
  <c r="F9" i="1"/>
  <c r="F33" i="1"/>
  <c r="F26" i="1"/>
  <c r="F19" i="1"/>
  <c r="F14" i="1"/>
  <c r="F41" i="1"/>
  <c r="F10" i="1"/>
  <c r="G42" i="1" l="1"/>
  <c r="G35" i="1"/>
  <c r="G39" i="1"/>
  <c r="G40" i="1"/>
  <c r="G30" i="1"/>
  <c r="G27" i="1"/>
  <c r="G13" i="1"/>
  <c r="G11" i="1"/>
  <c r="P35" i="1"/>
  <c r="AE30" i="1"/>
  <c r="AO3" i="1"/>
  <c r="U42" i="1"/>
  <c r="Z3" i="1"/>
  <c r="P27" i="1"/>
  <c r="AE3" i="1"/>
  <c r="P13" i="1"/>
  <c r="P40" i="1"/>
  <c r="AT3" i="1"/>
  <c r="P11" i="1"/>
  <c r="P39" i="1"/>
  <c r="G10" i="1"/>
  <c r="G41" i="1"/>
  <c r="G14" i="1"/>
  <c r="G19" i="1"/>
  <c r="G26" i="1"/>
  <c r="G33" i="1"/>
  <c r="G9" i="1"/>
  <c r="G36" i="1"/>
  <c r="G28" i="1"/>
  <c r="G22" i="1"/>
  <c r="G7" i="1"/>
  <c r="G15" i="1"/>
  <c r="G18" i="1"/>
  <c r="P10" i="1"/>
  <c r="P41" i="1"/>
  <c r="P14" i="1"/>
  <c r="U19" i="1"/>
  <c r="U3" i="1" s="1"/>
  <c r="P26" i="1"/>
  <c r="P33" i="1"/>
  <c r="AJ3" i="1"/>
  <c r="P9" i="1"/>
  <c r="P36" i="1"/>
  <c r="P28" i="1"/>
  <c r="P22" i="1"/>
  <c r="P7" i="1"/>
  <c r="P15" i="1"/>
  <c r="P18" i="1"/>
  <c r="P3" i="1" l="1"/>
  <c r="G3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$0.27      $2.67
    50   $0.19      $9.34
   100   $0.16     $16.00
   500   $0.12     $60.02
  1000   $0.10    $101.36
  2500   $0.10    $240.08
  5000   $0.09    $453.50</t>
        </r>
      </text>
    </comment>
    <comment ref="R7" authorId="0" shapeId="0" xr:uid="{00000000-0006-0000-0000-00003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7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£0.25      £1.27
    50   £0.15      £7.55
   250   £0.14     £34.25
   500   £0.12     £58.00
  1000   £0.11    £108.00
  2000   £0.10    £202.00
 10000   £0.10    £997.00</t>
        </r>
      </text>
    </comment>
    <comment ref="Y7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$0.11      $0.56
    50   $0.09      $4.44
   150   $0.08     $12.74
   500   $0.08     $40.40
  2500   $0.08    $197.50
  5000   $0.08    $390.50</t>
        </r>
      </text>
    </comment>
    <comment ref="AB7" authorId="0" shapeId="0" xr:uid="{00000000-0006-0000-0000-00003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7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$0.11     $10.90
  1000   $0.09     $92.00
 10000   $0.08    $810.00</t>
        </r>
      </text>
    </comment>
    <comment ref="AG7" authorId="0" shapeId="0" xr:uid="{00000000-0006-0000-0000-00003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7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$0.48      $2.38
    10   $0.33      $3.34
    25   $0.28      $7.10
    50   $0.23     $11.65
   100   $0.20     $20.00
   500   $0.15     $75.00</t>
        </r>
      </text>
    </comment>
    <comment ref="O8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50   $0.03      $1.59
   100   $0.03      $2.59
   500   $0.02      $9.26
  1000   $0.01     $14.55
  2000   $0.01     $26.40</t>
        </r>
      </text>
    </comment>
    <comment ref="Y8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$0.60
   500   $0.01      $4.45
  1500   $0.01     $12.45
  5000   $0.01     $39.00
 25000   $0.01    $187.50
 50000   $0.01    $370.00</t>
        </r>
      </text>
    </comment>
    <comment ref="AD8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$0.03      $1.50
   100   $0.02      $2.40
  1000   $0.01     $14.00
 10000   $0.01     $90.00</t>
        </r>
      </text>
    </comment>
    <comment ref="AG8" authorId="0" shapeId="0" xr:uid="{00000000-0006-0000-0000-00004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8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200000   $0.01  $2,600.00</t>
        </r>
      </text>
    </comment>
    <comment ref="AS8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£1.44
  1000   £0.01      £7.43
  2000   £0.01     £13.06</t>
        </r>
      </text>
    </comment>
    <comment ref="O9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$0.49
    50   $0.03      $1.34
   100   $0.02      $2.19
   500   $0.02      $7.83
  1000   $0.01     $12.30
  4000   $0.01     $41.16</t>
        </r>
      </text>
    </comment>
    <comment ref="T9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£0.28
   100   £0.02      £2.20
   150   £0.02      £3.30
   500   £0.02      £8.00
  1000   £0.01     £13.20
  2000   £0.01     £23.00
  4000   £0.01     £45.20
 20000   £0.01    £150.00</t>
        </r>
      </text>
    </comment>
    <comment ref="Y9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$0.36
   500   $0.01      $2.75
  1500   $0.01      $7.65
  5000   $0.00     $23.00
 25000   $0.00    $107.50
 50000   $0.00    $215.00</t>
        </r>
      </text>
    </comment>
    <comment ref="AD9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$0.02      $2.10
  1000   $0.01     $12.00
 10000   $0.01     $80.00</t>
        </r>
      </text>
    </comment>
    <comment ref="AI9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$0.06      $1.52
    50   $0.03      $1.65
   100   $0.03      $2.60
   250   $0.02      $5.75
   500   $0.02      $9.50
  4000   $0.01     $52.00</t>
        </r>
      </text>
    </comment>
    <comment ref="AN9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
  8000   £0.01     £64.00
 16000   £0.01    £112.00
 24000   £0.01    £144.00
 40000   £0.00    £200.00</t>
        </r>
      </text>
    </comment>
    <comment ref="AS9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£1.59
   300   £0.01      £3.25
  1000   £0.01      £7.10
  4000   £0.01     £20.28
 20000   £0.00     £96.60</t>
        </r>
      </text>
    </comment>
    <comment ref="M10" authorId="0" shapeId="0" xr:uid="{00000000-0006-0000-0000-00004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0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$0.02      $0.76
   100   $0.01      $1.24
   500   $0.01      $4.43
  1000   $0.01      $6.96
  4000   $0.01     $23.28</t>
        </r>
      </text>
    </comment>
    <comment ref="T10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£1.29
   150   £0.01      £1.94
   500   £0.01      £4.90
  1000   £0.01      £8.90
  2000   £0.01     £14.60
  4000   £0.01     £24.40
 20000   £0.00     £84.00</t>
        </r>
      </text>
    </comment>
    <comment ref="Y10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$0.36
  1000   $0.00      $2.70
  3000   $0.00      $7.80
 10000   $0.00     $24.00
 50000   $0.00    $115.00
100000   $0.00    $230.00</t>
        </r>
      </text>
    </comment>
    <comment ref="AD10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$0.03      $1.50
   100   $0.01      $1.40
  1000   $0.01      $8.00
 10000   $0.00     $40.00</t>
        </r>
      </text>
    </comment>
    <comment ref="AI10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$0.04      $0.88
    50   $0.02      $0.95
   100   $0.02      $1.50
   250   $0.01      $3.50
   500   $0.01      $5.50
  4000   $0.01     $24.00</t>
        </r>
      </text>
    </comment>
    <comment ref="AN10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£0.00     £20.00
  8000   £0.00     £40.00
 16000   £0.00     £80.00
 24000   £0.00     £96.00
 40000   £0.00    £120.00</t>
        </r>
      </text>
    </comment>
    <comment ref="AS10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£1.14
   300   £0.01      £2.47
  1000   £0.00      £4.94
  4000   £0.00     £13.16
 20000   £0.00     £62.20</t>
        </r>
      </text>
    </comment>
    <comment ref="O11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$0.82
   100   $0.01      $1.34
   500   $0.01      $4.79
  1000   $0.01      $7.53
  2500   $0.01     $17.10
  5000   $0.01     $31.50
 15000   $0.01     $82.05</t>
        </r>
      </text>
    </comment>
    <comment ref="Y11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$0.40
   500   $0.01      $3.05
  1500   $0.01      $8.55
  5000   $0.01     $27.00
 25000   $0.01    $132.50
 50000   $0.01    $260.00</t>
        </r>
      </text>
    </comment>
    <comment ref="AB11" authorId="0" shapeId="0" xr:uid="{00000000-0006-0000-0000-00005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1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 50   $0.02      $0.85
   100   $0.01      $1.40
  1000   $0.01      $8.00
 10000   $0.00     $50.00</t>
        </r>
      </text>
    </comment>
    <comment ref="O12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$0.51      $5.12
    50   $0.41     $20.47
   100   $0.35     $35.09
   500   $0.28    $138.88
  1000   $0.23    $233.90
  2000   $0.22    $438.58</t>
        </r>
      </text>
    </comment>
    <comment ref="AD12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$0.54      $5.35
    50   $0.54     $26.75
   100   $0.37     $36.60
  1000   $0.24    $244.00
 10000   $0.22  $2,220.00</t>
        </r>
      </text>
    </comment>
    <comment ref="AG12" authorId="0" shapeId="0" xr:uid="{00000000-0006-0000-0000-00005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2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(USD):
  Qty  -  Unit$  -  Ext$
================
  2000   $0.29    $580.00</t>
        </r>
      </text>
    </comment>
    <comment ref="O13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$1.39
   100   $0.06      $6.48
   500   $0.06     $29.89
  1000   $0.05     $46.83
  2000   $0.05     $91.68
  4000   $0.05    $183.36
  8000   $0.04    $318.88
 12000   $0.04    $430.44
 28000   $0.03    $892.64
100000   $0.03  $2,820.00</t>
        </r>
      </text>
    </comment>
    <comment ref="AD13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$0.18      $1.78
    50   $0.18      $8.90
   100   $0.07      $6.80
  1000   $0.04     $44.00
 10000   $0.03    $340.00</t>
        </r>
      </text>
    </comment>
    <comment ref="AG13" authorId="0" shapeId="0" xr:uid="{00000000-0006-0000-0000-00006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3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$112.00
  8000   $0.03    $224.00
 32000   $0.03    $896.00
400000   $0.03 $11,200.00</t>
        </r>
      </text>
    </comment>
    <comment ref="M14" authorId="0" shapeId="0" xr:uid="{00000000-0006-0000-0000-00006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$1.59
   100   $0.09      $8.65
   500   $0.05     $26.62
  1000   $0.04     $36.30
  3000   $0.03     $92.55
  6000   $0.03    $166.98
 15000   $0.02    $363.00
 30000   $0.02    $653.40
 75000   $0.02  $1,452.00</t>
        </r>
      </text>
    </comment>
    <comment ref="T14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£0.18      £0.88
    10   £0.15      £1.50
   100   £0.06      £6.21
   150   £0.06      £9.32
   500   £0.05     £23.15
  1000   £0.02     £23.80</t>
        </r>
      </text>
    </comment>
    <comment ref="Y14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20   $0.03      $0.57
   200   $0.02      $4.40
   600   $0.02     $12.24
  2000   $0.02     $36.80
 10000   $0.02    $174.00
 20000   $0.02    $346.00</t>
        </r>
      </text>
    </comment>
    <comment ref="AB14" authorId="0" shapeId="0" xr:uid="{00000000-0006-0000-0000-00006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4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$1.59
    50   $0.16      $7.95
   100   $0.09      $8.70
  1000   $0.04     $37.00
 10000   $0.02    $240.00</t>
        </r>
      </text>
    </comment>
    <comment ref="AI14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$1.62
    25   $0.13      $3.20
    50   $0.09      $4.65
   100   $0.06      $5.90
   250   $0.05     $13.25
   500   $0.05     $23.00
  1000   $0.04     $40.00
  3000   $0.01     $33.00</t>
        </r>
      </text>
    </comment>
    <comment ref="AN14" authorId="0" shapeId="0" xr:uid="{00000000-0006-0000-0000-000069000000}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£0.05      £9.40
  1000   £0.04     £43.00
  2000   £0.04     £82.00
  5000   £0.04    £200.00
 10000   £0.04    £400.00</t>
        </r>
      </text>
    </comment>
    <comment ref="AQ14" authorId="0" shapeId="0" xr:uid="{00000000-0006-0000-0000-00006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14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£0.02      £0.61
   100   £0.01      £1.34
   500   £0.01      £5.40
  1000   £0.01     £10.10
  3000   £0.01     £27.30</t>
        </r>
      </text>
    </comment>
    <comment ref="O15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50   $0.17      $8.40
   100   $0.16     $15.50
   500   $0.15     $74.00
  1000   $0.14    $141.00
  2000   $0.13    $268.00
  4000   $0.10    $380.00</t>
        </r>
      </text>
    </comment>
    <comment ref="T15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£1.93
   100   £0.14     £13.50
   150   £0.14     £20.25
   500   £0.11     £55.50
  1000   £0.11    £106.00
  2000   £0.10    £202.00
  4000   £0.07    £286.80
 20000   £0.07  £1,406.00</t>
        </r>
      </text>
    </comment>
    <comment ref="AD15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$0.18      $1.80
    50   $0.17      $8.70
   100   $0.16     $16.00
  1000   $0.15    $146.00
 10000   $0.08    $820.00</t>
        </r>
      </text>
    </comment>
    <comment ref="AI15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$0.96
    25   $0.10      $2.40
    50   $0.10      $4.80
   100   $0.10      $9.60</t>
        </r>
      </text>
    </comment>
    <comment ref="AN15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£0.14     £13.50
  1000   £0.09     £93.00
  2500   £0.08    £207.50
  5000   £0.07    £365.00
 10000   £0.07    £690.00</t>
        </r>
      </text>
    </comment>
    <comment ref="O18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$0.75      $7.48
   100   $0.57     $57.31
   500   $0.50    $249.19
  1000   $0.41    $411.16
  5000   $0.36  $1,806.60
 10000   $0.34  $3,364.00</t>
        </r>
      </text>
    </comment>
    <comment ref="T18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62   £0.46     £28.83
   187   £0.41     £76.11
   500   £0.39    £193.50
  1250   £0.32    £400.00
  2500   £0.27    £682.50
 12500   £0.25  £3,125.00
 25000   £0.24  £6,125.00
 50000   £0.24 £12,000.00</t>
        </r>
      </text>
    </comment>
    <comment ref="AD18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$0.59      $5.92
    50   $0.59     $29.60
   100   $0.52     $51.80
  1000   $0.41    $407.00
 10000   $0.34  $3,420.00</t>
        </r>
      </text>
    </comment>
    <comment ref="AI18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25   $0.41     $10.30
   100   $0.41     $41.20
   250   $0.41    $103.00
   500   $0.38    $190.00
  1000   $0.38    $380.00
  2500   $0.35    $870.00
  5000   $0.34  $1,690.00
 10000   $0.33  $3,280.00
 15000   $0.32  $4,875.00
 25000   $0.32  $8,025.00</t>
        </r>
      </text>
    </comment>
    <comment ref="AS18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(GBP):
  Qty  -  Unit£  -  Ext£
================
     2   £0.49      £0.98
    50   £0.41     £20.28
   100   £0.30     £30.00
  2500   £0.24    £596.75
  5000   £0.29  £1,450.00
 10000   £0.23  £2,317.00</t>
        </r>
      </text>
    </comment>
    <comment ref="O19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$0.75      $7.48
   100   $0.57     $57.31
   500   $0.50    $249.19
  1000   $0.41    $411.16
  5000   $0.36  $1,806.60
 10000   $0.34  $3,364.00</t>
        </r>
      </text>
    </comment>
    <comment ref="T19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62   £0.46     £28.83
   187   £0.41     £76.11
   500   £0.39    £193.50
  1250   £0.32    £400.00
  2500   £0.27    £682.50
 12500   £0.25  £3,125.00
 25000   £0.24  £6,125.00
 50000   £0.24 £12,000.00</t>
        </r>
      </text>
    </comment>
    <comment ref="AD19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$0.59      $5.92
    50   $0.59     $29.60
   100   $0.52     $51.80
  1000   $0.41    $407.00
 10000   $0.34  $3,420.00</t>
        </r>
      </text>
    </comment>
    <comment ref="AI19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25   $0.41     $10.30
   100   $0.41     $41.20
   250   $0.41    $103.00
   500   $0.38    $190.00
  1000   $0.38    $380.00
  2500   $0.35    $870.00
  5000   $0.34  $1,690.00
 10000   $0.33  $3,280.00
 15000   $0.32  $4,875.00
 25000   $0.32  $8,025.00</t>
        </r>
      </text>
    </comment>
    <comment ref="AS19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(GBP):
  Qty  -  Unit£  -  Ext£
================
     2   £0.49      £0.98
    50   £0.41     £20.28
   100   £0.30     £30.00
  2500   £0.24    £596.75
  5000   £0.29  £1,450.00
 10000   £0.23  £2,317.00</t>
        </r>
      </text>
    </comment>
    <comment ref="O22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$0.75      $7.48
   100   $0.57     $57.31
   500   $0.50    $249.19
  1000   $0.41    $411.16
  5000   $0.36  $1,806.60
 10000   $0.34  $3,364.00</t>
        </r>
      </text>
    </comment>
    <comment ref="T22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62   £0.46     £28.83
   187   £0.41     £76.11
   500   £0.39    £193.50
  1250   £0.32    £400.00
  2500   £0.27    £682.50
 12500   £0.25  £3,125.00
 25000   £0.24  £6,125.00
 50000   £0.24 £12,000.00</t>
        </r>
      </text>
    </comment>
    <comment ref="AD22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$0.59      $5.92
    50   $0.59     $29.60
   100   $0.52     $51.80
  1000   $0.41    $407.00
 10000   $0.34  $3,420.00</t>
        </r>
      </text>
    </comment>
    <comment ref="AI22" authorId="0" shapeId="0" xr:uid="{00000000-0006-0000-0000-00007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25   $0.41     $10.30
   100   $0.41     $41.20
   250   $0.41    $103.00
   500   $0.38    $190.00
  1000   $0.38    $380.00
  2500   $0.35    $870.00
  5000   $0.34  $1,690.00
 10000   $0.33  $3,280.00
 15000   $0.32  $4,875.00
 25000   $0.32  $8,025.00</t>
        </r>
      </text>
    </comment>
    <comment ref="AS22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(GBP):
  Qty  -  Unit£  -  Ext£
================
     2   £0.49      £0.98
    50   £0.41     £20.28
   100   £0.30     £30.00
  2500   £0.24    £596.75
  5000   £0.29  £1,450.00
 10000   £0.23  £2,317.00</t>
        </r>
      </text>
    </comment>
    <comment ref="O26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$1.18
    25   $0.10      $2.62
    50   $0.09      $4.46
   100   $0.08      $7.88
   250   $0.07     $18.05
   500   $0.07     $32.81
  1000   $0.06     $55.12
  2000   $0.06    $110.26
  4000   $0.05    $189.00</t>
        </r>
      </text>
    </comment>
    <comment ref="T26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50   £0.08      £4.12
   150   £0.08     £12.34
   250   £0.05     £13.55
   500   £0.05     £23.70
  1000   £0.04     £40.40
  2000   £0.04     £77.00
 10000   £0.03    £321.00</t>
        </r>
      </text>
    </comment>
    <comment ref="AD26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$0.08      $0.85
    50   $0.08      $4.25
   100   $0.07      $6.90
  1000   $0.05     $53.00
 10000   $0.04    $380.00</t>
        </r>
      </text>
    </comment>
    <comment ref="AI26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$0.03      $0.28
    25   $0.03      $0.70
    50   $0.03      $1.40
   100   $0.03      $2.80</t>
        </r>
      </text>
    </comment>
    <comment ref="O27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$256.00</t>
        </r>
      </text>
    </comment>
    <comment ref="AB27" authorId="0" shapeId="0" xr:uid="{00000000-0006-0000-0000-00008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7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O28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$262.00</t>
        </r>
      </text>
    </comment>
    <comment ref="T28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£0.45
   100   £0.02      £1.73
   150   £0.02      £2.59
   500   £0.02      £7.95
  1000   £0.01     £11.50
  2500   £0.01     £26.25
  5000   £0.01     £42.50
 25000   £0.01    £155.00</t>
        </r>
      </text>
    </comment>
    <comment ref="AB28" authorId="0" shapeId="0" xr:uid="{00000000-0006-0000-0000-00008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8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$0.45
    50   $0.04      $2.25
   100   $0.02      $1.50
  1000   $0.01      $9.00
 10000   $0.01     $60.00</t>
        </r>
      </text>
    </comment>
    <comment ref="AI28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$0.45
    25   $0.04      $0.88
    50   $0.02      $1.25
   100   $0.02      $1.50
  5000   $0.01     $35.00
 10000   $0.01     $60.00</t>
        </r>
      </text>
    </comment>
    <comment ref="AN28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
 10000   £0.00     £50.00
 15000   £0.00     £60.00
 20000   £0.00     £80.00</t>
        </r>
      </text>
    </comment>
    <comment ref="AQ28" authorId="0" shapeId="0" xr:uid="{00000000-0006-0000-0000-00008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28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£1.00
  1000   £0.01      £5.28
  5000   £0.00     £15.05
 20000   £0.00     £54.60</t>
        </r>
      </text>
    </comment>
    <comment ref="O30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$0.12      $1.17
   100   $0.05      $4.59
  1000   $0.02     $19.22
  2500   $0.02     $44.05
  5000   $0.02     $80.10
 10000   $0.01    $149.50
 25000   $0.01    $355.00</t>
        </r>
      </text>
    </comment>
    <comment ref="AD30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$0.96
    50   $0.10      $4.80
   100   $0.03      $3.10
  1000   $0.02     $22.00
 10000   $0.02    $150.00</t>
        </r>
      </text>
    </comment>
    <comment ref="O31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$0.11      $1.10
    25   $0.08      $2.00
    50   $0.06      $2.90
   100   $0.04      $4.30
   250   $0.03      $8.25
   500   $0.03     $13.00
  1000   $0.02     $18.00
  5000   $0.02     $75.00
 10000   $0.01    $140.00
 25000   $0.01    $340.00</t>
        </r>
      </text>
    </comment>
    <comment ref="O32" authorId="0" shapeId="0" xr:uid="{00000000-0006-0000-0000-00009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100   $0.02      $2.36
  1000   $0.01     $10.60
  2500   $0.01     $23.00
  5000   $0.01     $38.00
 10000   $0.01     $66.00
 25000   $0.01    $145.00
 50000   $0.01    $272.00</t>
        </r>
      </text>
    </comment>
    <comment ref="O33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$256.00</t>
        </r>
      </text>
    </comment>
    <comment ref="AB33" authorId="0" shapeId="0" xr:uid="{00000000-0006-0000-0000-00009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3" authorId="0" shapeId="0" xr:uid="{00000000-0006-0000-0000-00009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O34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$1.94      $1.94
    10   $1.30     $12.95
   100   $1.00     $99.68
   500   $0.90    $450.54
  1000   $0.80    $796.95</t>
        </r>
      </text>
    </comment>
    <comment ref="O35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$0.56      $5.56
    25   $0.52     $12.98
   100   $0.42     $41.55
   250   $0.39     $96.46
   500   $0.33    $163.24
  1000   $0.25    $252.28
  2500   $0.23    $584.50</t>
        </r>
      </text>
    </comment>
    <comment ref="T35" authorId="0" shapeId="0" xr:uid="{00000000-0006-0000-0000-000098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£0.47      £4.71
   100   £0.32     £31.50
   500   £0.27    £133.50
  1000   £0.21    £207.00
  2500   £0.19    £470.00
  5000   £0.18    £875.00</t>
        </r>
      </text>
    </comment>
    <comment ref="Y35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$0.34      $3.45
    30   $0.33      $9.97
   100   $0.32     $32.02
   500   $0.31    $157.35
  1000   $0.31    $312.00</t>
        </r>
      </text>
    </comment>
    <comment ref="AD35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$0.52      $5.20
    50   $0.52     $26.00
   100   $0.39     $38.60
  1000   $0.25    $253.00
 10000   $0.23  $2,290.00</t>
        </r>
      </text>
    </comment>
    <comment ref="AI35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$0.78      $7.83
    25   $0.74     $18.48
    50   $0.70     $34.90
   100   $0.65     $65.20
   250   $0.62    $154.50</t>
        </r>
      </text>
    </comment>
    <comment ref="AN35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£0.44      £2.21
    50   £0.43     £21.40
   100   £0.41     £41.40
   250   £0.40    £101.00
   500   £0.40    £199.00</t>
        </r>
      </text>
    </comment>
    <comment ref="O36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$0.62      $6.23
    25   $0.58     $14.62
   100   $0.48     $47.74
   250   $0.44    $110.85
   500   $0.38    $188.68
  1000   $0.30    $301.89
  2500   $0.30    $743.15</t>
        </r>
      </text>
    </comment>
    <comment ref="T36" authorId="0" shapeId="0" xr:uid="{00000000-0006-0000-0000-00009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£0.65      £0.65
    10   £0.52      £5.18
    50   £0.16      £8.20
   100   £0.36     £35.50
   150   £0.15     £22.50
   250   £0.15     £37.25
   500   £0.30    £151.00
  1000   £0.24    £242.00
  2500   £0.23    £575.00
  5000   £0.21  £1,035.00</t>
        </r>
      </text>
    </comment>
    <comment ref="AD36" authorId="0" shapeId="0" xr:uid="{00000000-0006-0000-0000-00009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$0.58      $5.85
    50   $0.58     $29.25
   100   $0.48     $47.80
  1000   $0.30    $302.00
 10000   $0.29  $2,870.00</t>
        </r>
      </text>
    </comment>
    <comment ref="AI36" authorId="0" shapeId="0" xr:uid="{00000000-0006-0000-0000-0000A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$0.73      $7.26
    25   $0.71     $17.78
    50   $0.70     $35.20
   100   $0.70     $69.90
   250   $0.69    $173.00</t>
        </r>
      </text>
    </comment>
    <comment ref="O37" authorId="0" shapeId="0" xr:uid="{00000000-0006-0000-0000-0000A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$14.69     $14.69
    10  $13.50    $135.02
    25  $12.94    $323.56
   100  $11.40  $1,140.35
   250  $11.02  $2,755.50
  1000  $11.02 $11,022.00</t>
        </r>
      </text>
    </comment>
    <comment ref="AD37" authorId="0" shapeId="0" xr:uid="{00000000-0006-0000-0000-0000A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$14.69     $14.69
    10  $13.50    $135.00
    50  $12.95    $647.50
   100  $11.41  $1,141.00
  1000  $10.33 $10,330.00
 10000  $10.33 $103,300.00</t>
        </r>
      </text>
    </comment>
    <comment ref="O39" authorId="0" shapeId="0" xr:uid="{00000000-0006-0000-0000-0000A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$7.69      $7.69
    10   $7.36     $73.57
    25   $6.69    $167.20
    50   $6.35    $317.68
   100   $6.19    $618.64
   250   $5.52  $1,379.40
   500   $5.22  $2,612.50</t>
        </r>
      </text>
    </comment>
    <comment ref="AD39" authorId="0" shapeId="0" xr:uid="{00000000-0006-0000-0000-0000A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$7.87      $7.87
    10   $7.81     $78.10
    50   $7.02    $351.00
   100   $6.03    $603.00
  1000   $5.18  $5,180.00
 10000   $5.18 $51,800.00</t>
        </r>
      </text>
    </comment>
    <comment ref="AG39" authorId="0" shapeId="0" xr:uid="{00000000-0006-0000-0000-0000A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9" authorId="0" shapeId="0" xr:uid="{00000000-0006-0000-0000-0000A6000000}">
      <text>
        <r>
          <rPr>
            <sz val="8"/>
            <color indexed="81"/>
            <rFont val="Tahoma"/>
            <family val="2"/>
          </rPr>
          <t>Qty/Price Breaks (USD):
  Qty  -  Unit$  -  Ext$
================
   100   $6.07    $607.00</t>
        </r>
      </text>
    </comment>
    <comment ref="O40" authorId="0" shapeId="0" xr:uid="{00000000-0006-0000-0000-0000A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25   $1.44     $36.03
   100   $1.30    $129.80</t>
        </r>
      </text>
    </comment>
    <comment ref="T40" authorId="0" shapeId="0" xr:uid="{00000000-0006-0000-0000-0000A8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£1.43      £1.43
    25   £1.31     £32.75
   100   £1.19    £119.00</t>
        </r>
      </text>
    </comment>
    <comment ref="AB40" authorId="0" shapeId="0" xr:uid="{00000000-0006-0000-0000-0000A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40" authorId="0" shapeId="0" xr:uid="{00000000-0006-0000-0000-0000A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$1.43     $14.30
    50   $1.31     $65.50
   100   $1.18    $118.00
  1000   $1.18  $1,180.00
 10000   $1.18 $11,800.00</t>
        </r>
      </text>
    </comment>
    <comment ref="AI40" authorId="0" shapeId="0" xr:uid="{00000000-0006-0000-0000-0000A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$1.79      $1.79
    10   $1.71     $17.10
    25   $1.64     $41.00
    50   $1.56     $78.00
   100   $1.48    $148.00</t>
        </r>
      </text>
    </comment>
    <comment ref="AS40" authorId="0" shapeId="0" xr:uid="{00000000-0006-0000-0000-0000A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£1.33      £1.33
     5   £1.28      £6.40
    25   £1.23     £30.75
   100   £1.14    £114.00</t>
        </r>
      </text>
    </comment>
    <comment ref="M41" authorId="0" shapeId="0" xr:uid="{00000000-0006-0000-0000-0000A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41" authorId="0" shapeId="0" xr:uid="{00000000-0006-0000-0000-0000A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25   $1.63     $40.75
   100   $1.48    $148.00
  3000   $1.48  $4,440.00</t>
        </r>
      </text>
    </comment>
    <comment ref="T41" authorId="0" shapeId="0" xr:uid="{00000000-0006-0000-0000-0000AF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£1.95      £1.95
    10   £1.95     £19.50
    25   £1.63     £40.75
   100   £1.48    £148.00</t>
        </r>
      </text>
    </comment>
    <comment ref="AB41" authorId="0" shapeId="0" xr:uid="{00000000-0006-0000-0000-0000B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41" authorId="0" shapeId="0" xr:uid="{00000000-0006-0000-0000-0000B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$1.95     $19.50
    50   $1.63     $81.50
   100   $1.48    $148.00
  1000   $1.48  $1,480.00
 10000   $1.48 $14,800.00</t>
        </r>
      </text>
    </comment>
    <comment ref="AI41" authorId="0" shapeId="0" xr:uid="{00000000-0006-0000-0000-0000B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$1.97     $19.70
    25   $1.85     $46.25
  3000   $1.48  $4,440.00</t>
        </r>
      </text>
    </comment>
    <comment ref="O42" authorId="0" shapeId="0" xr:uid="{00000000-0006-0000-0000-0000B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$1.59      $1.59
    10   $1.52     $15.23
    50   $1.49     $74.38
   100   $1.28    $127.51
   500   $1.24    $619.85
  1000   $1.04  $1,044.89</t>
        </r>
      </text>
    </comment>
    <comment ref="T42" authorId="0" shapeId="0" xr:uid="{00000000-0006-0000-0000-0000B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£1.42      £1.42
    10   £1.42     £14.20
    50   £0.84     £42.15
   100   £0.81     £81.30
   250   £0.78    £195.75
   500   £0.78    £388.00
  1000   £0.77    £769.00
  5000   £0.76  £3,810.00</t>
        </r>
      </text>
    </comment>
    <comment ref="AI42" authorId="0" shapeId="0" xr:uid="{00000000-0006-0000-0000-0000B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$2.16     $21.60
    25   $2.00     $50.00
    50   $1.80     $90.00
   100   $1.61    $161.00
   250   $1.40    $350.00
   500   $1.20    $600.00</t>
        </r>
      </text>
    </comment>
    <comment ref="F44" authorId="0" shapeId="0" xr:uid="{00000000-0006-0000-0000-0000B6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4" authorId="0" shapeId="0" xr:uid="{00000000-0006-0000-0000-0000B7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4" authorId="0" shapeId="0" xr:uid="{00000000-0006-0000-0000-0000B8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4" authorId="0" shapeId="0" xr:uid="{00000000-0006-0000-0000-0000B9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4" authorId="0" shapeId="0" xr:uid="{00000000-0006-0000-0000-0000B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4" authorId="0" shapeId="0" xr:uid="{00000000-0006-0000-0000-0000B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4" authorId="0" shapeId="0" xr:uid="{00000000-0006-0000-0000-0000BC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4" authorId="0" shapeId="0" xr:uid="{00000000-0006-0000-0000-0000B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44" authorId="0" shapeId="0" xr:uid="{00000000-0006-0000-0000-0000BE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5" authorId="0" shapeId="0" xr:uid="{00000000-0006-0000-0000-0000BF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45" authorId="0" shapeId="0" xr:uid="{00000000-0006-0000-0000-0000C000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<sst xmlns="http://schemas.openxmlformats.org/spreadsheetml/2006/main" count="332" uniqueCount="239">
  <si>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</si>
  <si>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</si>
  <si>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</si>
  <si>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</si>
  <si>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</si>
  <si>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</si>
  <si>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</si>
  <si>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</si>
  <si>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C18</t>
  </si>
  <si>
    <t>100uF</t>
  </si>
  <si>
    <t>CP_Radial_D8.0mm_P3.50mm</t>
  </si>
  <si>
    <t>35YXF100MEFC8X11.5</t>
  </si>
  <si>
    <t>C19,C20</t>
  </si>
  <si>
    <t>330nF</t>
  </si>
  <si>
    <t>C_0805_2012Metric_Pad1.18x1.45mm_HandSolder</t>
  </si>
  <si>
    <t>CL21B334KBFNNNE</t>
  </si>
  <si>
    <t>C21,C22</t>
  </si>
  <si>
    <t>100nF</t>
  </si>
  <si>
    <t>CL21B104KBCNNNC</t>
  </si>
  <si>
    <t>C27</t>
  </si>
  <si>
    <t>10nF</t>
  </si>
  <si>
    <t>C_0603_1608Metric_Pad1.08x0.95mm_HandSolder</t>
  </si>
  <si>
    <t>CL10B103KB8NNNC</t>
  </si>
  <si>
    <t>C1-C9,C13-C17,C25,C26,C28,C29</t>
  </si>
  <si>
    <t>CL10B104KB8NNNL</t>
  </si>
  <si>
    <t>C10-C12,C23,C24</t>
  </si>
  <si>
    <t>10uF</t>
  </si>
  <si>
    <t>CP_EIA-3528-21_Kemet-B_Pad1.50x2.35mm_HandSolder</t>
  </si>
  <si>
    <t>TCJB106M025R0100</t>
  </si>
  <si>
    <t>D1,D2,D4,D5</t>
  </si>
  <si>
    <t>LED</t>
  </si>
  <si>
    <t>LED_0805_2012Metric_Pad1.15x1.40mm_HandSolder</t>
  </si>
  <si>
    <t>LG R971-KN-1</t>
  </si>
  <si>
    <t>D6</t>
  </si>
  <si>
    <t>1N4148W</t>
  </si>
  <si>
    <t>D_SOD-123</t>
  </si>
  <si>
    <t>1N4148W-7-F</t>
  </si>
  <si>
    <t>FB1</t>
  </si>
  <si>
    <t>Ferrite_Bead_Small</t>
  </si>
  <si>
    <t>742792662</t>
  </si>
  <si>
    <t>H1-H4</t>
  </si>
  <si>
    <t>MountingHole</t>
  </si>
  <si>
    <t>MountingHole_3.2mm_M3</t>
  </si>
  <si>
    <t>J1</t>
  </si>
  <si>
    <t>Conn_01x06_Male</t>
  </si>
  <si>
    <t>PinHeader_1x06_P2.54mm_Vertical</t>
  </si>
  <si>
    <t>J10</t>
  </si>
  <si>
    <t>B</t>
  </si>
  <si>
    <t>TE_CONN_RCPT_10POS_0.1_TIN_PCB</t>
  </si>
  <si>
    <t>1-215079-0</t>
  </si>
  <si>
    <t>J15</t>
  </si>
  <si>
    <t>A</t>
  </si>
  <si>
    <t>J16</t>
  </si>
  <si>
    <t>+5VIN</t>
  </si>
  <si>
    <t>Pin_D1.0mm_L10.0mm</t>
  </si>
  <si>
    <t>J5</t>
  </si>
  <si>
    <t>COAXIN</t>
  </si>
  <si>
    <t>J6</t>
  </si>
  <si>
    <t>IN</t>
  </si>
  <si>
    <t>J7</t>
  </si>
  <si>
    <t>SEL</t>
  </si>
  <si>
    <t>PinHeader_1x03_P2.54mm_Vertical</t>
  </si>
  <si>
    <t>J8,J17</t>
  </si>
  <si>
    <t>GND</t>
  </si>
  <si>
    <t>JP1</t>
  </si>
  <si>
    <t>SolderJumper_3_Bridged12</t>
  </si>
  <si>
    <t>SolderJumper-3_P1.3mm_Bridged12_RoundedPad1.0x1.5mm_NumberLabels</t>
  </si>
  <si>
    <t>L1-L3</t>
  </si>
  <si>
    <t>47uH</t>
  </si>
  <si>
    <t>L_0805_2012Metric_Pad1.05x1.20mm_HandSolder</t>
  </si>
  <si>
    <t>MLZ2012M470WT000</t>
  </si>
  <si>
    <t>R1,R13</t>
  </si>
  <si>
    <t>4k99</t>
  </si>
  <si>
    <t>R_0603_1608Metric_Pad0.98x0.95mm_HandSolder</t>
  </si>
  <si>
    <t>RT0603FRE074K99L</t>
  </si>
  <si>
    <t>R12</t>
  </si>
  <si>
    <t>1k</t>
  </si>
  <si>
    <t>RT0603FRE071KL</t>
  </si>
  <si>
    <t>R19,R23</t>
  </si>
  <si>
    <t>NC</t>
  </si>
  <si>
    <t>R2,R3,R14,R15</t>
  </si>
  <si>
    <t>330R</t>
  </si>
  <si>
    <t>RT0603FRD07330RL</t>
  </si>
  <si>
    <t>R4,R20</t>
  </si>
  <si>
    <t>0R</t>
  </si>
  <si>
    <t>RK73Z1JLTD</t>
  </si>
  <si>
    <t>R6</t>
  </si>
  <si>
    <t>75R</t>
  </si>
  <si>
    <t>RNCP0603FTD75R0</t>
  </si>
  <si>
    <t>R7,R8,R16,R17,R22</t>
  </si>
  <si>
    <t>4K99</t>
  </si>
  <si>
    <t>U1,U2,U9</t>
  </si>
  <si>
    <t>PLR135-T10</t>
  </si>
  <si>
    <t>PLR135/T10</t>
  </si>
  <si>
    <t>U10</t>
  </si>
  <si>
    <t>TLV1117-33</t>
  </si>
  <si>
    <t>SOT-223-3_TabPin2</t>
  </si>
  <si>
    <t>TLV1117-33IDCYR</t>
  </si>
  <si>
    <t>U11</t>
  </si>
  <si>
    <t>TLV1117-18</t>
  </si>
  <si>
    <t>TLV1117-18CDCYR</t>
  </si>
  <si>
    <t>U3</t>
  </si>
  <si>
    <t>SRC4382/SRC4392</t>
  </si>
  <si>
    <t>TQFP-48_7x7mm_P0.5mm</t>
  </si>
  <si>
    <t>SRC4392IPFBR</t>
  </si>
  <si>
    <t>U4#1,U7#1,U12#1</t>
  </si>
  <si>
    <t>74LVC1G125 - p1/2</t>
  </si>
  <si>
    <t>SOT-353_SC-70-5_Handsoldering</t>
  </si>
  <si>
    <t>74LVC1G125GW</t>
  </si>
  <si>
    <t>U4#2,U7#2,U12#2</t>
  </si>
  <si>
    <t>74LVC1G125 - p2/2</t>
  </si>
  <si>
    <t>125</t>
  </si>
  <si>
    <t>U5</t>
  </si>
  <si>
    <t>PIC16F18446-I/SO</t>
  </si>
  <si>
    <t>SOIC-20W_7.5x12.8mm_P1.27mm</t>
  </si>
  <si>
    <t>U6</t>
  </si>
  <si>
    <t>PL133-37TI-R</t>
  </si>
  <si>
    <t>SOT-23-6</t>
  </si>
  <si>
    <t>U8</t>
  </si>
  <si>
    <t>ASDMB-xxxMHz</t>
  </si>
  <si>
    <t>Oscillator_SMD_EuroQuartz_XO91-4Pin_7.0x5.0mm_HandSoldering</t>
  </si>
  <si>
    <t>EC2620TS-24.576M TR</t>
  </si>
  <si>
    <t>Total Purchase:</t>
  </si>
  <si>
    <t>Purchase description:</t>
  </si>
  <si>
    <t>Used currency rates:</t>
  </si>
  <si>
    <t>USD($)/GBP(£):</t>
  </si>
  <si>
    <t>Prj:</t>
  </si>
  <si>
    <t>Async sample rate converter</t>
  </si>
  <si>
    <t>Co.:</t>
  </si>
  <si>
    <t>Prj date:</t>
  </si>
  <si>
    <t>2021 May 15, Saturday 16:26:50</t>
  </si>
  <si>
    <t>Board Qty:</t>
  </si>
  <si>
    <t>Total Cost:</t>
  </si>
  <si>
    <t>Unit Cost:</t>
  </si>
  <si>
    <t>$ date:</t>
  </si>
  <si>
    <t>2021-05-15 16:27:00</t>
  </si>
  <si>
    <t>Arrow</t>
  </si>
  <si>
    <t>Avail</t>
  </si>
  <si>
    <t>Purch</t>
  </si>
  <si>
    <t>Cat#</t>
  </si>
  <si>
    <t>Digi-Key</t>
  </si>
  <si>
    <t>1189-1885-ND</t>
  </si>
  <si>
    <t>1276-1123-1-ND</t>
  </si>
  <si>
    <t>1276-1003-1-ND</t>
  </si>
  <si>
    <t>1276-1009-1-ND</t>
  </si>
  <si>
    <t>NonStk</t>
  </si>
  <si>
    <t>1276-CL10B104KB8NNNLCT-ND</t>
  </si>
  <si>
    <t>478-8057-1-ND</t>
  </si>
  <si>
    <t>475-1410-1-ND</t>
  </si>
  <si>
    <t>1N4148W-FDICT-ND</t>
  </si>
  <si>
    <t>732-4670-1-ND</t>
  </si>
  <si>
    <t>A110869-ND</t>
  </si>
  <si>
    <t>445-6400-1-ND</t>
  </si>
  <si>
    <t>13-RT0603FRE074K99LCT-ND</t>
  </si>
  <si>
    <t>YAG2323CT-ND</t>
  </si>
  <si>
    <t>13-RT0603FRD07330RLCT-ND</t>
  </si>
  <si>
    <t>2019-RK73Z1JLTDCT-ND</t>
  </si>
  <si>
    <t>RNCP0603FTD75R0CT-ND</t>
  </si>
  <si>
    <t>1080-1433-ND</t>
  </si>
  <si>
    <t>296-21113-1-ND</t>
  </si>
  <si>
    <t>296-21108-1-ND</t>
  </si>
  <si>
    <t>296-19740-1-ND</t>
  </si>
  <si>
    <t>SC2032-ND</t>
  </si>
  <si>
    <t>PIC16F18446-I/SO-ND</t>
  </si>
  <si>
    <t>576-4933-1-ND</t>
  </si>
  <si>
    <t>2773-EC2620TS-24.576MCT-ND</t>
  </si>
  <si>
    <t>Farnell</t>
  </si>
  <si>
    <t>1144627</t>
  </si>
  <si>
    <t>3013476</t>
  </si>
  <si>
    <t>3013408</t>
  </si>
  <si>
    <t>1776392</t>
  </si>
  <si>
    <t>2894686</t>
  </si>
  <si>
    <t>2420386</t>
  </si>
  <si>
    <t>2215655</t>
  </si>
  <si>
    <t>1500584</t>
  </si>
  <si>
    <t>3007754</t>
  </si>
  <si>
    <t>3007749</t>
  </si>
  <si>
    <t>3577746</t>
  </si>
  <si>
    <t>2920738RL</t>
  </si>
  <si>
    <t>3572935</t>
  </si>
  <si>
    <t>LCSC</t>
  </si>
  <si>
    <t>C88834</t>
  </si>
  <si>
    <t>C73142</t>
  </si>
  <si>
    <t>C1711</t>
  </si>
  <si>
    <t>C1589</t>
  </si>
  <si>
    <t>C913912</t>
  </si>
  <si>
    <t>C83528</t>
  </si>
  <si>
    <t>C37359</t>
  </si>
  <si>
    <t>Mouser</t>
  </si>
  <si>
    <t>23235YXF100MEFC8X15</t>
  </si>
  <si>
    <t>187CL21B334KBFNNNE</t>
  </si>
  <si>
    <t>187CL21B104KBCNNNC</t>
  </si>
  <si>
    <t>187CL10B103KB8NNNC</t>
  </si>
  <si>
    <t>187CL10B104KB8NNNL</t>
  </si>
  <si>
    <t>581TCJB106M025R</t>
  </si>
  <si>
    <t>720LGR971KN1</t>
  </si>
  <si>
    <t>6211N4148WF</t>
  </si>
  <si>
    <t>710742792662</t>
  </si>
  <si>
    <t>57112150790</t>
  </si>
  <si>
    <t>810MLZ2012M470WT000</t>
  </si>
  <si>
    <t>603RT0603FRE074K99L</t>
  </si>
  <si>
    <t>603RT0603FRE071KL</t>
  </si>
  <si>
    <t>603RT0603FRD07330RL</t>
  </si>
  <si>
    <t>595TLV111733IDCYR</t>
  </si>
  <si>
    <t>595TLV111718CDCYR</t>
  </si>
  <si>
    <t>595SRC4392IPFBR</t>
  </si>
  <si>
    <t>502125</t>
  </si>
  <si>
    <t>579PIC16F18446I/SO</t>
  </si>
  <si>
    <t>998PL13337TIR</t>
  </si>
  <si>
    <t>Newark</t>
  </si>
  <si>
    <t>21M5651</t>
  </si>
  <si>
    <t>54AH2827</t>
  </si>
  <si>
    <t>82AC9427</t>
  </si>
  <si>
    <t>82AC9315</t>
  </si>
  <si>
    <t>96AC4254</t>
  </si>
  <si>
    <t>32AC1051</t>
  </si>
  <si>
    <t>52R3924</t>
  </si>
  <si>
    <t>62AC1055</t>
  </si>
  <si>
    <t>39AH6972</t>
  </si>
  <si>
    <t>05X0437</t>
  </si>
  <si>
    <t>62M2414</t>
  </si>
  <si>
    <t>26AJ9959</t>
  </si>
  <si>
    <t>86W6263</t>
  </si>
  <si>
    <t>22F248</t>
  </si>
  <si>
    <t>91AH8786</t>
  </si>
  <si>
    <t>72AC6298</t>
  </si>
  <si>
    <t>88AH6229</t>
  </si>
  <si>
    <t>RS Components</t>
  </si>
  <si>
    <t>7666177</t>
  </si>
  <si>
    <t>7665373</t>
  </si>
  <si>
    <t>7384728</t>
  </si>
  <si>
    <t>1241844</t>
  </si>
  <si>
    <t>1985483</t>
  </si>
  <si>
    <t>6613778</t>
  </si>
  <si>
    <t>TME</t>
  </si>
  <si>
    <t>1N4148W7F</t>
  </si>
  <si>
    <t>12150790/C</t>
  </si>
  <si>
    <t>PIC16F18446I/SO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</si>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</sst>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707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i=8078&amp;sig=0e520bb&amp;sid=27971&amp;ppid=21395620&amp;vpid=670518786&amp;ct=offers" TargetMode="External"/><Relationship Id="rId117" Type="http://schemas.openxmlformats.org/officeDocument/2006/relationships/hyperlink" Target="https://octopart.com/click/track?ai=8078&amp;sig=0b45ee0&amp;sid=11744&amp;ppid=12724270&amp;vpid=663680207&amp;ct=offers" TargetMode="External"/><Relationship Id="rId21" Type="http://schemas.openxmlformats.org/officeDocument/2006/relationships/hyperlink" Target="https://octopart.com/click/track?ai=8078&amp;sig=0edcec1&amp;sid=2401&amp;ppid=9299374&amp;vpid=659501108&amp;ct=offers" TargetMode="External"/><Relationship Id="rId42" Type="http://schemas.openxmlformats.org/officeDocument/2006/relationships/hyperlink" Target="https://octopart.com/click/track?ai=8078&amp;sig=08ccd64&amp;sid=459&amp;ppid=30515505&amp;vpid=87968010&amp;ct=offers" TargetMode="External"/><Relationship Id="rId47" Type="http://schemas.openxmlformats.org/officeDocument/2006/relationships/hyperlink" Target="http://datasheet.octopart.com/1-215079-0-TE-Connectivity-datasheet-11085200.pdf" TargetMode="External"/><Relationship Id="rId63" Type="http://schemas.openxmlformats.org/officeDocument/2006/relationships/hyperlink" Target="https://octopart.com/click/track?ai=8078&amp;sig=005d647&amp;sid=2402&amp;ppid=2022347&amp;vpid=592525653&amp;ct=offers" TargetMode="External"/><Relationship Id="rId68" Type="http://schemas.openxmlformats.org/officeDocument/2006/relationships/hyperlink" Target="https://octopart.com/click/track?ai=8078&amp;sig=0916f94&amp;sid=2402&amp;ppid=34829270&amp;vpid=418469666&amp;ct=offers" TargetMode="External"/><Relationship Id="rId84" Type="http://schemas.openxmlformats.org/officeDocument/2006/relationships/hyperlink" Target="https://octopart.com/click/track?c=1&amp;ai=8078&amp;sig=096f94e&amp;sid=459&amp;ppid=17677899&amp;vpid=43984197&amp;ct=offers" TargetMode="External"/><Relationship Id="rId89" Type="http://schemas.openxmlformats.org/officeDocument/2006/relationships/hyperlink" Target="https://octopart.com/click/track?ai=8078&amp;sig=0603a8a&amp;sid=2401&amp;ppid=669250&amp;vpid=37841963&amp;ct=offers" TargetMode="External"/><Relationship Id="rId112" Type="http://schemas.openxmlformats.org/officeDocument/2006/relationships/hyperlink" Target="https://octopart.com/click/track?ai=8078&amp;sig=09771fc&amp;sid=819&amp;ppid=66936830&amp;vpid=508136354&amp;ct=offers" TargetMode="External"/><Relationship Id="rId16" Type="http://schemas.openxmlformats.org/officeDocument/2006/relationships/hyperlink" Target="https://octopart.com/click/track?ai=8078&amp;sig=036f07f&amp;sid=10022&amp;ppid=9299352&amp;vpid=562866279&amp;ct=offers" TargetMode="External"/><Relationship Id="rId107" Type="http://schemas.openxmlformats.org/officeDocument/2006/relationships/hyperlink" Target="https://octopart.com/click/track?c=1&amp;ai=8078&amp;sig=04c3a1c&amp;sid=2401&amp;ppid=87693704&amp;vpid=464085311&amp;ct=offers" TargetMode="External"/><Relationship Id="rId11" Type="http://schemas.openxmlformats.org/officeDocument/2006/relationships/hyperlink" Target="https://octopart.com/click/track?ai=8078&amp;sig=0e879f3&amp;sid=459&amp;ppid=9299352&amp;vpid=72526069&amp;ct=offers" TargetMode="External"/><Relationship Id="rId32" Type="http://schemas.openxmlformats.org/officeDocument/2006/relationships/hyperlink" Target="https://octopart.com/click/track?ai=8078&amp;sig=0b6a00f&amp;sid=2401&amp;ppid=31090942&amp;vpid=90919796&amp;ct=offers" TargetMode="External"/><Relationship Id="rId37" Type="http://schemas.openxmlformats.org/officeDocument/2006/relationships/hyperlink" Target="https://octopart.com/click/track?ai=8078&amp;sig=0349c17&amp;sid=27971&amp;ppid=55386411&amp;vpid=445982004&amp;ct=offers" TargetMode="External"/><Relationship Id="rId53" Type="http://schemas.openxmlformats.org/officeDocument/2006/relationships/hyperlink" Target="http://datasheet.octopart.com/1-215079-0-TE-Connectivity-datasheet-11085200.pdf" TargetMode="External"/><Relationship Id="rId58" Type="http://schemas.openxmlformats.org/officeDocument/2006/relationships/hyperlink" Target="https://octopart.com/click/track?ai=8078&amp;sig=06de128&amp;sid=1532&amp;ppid=2022347&amp;vpid=709217388&amp;ct=offers" TargetMode="External"/><Relationship Id="rId74" Type="http://schemas.openxmlformats.org/officeDocument/2006/relationships/hyperlink" Target="https://octopart.com/click/track?c=1&amp;ai=8078&amp;sig=0f117fc&amp;sid=2402&amp;ppid=42273027&amp;vpid=115424745&amp;ct=offers" TargetMode="External"/><Relationship Id="rId79" Type="http://schemas.openxmlformats.org/officeDocument/2006/relationships/hyperlink" Target="https://octopart.com/click/track?ai=8078&amp;sig=0dc2dfc&amp;sid=459&amp;ppid=2164688&amp;vpid=598541725&amp;ct=offers" TargetMode="External"/><Relationship Id="rId102" Type="http://schemas.openxmlformats.org/officeDocument/2006/relationships/hyperlink" Target="https://octopart.com/click/track?ai=8078&amp;sig=08496e1&amp;sid=2401&amp;ppid=21555&amp;vpid=37624157&amp;ct=offers" TargetMode="External"/><Relationship Id="rId5" Type="http://schemas.openxmlformats.org/officeDocument/2006/relationships/hyperlink" Target="https://octopart.com/click/track?c=1&amp;ai=8078&amp;sig=07c35c1&amp;sid=2402&amp;ppid=19941867&amp;vpid=73972596&amp;ct=offers" TargetMode="External"/><Relationship Id="rId90" Type="http://schemas.openxmlformats.org/officeDocument/2006/relationships/hyperlink" Target="https://octopart.com/click/track?ai=8078&amp;sig=0650be8&amp;sid=2402&amp;ppid=669250&amp;vpid=702463550&amp;ct=offers" TargetMode="External"/><Relationship Id="rId95" Type="http://schemas.openxmlformats.org/officeDocument/2006/relationships/hyperlink" Target="https://octopart.com/click/track?ai=8078&amp;sig=07ffefb&amp;sid=2401&amp;ppid=669240&amp;vpid=37794902&amp;ct=offers" TargetMode="External"/><Relationship Id="rId22" Type="http://schemas.openxmlformats.org/officeDocument/2006/relationships/hyperlink" Target="https://octopart.com/click/track?ai=8078&amp;sig=00bc199&amp;sid=2402&amp;ppid=9299374&amp;vpid=511545493&amp;ct=offers" TargetMode="External"/><Relationship Id="rId27" Type="http://schemas.openxmlformats.org/officeDocument/2006/relationships/hyperlink" Target="https://octopart.com/click/track?c=1&amp;ai=8078&amp;sig=08c3023&amp;sid=2401&amp;ppid=21395620&amp;vpid=659501131&amp;ct=offers" TargetMode="External"/><Relationship Id="rId43" Type="http://schemas.openxmlformats.org/officeDocument/2006/relationships/hyperlink" Target="https://octopart.com/click/track?ai=8078&amp;sig=066386f&amp;sid=819&amp;ppid=30515505&amp;vpid=489917648&amp;ct=offers" TargetMode="External"/><Relationship Id="rId48" Type="http://schemas.openxmlformats.org/officeDocument/2006/relationships/hyperlink" Target="https://octopart.com/click/track?ai=8078&amp;sig=0a4da96&amp;sid=459&amp;ppid=2022347&amp;vpid=477161167&amp;ct=offers" TargetMode="External"/><Relationship Id="rId64" Type="http://schemas.openxmlformats.org/officeDocument/2006/relationships/hyperlink" Target="https://octopart.com/click/track?ai=8078&amp;sig=06de128&amp;sid=1532&amp;ppid=2022347&amp;vpid=709217388&amp;ct=offers" TargetMode="External"/><Relationship Id="rId69" Type="http://schemas.openxmlformats.org/officeDocument/2006/relationships/hyperlink" Target="https://octopart.com/click/track?ai=8078&amp;sig=0d20d33&amp;sid=459&amp;ppid=1269812&amp;vpid=634569547&amp;ct=offers" TargetMode="External"/><Relationship Id="rId113" Type="http://schemas.openxmlformats.org/officeDocument/2006/relationships/hyperlink" Target="https://octopart.com/click/track?c=1&amp;ai=8078&amp;sig=01aa4ab&amp;sid=2401&amp;ppid=66936830&amp;vpid=452442363&amp;ct=offers" TargetMode="External"/><Relationship Id="rId118" Type="http://schemas.openxmlformats.org/officeDocument/2006/relationships/hyperlink" Target="https://octopart.com/click/track?ai=8078&amp;sig=05b8448&amp;sid=2402&amp;ppid=12724270&amp;vpid=663932210&amp;ct=offers" TargetMode="External"/><Relationship Id="rId80" Type="http://schemas.openxmlformats.org/officeDocument/2006/relationships/hyperlink" Target="https://octopart.com/click/track?ai=8078&amp;sig=003273b&amp;sid=459&amp;ppid=19220335&amp;vpid=34424843&amp;ct=offers" TargetMode="External"/><Relationship Id="rId85" Type="http://schemas.openxmlformats.org/officeDocument/2006/relationships/hyperlink" Target="http://www.ti.com/lit/ds/symlink/tlv1117.pdf" TargetMode="External"/><Relationship Id="rId12" Type="http://schemas.openxmlformats.org/officeDocument/2006/relationships/hyperlink" Target="https://octopart.com/click/track?ai=8078&amp;sig=0a4e70f&amp;sid=819&amp;ppid=9299352&amp;vpid=541437407&amp;ct=offers" TargetMode="External"/><Relationship Id="rId17" Type="http://schemas.openxmlformats.org/officeDocument/2006/relationships/hyperlink" Target="https://octopart.com/click/track?ai=8078&amp;sig=0645956&amp;sid=1532&amp;ppid=9299352&amp;vpid=709157400&amp;ct=offers" TargetMode="External"/><Relationship Id="rId33" Type="http://schemas.openxmlformats.org/officeDocument/2006/relationships/hyperlink" Target="https://octopart.com/click/track?c=1&amp;ai=8078&amp;sig=0847876&amp;sid=2402&amp;ppid=31090942&amp;vpid=634323151&amp;ct=offers" TargetMode="External"/><Relationship Id="rId38" Type="http://schemas.openxmlformats.org/officeDocument/2006/relationships/hyperlink" Target="https://octopart.com/click/track?c=1&amp;ai=8078&amp;sig=09b5153&amp;sid=2401&amp;ppid=55386411&amp;vpid=187740178&amp;ct=offers" TargetMode="External"/><Relationship Id="rId59" Type="http://schemas.openxmlformats.org/officeDocument/2006/relationships/hyperlink" Target="http://datasheet.octopart.com/1-215079-0-TE-Connectivity-datasheet-11085200.pdf" TargetMode="External"/><Relationship Id="rId103" Type="http://schemas.openxmlformats.org/officeDocument/2006/relationships/hyperlink" Target="https://octopart.com/click/track?c=1&amp;ai=8078&amp;sig=0cc6c09&amp;sid=2402&amp;ppid=21555&amp;vpid=439627110&amp;ct=offers" TargetMode="External"/><Relationship Id="rId108" Type="http://schemas.openxmlformats.org/officeDocument/2006/relationships/hyperlink" Target="https://octopart.com/click/track?ai=8078&amp;sig=0ccb429&amp;sid=2402&amp;ppid=87693704&amp;vpid=667092206&amp;ct=offers" TargetMode="External"/><Relationship Id="rId54" Type="http://schemas.openxmlformats.org/officeDocument/2006/relationships/hyperlink" Target="https://octopart.com/click/track?ai=8078&amp;sig=0a4da96&amp;sid=459&amp;ppid=2022347&amp;vpid=477161167&amp;ct=offers" TargetMode="External"/><Relationship Id="rId70" Type="http://schemas.openxmlformats.org/officeDocument/2006/relationships/hyperlink" Target="https://octopart.com/click/track?c=1&amp;ai=8078&amp;sig=0650a84&amp;sid=2401&amp;ppid=1269812&amp;vpid=181778163&amp;ct=offers" TargetMode="External"/><Relationship Id="rId75" Type="http://schemas.openxmlformats.org/officeDocument/2006/relationships/hyperlink" Target="https://octopart.com/click/track?ai=8078&amp;sig=0155b74&amp;sid=10022&amp;ppid=42273027&amp;vpid=656589881&amp;ct=offers" TargetMode="External"/><Relationship Id="rId91" Type="http://schemas.openxmlformats.org/officeDocument/2006/relationships/hyperlink" Target="https://octopart.com/click/track?ai=8078&amp;sig=0fd91c5&amp;sid=10022&amp;ppid=669250&amp;vpid=199169991&amp;ct=offers" TargetMode="External"/><Relationship Id="rId96" Type="http://schemas.openxmlformats.org/officeDocument/2006/relationships/hyperlink" Target="https://octopart.com/click/track?ai=8078&amp;sig=085ba4f&amp;sid=2402&amp;ppid=669240&amp;vpid=77135728&amp;ct=offers" TargetMode="External"/><Relationship Id="rId1" Type="http://schemas.openxmlformats.org/officeDocument/2006/relationships/hyperlink" Target="https://octopart.com/click/track?ai=8078&amp;sig=026c989&amp;sid=459&amp;ppid=19941867&amp;vpid=57844286&amp;ct=offers" TargetMode="External"/><Relationship Id="rId6" Type="http://schemas.openxmlformats.org/officeDocument/2006/relationships/hyperlink" Target="https://octopart.com/click/track?ai=8078&amp;sig=01f53be&amp;sid=459&amp;ppid=9287149&amp;vpid=72526510&amp;ct=offers" TargetMode="External"/><Relationship Id="rId23" Type="http://schemas.openxmlformats.org/officeDocument/2006/relationships/hyperlink" Target="https://octopart.com/click/track?ai=8078&amp;sig=05b6e85&amp;sid=10022&amp;ppid=9299374&amp;vpid=562866046&amp;ct=offers" TargetMode="External"/><Relationship Id="rId28" Type="http://schemas.openxmlformats.org/officeDocument/2006/relationships/hyperlink" Target="https://octopart.com/click/track?ai=8078&amp;sig=059b88b&amp;sid=459&amp;ppid=22565215&amp;vpid=68511856&amp;ct=offers" TargetMode="External"/><Relationship Id="rId49" Type="http://schemas.openxmlformats.org/officeDocument/2006/relationships/hyperlink" Target="https://octopart.com/click/track?ai=8078&amp;sig=010f977&amp;sid=819&amp;ppid=2022347&amp;vpid=139713900&amp;ct=offers" TargetMode="External"/><Relationship Id="rId114" Type="http://schemas.openxmlformats.org/officeDocument/2006/relationships/hyperlink" Target="https://octopart.com/click/track?ai=8078&amp;sig=054ae81&amp;sid=2402&amp;ppid=66936830&amp;vpid=507295495&amp;ct=offers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octopart.com/click/track?ai=8078&amp;sig=0dc9e58&amp;sid=1532&amp;ppid=9287149&amp;vpid=709157442&amp;ct=offers" TargetMode="External"/><Relationship Id="rId31" Type="http://schemas.openxmlformats.org/officeDocument/2006/relationships/hyperlink" Target="https://octopart.com/click/track?ai=8078&amp;sig=0074ba2&amp;sid=459&amp;ppid=31090942&amp;vpid=90899258&amp;ct=offers" TargetMode="External"/><Relationship Id="rId44" Type="http://schemas.openxmlformats.org/officeDocument/2006/relationships/hyperlink" Target="https://octopart.com/click/track?ai=8078&amp;sig=05cb39d&amp;sid=2401&amp;ppid=30515505&amp;vpid=167331973&amp;ct=offers" TargetMode="External"/><Relationship Id="rId52" Type="http://schemas.openxmlformats.org/officeDocument/2006/relationships/hyperlink" Target="https://octopart.com/click/track?ai=8078&amp;sig=06de128&amp;sid=1532&amp;ppid=2022347&amp;vpid=709217388&amp;ct=offers" TargetMode="External"/><Relationship Id="rId60" Type="http://schemas.openxmlformats.org/officeDocument/2006/relationships/hyperlink" Target="https://octopart.com/click/track?ai=8078&amp;sig=0a4da96&amp;sid=459&amp;ppid=2022347&amp;vpid=477161167&amp;ct=offers" TargetMode="External"/><Relationship Id="rId65" Type="http://schemas.openxmlformats.org/officeDocument/2006/relationships/hyperlink" Target="https://octopart.com/click/track?ai=8078&amp;sig=08ec65f&amp;sid=459&amp;ppid=34829270&amp;vpid=104706609&amp;ct=offers" TargetMode="External"/><Relationship Id="rId73" Type="http://schemas.openxmlformats.org/officeDocument/2006/relationships/hyperlink" Target="https://octopart.com/click/track?c=1&amp;ai=8078&amp;sig=0e944ff&amp;sid=2401&amp;ppid=42273027&amp;vpid=115161160&amp;ct=offers" TargetMode="External"/><Relationship Id="rId78" Type="http://schemas.openxmlformats.org/officeDocument/2006/relationships/hyperlink" Target="https://octopart.com/click/track?ai=8078&amp;sig=0cdedd9&amp;sid=2401&amp;ppid=71395358&amp;vpid=459021150&amp;ct=offers" TargetMode="External"/><Relationship Id="rId81" Type="http://schemas.openxmlformats.org/officeDocument/2006/relationships/hyperlink" Target="https://octopart.com/click/track?ai=8078&amp;sig=0d20d33&amp;sid=459&amp;ppid=1269812&amp;vpid=634569547&amp;ct=offers" TargetMode="External"/><Relationship Id="rId86" Type="http://schemas.openxmlformats.org/officeDocument/2006/relationships/hyperlink" Target="https://octopart.com/click/track?ai=8078&amp;sig=0b68030&amp;sid=459&amp;ppid=669250&amp;vpid=1306888&amp;ct=offers" TargetMode="External"/><Relationship Id="rId94" Type="http://schemas.openxmlformats.org/officeDocument/2006/relationships/hyperlink" Target="https://octopart.com/click/track?ai=8078&amp;sig=08ac527&amp;sid=819&amp;ppid=669240&amp;vpid=575369234&amp;ct=offers" TargetMode="External"/><Relationship Id="rId99" Type="http://schemas.openxmlformats.org/officeDocument/2006/relationships/hyperlink" Target="http://www.ti.com/lit/sg/scyt129e/scyt129e.pdf" TargetMode="External"/><Relationship Id="rId101" Type="http://schemas.openxmlformats.org/officeDocument/2006/relationships/hyperlink" Target="https://octopart.com/click/track?ai=8078&amp;sig=03888bb&amp;sid=459&amp;ppid=21555&amp;vpid=78607225&amp;ct=offers" TargetMode="External"/><Relationship Id="rId4" Type="http://schemas.openxmlformats.org/officeDocument/2006/relationships/hyperlink" Target="https://octopart.com/click/track?c=1&amp;ai=8078&amp;sig=040ceb7&amp;sid=2401&amp;ppid=19941867&amp;vpid=586381616&amp;ct=offers" TargetMode="External"/><Relationship Id="rId9" Type="http://schemas.openxmlformats.org/officeDocument/2006/relationships/hyperlink" Target="https://octopart.com/click/track?c=1&amp;ai=8078&amp;sig=02e46f9&amp;sid=2402&amp;ppid=9287149&amp;vpid=609440549&amp;ct=offers" TargetMode="External"/><Relationship Id="rId13" Type="http://schemas.openxmlformats.org/officeDocument/2006/relationships/hyperlink" Target="https://octopart.com/click/track?ai=8078&amp;sig=0ca8200&amp;sid=27971&amp;ppid=9299352&amp;vpid=482958768&amp;ct=offers" TargetMode="External"/><Relationship Id="rId18" Type="http://schemas.openxmlformats.org/officeDocument/2006/relationships/hyperlink" Target="https://octopart.com/click/track?c=1&amp;ai=8078&amp;sig=0817279&amp;sid=459&amp;ppid=9299374&amp;vpid=72523832&amp;ct=offers" TargetMode="External"/><Relationship Id="rId39" Type="http://schemas.openxmlformats.org/officeDocument/2006/relationships/hyperlink" Target="https://octopart.com/click/track?ai=8078&amp;sig=0c52f9d&amp;sid=2402&amp;ppid=55386411&amp;vpid=609432768&amp;ct=offers" TargetMode="External"/><Relationship Id="rId109" Type="http://schemas.openxmlformats.org/officeDocument/2006/relationships/hyperlink" Target="https://octopart.com/click/track?ai=8078&amp;sig=029e791&amp;sid=1532&amp;ppid=87693704&amp;vpid=709083773&amp;ct=offers" TargetMode="External"/><Relationship Id="rId34" Type="http://schemas.openxmlformats.org/officeDocument/2006/relationships/hyperlink" Target="https://www.vishay.com/docs/85748/1n4148w.pdf" TargetMode="External"/><Relationship Id="rId50" Type="http://schemas.openxmlformats.org/officeDocument/2006/relationships/hyperlink" Target="https://octopart.com/click/track?ai=8078&amp;sig=0c57042&amp;sid=2401&amp;ppid=2022347&amp;vpid=116512797&amp;ct=offers" TargetMode="External"/><Relationship Id="rId55" Type="http://schemas.openxmlformats.org/officeDocument/2006/relationships/hyperlink" Target="https://octopart.com/click/track?ai=8078&amp;sig=010f977&amp;sid=819&amp;ppid=2022347&amp;vpid=139713900&amp;ct=offers" TargetMode="External"/><Relationship Id="rId76" Type="http://schemas.openxmlformats.org/officeDocument/2006/relationships/hyperlink" Target="https://octopart.com/click/track?ai=8078&amp;sig=0f6ab9b&amp;sid=1532&amp;ppid=42273027&amp;vpid=709259731&amp;ct=offers" TargetMode="External"/><Relationship Id="rId97" Type="http://schemas.openxmlformats.org/officeDocument/2006/relationships/hyperlink" Target="https://octopart.com/click/track?ai=8078&amp;sig=00f1f94&amp;sid=459&amp;ppid=421590&amp;vpid=1430390&amp;ct=offers" TargetMode="External"/><Relationship Id="rId104" Type="http://schemas.openxmlformats.org/officeDocument/2006/relationships/hyperlink" Target="http://ww1.microchip.com/downloads/en/DeviceDoc/41440C.pdf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s://octopart.com/click/track?ai=8078&amp;sig=038a4ee&amp;sid=27971&amp;ppid=9287149&amp;vpid=476994764&amp;ct=offers" TargetMode="External"/><Relationship Id="rId71" Type="http://schemas.openxmlformats.org/officeDocument/2006/relationships/hyperlink" Target="https://octopart.com/click/track?ai=8078&amp;sig=0d6f581&amp;sid=459&amp;ppid=42273027&amp;vpid=204086299&amp;ct=offers" TargetMode="External"/><Relationship Id="rId92" Type="http://schemas.openxmlformats.org/officeDocument/2006/relationships/hyperlink" Target="http://www.ti.com/lit/ds/symlink/tlv1117.pdf" TargetMode="External"/><Relationship Id="rId2" Type="http://schemas.openxmlformats.org/officeDocument/2006/relationships/hyperlink" Target="https://octopart.com/click/track?c=1&amp;ai=8078&amp;sig=09a267d&amp;sid=819&amp;ppid=19941867&amp;vpid=139428223&amp;ct=offers" TargetMode="External"/><Relationship Id="rId29" Type="http://schemas.openxmlformats.org/officeDocument/2006/relationships/hyperlink" Target="https://octopart.com/click/track?ai=8078&amp;sig=01454a6&amp;sid=2401&amp;ppid=22565215&amp;vpid=50096213&amp;ct=offers" TargetMode="External"/><Relationship Id="rId24" Type="http://schemas.openxmlformats.org/officeDocument/2006/relationships/hyperlink" Target="https://octopart.com/click/track?ai=8078&amp;sig=062d49a&amp;sid=1532&amp;ppid=9299374&amp;vpid=709157248&amp;ct=offers" TargetMode="External"/><Relationship Id="rId40" Type="http://schemas.openxmlformats.org/officeDocument/2006/relationships/hyperlink" Target="https://octopart.com/click/track?ai=8078&amp;sig=0970248&amp;sid=10022&amp;ppid=55386411&amp;vpid=199007022&amp;ct=offers" TargetMode="External"/><Relationship Id="rId45" Type="http://schemas.openxmlformats.org/officeDocument/2006/relationships/hyperlink" Target="https://octopart.com/click/track?ai=8078&amp;sig=0debe9e&amp;sid=2402&amp;ppid=30515505&amp;vpid=489692402&amp;ct=offers" TargetMode="External"/><Relationship Id="rId66" Type="http://schemas.openxmlformats.org/officeDocument/2006/relationships/hyperlink" Target="https://octopart.com/click/track?ai=8078&amp;sig=0213927&amp;sid=819&amp;ppid=34829270&amp;vpid=646964363&amp;ct=offers" TargetMode="External"/><Relationship Id="rId87" Type="http://schemas.openxmlformats.org/officeDocument/2006/relationships/hyperlink" Target="https://octopart.com/click/track?ai=8078&amp;sig=00857d9&amp;sid=819&amp;ppid=669250&amp;vpid=698032809&amp;ct=offers" TargetMode="External"/><Relationship Id="rId110" Type="http://schemas.openxmlformats.org/officeDocument/2006/relationships/hyperlink" Target="http://datasheet.octopart.com/PL133-37TI-R-Microchip-datasheet-147335889.pdf" TargetMode="External"/><Relationship Id="rId115" Type="http://schemas.openxmlformats.org/officeDocument/2006/relationships/hyperlink" Target="https://abracon.com/Oscillators/ASDMB.pdf" TargetMode="External"/><Relationship Id="rId61" Type="http://schemas.openxmlformats.org/officeDocument/2006/relationships/hyperlink" Target="https://octopart.com/click/track?ai=8078&amp;sig=010f977&amp;sid=819&amp;ppid=2022347&amp;vpid=139713900&amp;ct=offers" TargetMode="External"/><Relationship Id="rId82" Type="http://schemas.openxmlformats.org/officeDocument/2006/relationships/hyperlink" Target="https://octopart.com/click/track?c=1&amp;ai=8078&amp;sig=0650a84&amp;sid=2401&amp;ppid=1269812&amp;vpid=181778163&amp;ct=offers" TargetMode="External"/><Relationship Id="rId19" Type="http://schemas.openxmlformats.org/officeDocument/2006/relationships/hyperlink" Target="https://octopart.com/click/track?ai=8078&amp;sig=0e4ffb2&amp;sid=819&amp;ppid=9299374&amp;vpid=541437285&amp;ct=offers" TargetMode="External"/><Relationship Id="rId14" Type="http://schemas.openxmlformats.org/officeDocument/2006/relationships/hyperlink" Target="https://octopart.com/click/track?ai=8078&amp;sig=0d43504&amp;sid=2401&amp;ppid=9299352&amp;vpid=659501575&amp;ct=offers" TargetMode="External"/><Relationship Id="rId30" Type="http://schemas.openxmlformats.org/officeDocument/2006/relationships/hyperlink" Target="https://octopart.com/click/track?c=1&amp;ai=8078&amp;sig=04a61dc&amp;sid=2402&amp;ppid=22565215&amp;vpid=634293936&amp;ct=offers" TargetMode="External"/><Relationship Id="rId35" Type="http://schemas.openxmlformats.org/officeDocument/2006/relationships/hyperlink" Target="https://octopart.com/click/track?c=1&amp;ai=8078&amp;sig=071bd38&amp;sid=459&amp;ppid=55386411&amp;vpid=188018374&amp;ct=offers" TargetMode="External"/><Relationship Id="rId56" Type="http://schemas.openxmlformats.org/officeDocument/2006/relationships/hyperlink" Target="https://octopart.com/click/track?ai=8078&amp;sig=0c57042&amp;sid=2401&amp;ppid=2022347&amp;vpid=116512797&amp;ct=offers" TargetMode="External"/><Relationship Id="rId77" Type="http://schemas.openxmlformats.org/officeDocument/2006/relationships/hyperlink" Target="https://octopart.com/click/track?ai=8078&amp;sig=0106ed2&amp;sid=459&amp;ppid=71395358&amp;vpid=634568983&amp;ct=offers" TargetMode="External"/><Relationship Id="rId100" Type="http://schemas.openxmlformats.org/officeDocument/2006/relationships/hyperlink" Target="http://www.ti.com/lit/sg/scyt129e/scyt129e.pdf" TargetMode="External"/><Relationship Id="rId105" Type="http://schemas.openxmlformats.org/officeDocument/2006/relationships/hyperlink" Target="https://octopart.com/click/track?ai=8078&amp;sig=0c4c79a&amp;sid=459&amp;ppid=87693704&amp;vpid=463409030&amp;ct=offers" TargetMode="External"/><Relationship Id="rId8" Type="http://schemas.openxmlformats.org/officeDocument/2006/relationships/hyperlink" Target="https://octopart.com/click/track?ai=8078&amp;sig=0b75392&amp;sid=2401&amp;ppid=9287149&amp;vpid=659501741&amp;ct=offers" TargetMode="External"/><Relationship Id="rId51" Type="http://schemas.openxmlformats.org/officeDocument/2006/relationships/hyperlink" Target="https://octopart.com/click/track?ai=8078&amp;sig=005d647&amp;sid=2402&amp;ppid=2022347&amp;vpid=592525653&amp;ct=offers" TargetMode="External"/><Relationship Id="rId72" Type="http://schemas.openxmlformats.org/officeDocument/2006/relationships/hyperlink" Target="https://octopart.com/click/track?c=1&amp;ai=8078&amp;sig=0fd6dd1&amp;sid=819&amp;ppid=42273027&amp;vpid=478819594&amp;ct=offers" TargetMode="External"/><Relationship Id="rId93" Type="http://schemas.openxmlformats.org/officeDocument/2006/relationships/hyperlink" Target="https://octopart.com/click/track?ai=8078&amp;sig=0b2b0a7&amp;sid=459&amp;ppid=669240&amp;vpid=2065535&amp;ct=offers" TargetMode="External"/><Relationship Id="rId98" Type="http://schemas.openxmlformats.org/officeDocument/2006/relationships/hyperlink" Target="https://octopart.com/click/track?ai=8078&amp;sig=0c2fb1d&amp;sid=2401&amp;ppid=421590&amp;vpid=430023909&amp;ct=offers" TargetMode="External"/><Relationship Id="rId3" Type="http://schemas.openxmlformats.org/officeDocument/2006/relationships/hyperlink" Target="https://octopart.com/click/track?ai=8078&amp;sig=08b55e5&amp;sid=27971&amp;ppid=19941867&amp;vpid=445983906&amp;ct=offers" TargetMode="External"/><Relationship Id="rId25" Type="http://schemas.openxmlformats.org/officeDocument/2006/relationships/hyperlink" Target="https://octopart.com/click/track?ai=8078&amp;sig=0e9765d&amp;sid=459&amp;ppid=21395620&amp;vpid=578720948&amp;ct=offers" TargetMode="External"/><Relationship Id="rId46" Type="http://schemas.openxmlformats.org/officeDocument/2006/relationships/hyperlink" Target="https://octopart.com/click/track?ai=8078&amp;sig=0b58340&amp;sid=10022&amp;ppid=30515505&amp;vpid=278126642&amp;ct=offers" TargetMode="External"/><Relationship Id="rId67" Type="http://schemas.openxmlformats.org/officeDocument/2006/relationships/hyperlink" Target="https://octopart.com/click/track?ai=8078&amp;sig=0244d4b&amp;sid=2401&amp;ppid=34829270&amp;vpid=211700037&amp;ct=offers" TargetMode="External"/><Relationship Id="rId116" Type="http://schemas.openxmlformats.org/officeDocument/2006/relationships/hyperlink" Target="https://octopart.com/click/track?c=1&amp;ai=8078&amp;sig=08b0470&amp;sid=459&amp;ppid=12724270&amp;vpid=632006321&amp;ct=offers" TargetMode="External"/><Relationship Id="rId20" Type="http://schemas.openxmlformats.org/officeDocument/2006/relationships/hyperlink" Target="https://octopart.com/click/track?ai=8078&amp;sig=048adf3&amp;sid=27971&amp;ppid=9299374&amp;vpid=480959573&amp;ct=offers" TargetMode="External"/><Relationship Id="rId41" Type="http://schemas.openxmlformats.org/officeDocument/2006/relationships/hyperlink" Target="https://octopart.com/click/track?ai=8078&amp;sig=0e6062f&amp;sid=1532&amp;ppid=55386411&amp;vpid=707843144&amp;ct=offers" TargetMode="External"/><Relationship Id="rId62" Type="http://schemas.openxmlformats.org/officeDocument/2006/relationships/hyperlink" Target="https://octopart.com/click/track?ai=8078&amp;sig=0c57042&amp;sid=2401&amp;ppid=2022347&amp;vpid=116512797&amp;ct=offers" TargetMode="External"/><Relationship Id="rId83" Type="http://schemas.openxmlformats.org/officeDocument/2006/relationships/hyperlink" Target="http://datasheet.octopart.com/PLR135-T10-Everlight-datasheet-62268399.pdf" TargetMode="External"/><Relationship Id="rId88" Type="http://schemas.openxmlformats.org/officeDocument/2006/relationships/hyperlink" Target="https://octopart.com/click/track?ai=8078&amp;sig=0b4666a&amp;sid=27971&amp;ppid=669250&amp;vpid=445993144&amp;ct=offers" TargetMode="External"/><Relationship Id="rId111" Type="http://schemas.openxmlformats.org/officeDocument/2006/relationships/hyperlink" Target="https://octopart.com/click/track?c=1&amp;ai=8078&amp;sig=0157cc8&amp;sid=459&amp;ppid=66936830&amp;vpid=240075652&amp;ct=offers" TargetMode="External"/><Relationship Id="rId15" Type="http://schemas.openxmlformats.org/officeDocument/2006/relationships/hyperlink" Target="https://octopart.com/click/track?ai=8078&amp;sig=01ecfe9&amp;sid=2402&amp;ppid=9299352&amp;vpid=511545753&amp;ct=offers" TargetMode="External"/><Relationship Id="rId36" Type="http://schemas.openxmlformats.org/officeDocument/2006/relationships/hyperlink" Target="https://octopart.com/click/track?c=1&amp;ai=8078&amp;sig=02a684e&amp;sid=819&amp;ppid=55386411&amp;vpid=606105427&amp;ct=offers" TargetMode="External"/><Relationship Id="rId57" Type="http://schemas.openxmlformats.org/officeDocument/2006/relationships/hyperlink" Target="https://octopart.com/click/track?ai=8078&amp;sig=005d647&amp;sid=2402&amp;ppid=2022347&amp;vpid=592525653&amp;ct=offers" TargetMode="External"/><Relationship Id="rId106" Type="http://schemas.openxmlformats.org/officeDocument/2006/relationships/hyperlink" Target="https://octopart.com/click/track?ai=8078&amp;sig=01e71c4&amp;sid=819&amp;ppid=87693704&amp;vpid=666720360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"/>
  <sheetViews>
    <sheetView tabSelected="1" workbookViewId="0">
      <pane xSplit="7" ySplit="6" topLeftCell="R7" activePane="bottomRight" state="frozen"/>
      <selection pane="topRight" activeCell="H1" sqref="H1"/>
      <selection pane="bottomLeft" activeCell="A7" sqref="A7"/>
      <selection pane="bottomRight" activeCell="D30" sqref="D30"/>
    </sheetView>
  </sheetViews>
  <sheetFormatPr baseColWidth="10" defaultColWidth="8.83203125" defaultRowHeight="15" outlineLevelCol="2" x14ac:dyDescent="0.2"/>
  <cols>
    <col min="1" max="2" width="9.1640625"/>
    <col min="3" max="3" width="9.1640625" outlineLevel="2"/>
    <col min="4" max="5" width="9.1640625" outlineLevel="1"/>
    <col min="6" max="6" width="9.1640625"/>
    <col min="7" max="7" width="15.6640625" customWidth="1"/>
    <col min="8" max="8" width="9.1640625" outlineLevel="1"/>
    <col min="9" max="10" width="9.1640625" outlineLevel="2"/>
    <col min="11" max="11" width="15.6640625" customWidth="1"/>
    <col min="12" max="12" width="15.6640625" customWidth="1" outlineLevel="2"/>
    <col min="13" max="13" width="9.1640625" outlineLevel="1"/>
    <col min="14" max="15" width="9.1640625" outlineLevel="2"/>
    <col min="16" max="16" width="15.6640625" customWidth="1"/>
    <col min="17" max="17" width="15.6640625" customWidth="1" outlineLevel="2"/>
    <col min="18" max="18" width="9.1640625" outlineLevel="1"/>
    <col min="19" max="20" width="9.1640625" outlineLevel="2"/>
    <col min="21" max="21" width="15.6640625" customWidth="1"/>
    <col min="22" max="22" width="15.6640625" customWidth="1" outlineLevel="2"/>
    <col min="23" max="23" width="9.1640625" outlineLevel="1"/>
    <col min="24" max="25" width="9.1640625" outlineLevel="2"/>
    <col min="26" max="26" width="15.6640625" customWidth="1"/>
    <col min="27" max="27" width="15.6640625" customWidth="1" outlineLevel="2"/>
    <col min="28" max="28" width="9.1640625" outlineLevel="1"/>
    <col min="29" max="30" width="9.1640625" outlineLevel="2"/>
    <col min="31" max="31" width="15.6640625" customWidth="1"/>
    <col min="32" max="32" width="15.6640625" customWidth="1" outlineLevel="2"/>
    <col min="33" max="33" width="9.1640625" outlineLevel="1"/>
    <col min="34" max="35" width="9.1640625" outlineLevel="2"/>
    <col min="36" max="36" width="15.6640625" customWidth="1"/>
    <col min="37" max="37" width="15.6640625" customWidth="1" outlineLevel="2"/>
    <col min="38" max="38" width="9.1640625" outlineLevel="1"/>
    <col min="39" max="40" width="9.1640625" outlineLevel="2"/>
    <col min="41" max="41" width="15.6640625" customWidth="1"/>
    <col min="42" max="42" width="15.6640625" customWidth="1" outlineLevel="2"/>
    <col min="43" max="43" width="9.1640625" outlineLevel="1"/>
    <col min="44" max="45" width="9.1640625" outlineLevel="2"/>
    <col min="46" max="46" width="15.6640625" customWidth="1"/>
    <col min="47" max="47" width="15.6640625" customWidth="1" outlineLevel="2"/>
  </cols>
  <sheetData>
    <row r="1" spans="1:47" ht="17" x14ac:dyDescent="0.2">
      <c r="A1" s="1" t="s">
        <v>126</v>
      </c>
      <c r="B1" s="2" t="s">
        <v>127</v>
      </c>
      <c r="F1" s="3" t="s">
        <v>131</v>
      </c>
      <c r="G1" s="3">
        <v>1</v>
      </c>
    </row>
    <row r="2" spans="1:47" ht="17" x14ac:dyDescent="0.2">
      <c r="A2" s="1" t="s">
        <v>128</v>
      </c>
      <c r="B2" s="2"/>
      <c r="F2" s="1" t="s">
        <v>133</v>
      </c>
      <c r="G2" s="4">
        <f ca="1">TotalCost/BoardQty</f>
        <v>49.850838999346593</v>
      </c>
    </row>
    <row r="3" spans="1:47" ht="17" x14ac:dyDescent="0.2">
      <c r="A3" s="1" t="s">
        <v>129</v>
      </c>
      <c r="B3" s="2" t="s">
        <v>130</v>
      </c>
      <c r="F3" s="1" t="s">
        <v>132</v>
      </c>
      <c r="G3" s="5">
        <f ca="1">SUM(G7:G42)</f>
        <v>49.850838999346593</v>
      </c>
      <c r="K3" s="5">
        <f>SUM(K7:K42)</f>
        <v>0</v>
      </c>
      <c r="L3" s="6">
        <v>0</v>
      </c>
      <c r="P3" s="5">
        <f>SUM(P7:P42)</f>
        <v>60.81</v>
      </c>
      <c r="Q3" s="6">
        <v>0</v>
      </c>
      <c r="U3" s="5">
        <f>SUM(U7:U42)</f>
        <v>12.560282717259401</v>
      </c>
      <c r="V3" s="6">
        <v>0</v>
      </c>
      <c r="Z3" s="5">
        <f>SUM(Z7:Z42)</f>
        <v>0.73490000000000011</v>
      </c>
      <c r="AA3" s="6">
        <v>0</v>
      </c>
      <c r="AE3" s="5">
        <f>SUM(AE7:AE42)</f>
        <v>53.986000000000004</v>
      </c>
      <c r="AF3" s="6">
        <v>0</v>
      </c>
      <c r="AJ3" s="5">
        <f>SUM(AJ7:AJ42)</f>
        <v>30.241</v>
      </c>
      <c r="AK3" s="6">
        <v>0</v>
      </c>
      <c r="AO3" s="5">
        <f>SUM(AO7:AO42)</f>
        <v>0.90206991505647316</v>
      </c>
      <c r="AP3" s="6">
        <v>0</v>
      </c>
      <c r="AT3" s="5">
        <f>SUM(AT7:AT42)</f>
        <v>4.0234261131335751</v>
      </c>
      <c r="AU3" s="6">
        <v>0</v>
      </c>
    </row>
    <row r="4" spans="1:47" ht="17" x14ac:dyDescent="0.2">
      <c r="A4" s="1" t="s">
        <v>134</v>
      </c>
      <c r="B4" s="2" t="s">
        <v>135</v>
      </c>
    </row>
    <row r="5" spans="1:47" ht="19" x14ac:dyDescent="0.2">
      <c r="A5" s="13" t="s">
        <v>0</v>
      </c>
      <c r="B5" s="13"/>
      <c r="C5" s="13"/>
      <c r="D5" s="13"/>
      <c r="E5" s="13"/>
      <c r="F5" s="13"/>
      <c r="G5" s="13"/>
      <c r="H5" s="14" t="s">
        <v>136</v>
      </c>
      <c r="I5" s="14"/>
      <c r="J5" s="14"/>
      <c r="K5" s="14"/>
      <c r="L5" s="14"/>
      <c r="M5" s="15" t="s">
        <v>140</v>
      </c>
      <c r="N5" s="15"/>
      <c r="O5" s="15"/>
      <c r="P5" s="15"/>
      <c r="Q5" s="15"/>
      <c r="R5" s="16" t="s">
        <v>166</v>
      </c>
      <c r="S5" s="16"/>
      <c r="T5" s="16"/>
      <c r="U5" s="16"/>
      <c r="V5" s="16"/>
      <c r="W5" s="17" t="s">
        <v>180</v>
      </c>
      <c r="X5" s="17"/>
      <c r="Y5" s="17"/>
      <c r="Z5" s="17"/>
      <c r="AA5" s="17"/>
      <c r="AB5" s="18" t="s">
        <v>188</v>
      </c>
      <c r="AC5" s="18"/>
      <c r="AD5" s="18"/>
      <c r="AE5" s="18"/>
      <c r="AF5" s="18"/>
      <c r="AG5" s="19" t="s">
        <v>209</v>
      </c>
      <c r="AH5" s="19"/>
      <c r="AI5" s="19"/>
      <c r="AJ5" s="19"/>
      <c r="AK5" s="19"/>
      <c r="AL5" s="20" t="s">
        <v>227</v>
      </c>
      <c r="AM5" s="20"/>
      <c r="AN5" s="20"/>
      <c r="AO5" s="20"/>
      <c r="AP5" s="20"/>
      <c r="AQ5" s="21" t="s">
        <v>234</v>
      </c>
      <c r="AR5" s="21"/>
      <c r="AS5" s="21"/>
      <c r="AT5" s="21"/>
      <c r="AU5" s="21"/>
    </row>
    <row r="6" spans="1:47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137</v>
      </c>
      <c r="I6" s="7" t="s">
        <v>138</v>
      </c>
      <c r="J6" s="7" t="s">
        <v>6</v>
      </c>
      <c r="K6" s="7" t="s">
        <v>7</v>
      </c>
      <c r="L6" s="7" t="s">
        <v>139</v>
      </c>
      <c r="M6" s="7" t="s">
        <v>137</v>
      </c>
      <c r="N6" s="7" t="s">
        <v>138</v>
      </c>
      <c r="O6" s="7" t="s">
        <v>6</v>
      </c>
      <c r="P6" s="7" t="s">
        <v>7</v>
      </c>
      <c r="Q6" s="7" t="s">
        <v>139</v>
      </c>
      <c r="R6" s="7" t="s">
        <v>137</v>
      </c>
      <c r="S6" s="7" t="s">
        <v>138</v>
      </c>
      <c r="T6" s="7" t="s">
        <v>6</v>
      </c>
      <c r="U6" s="7" t="s">
        <v>7</v>
      </c>
      <c r="V6" s="7" t="s">
        <v>139</v>
      </c>
      <c r="W6" s="7" t="s">
        <v>137</v>
      </c>
      <c r="X6" s="7" t="s">
        <v>138</v>
      </c>
      <c r="Y6" s="7" t="s">
        <v>6</v>
      </c>
      <c r="Z6" s="7" t="s">
        <v>7</v>
      </c>
      <c r="AA6" s="7" t="s">
        <v>139</v>
      </c>
      <c r="AB6" s="7" t="s">
        <v>137</v>
      </c>
      <c r="AC6" s="7" t="s">
        <v>138</v>
      </c>
      <c r="AD6" s="7" t="s">
        <v>6</v>
      </c>
      <c r="AE6" s="7" t="s">
        <v>7</v>
      </c>
      <c r="AF6" s="7" t="s">
        <v>139</v>
      </c>
      <c r="AG6" s="7" t="s">
        <v>137</v>
      </c>
      <c r="AH6" s="7" t="s">
        <v>138</v>
      </c>
      <c r="AI6" s="7" t="s">
        <v>6</v>
      </c>
      <c r="AJ6" s="7" t="s">
        <v>7</v>
      </c>
      <c r="AK6" s="7" t="s">
        <v>139</v>
      </c>
      <c r="AL6" s="7" t="s">
        <v>137</v>
      </c>
      <c r="AM6" s="7" t="s">
        <v>138</v>
      </c>
      <c r="AN6" s="7" t="s">
        <v>6</v>
      </c>
      <c r="AO6" s="7" t="s">
        <v>7</v>
      </c>
      <c r="AP6" s="7" t="s">
        <v>139</v>
      </c>
      <c r="AQ6" s="7" t="s">
        <v>137</v>
      </c>
      <c r="AR6" s="7" t="s">
        <v>138</v>
      </c>
      <c r="AS6" s="7" t="s">
        <v>6</v>
      </c>
      <c r="AT6" s="7" t="s">
        <v>7</v>
      </c>
      <c r="AU6" s="7" t="s">
        <v>139</v>
      </c>
    </row>
    <row r="7" spans="1:47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BoardQty*1</f>
        <v>1</v>
      </c>
      <c r="F7" s="9">
        <f t="shared" ref="F7:F42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0.11119999999999999</v>
      </c>
      <c r="G7" s="9">
        <f t="shared" ref="G7:G42" ca="1" si="1">IFERROR(E7*F7,"")</f>
        <v>0.11119999999999999</v>
      </c>
      <c r="M7" s="8">
        <v>92</v>
      </c>
      <c r="O7" s="9">
        <f>IFERROR(LOOKUP(IF(N7="",E7,N7),{0,1,10,50,100,500,1000,2500,5000},{0,0.38,0.267,0.1868,0.16,0.12004,0.10136,0.09603,0.0907}),"")</f>
        <v>0.38</v>
      </c>
      <c r="P7" s="9">
        <f t="shared" ref="P7:P15" si="2">IFERROR(IF(N7="",E7,N7)*O7,"")</f>
        <v>0.38</v>
      </c>
      <c r="Q7" s="10" t="s">
        <v>141</v>
      </c>
      <c r="R7" s="11" t="s">
        <v>145</v>
      </c>
      <c r="T7" s="9">
        <f>IFERROR(USD_GBP*LOOKUP(IF(S7="",E7,S7),{0,1,5,50,250,500,1000,2000,10000},{0,0.253,0.253,0.151,0.137,0.116,0.108,0.101,0.0997}),"")</f>
        <v>0.35111336693736572</v>
      </c>
      <c r="U7" s="9">
        <f>IFERROR(IF(S7="",E7,S7)*T7,"")</f>
        <v>0.35111336693736572</v>
      </c>
      <c r="V7" s="10" t="s">
        <v>167</v>
      </c>
      <c r="W7" s="8">
        <v>1540</v>
      </c>
      <c r="Y7" s="9">
        <f>IFERROR(LOOKUP(IF(X7="",E7,X7),{0,1,5,50,150,500,2500,5000},{0,0.1112,0.1112,0.0889,0.0849,0.0808,0.079,0.0781}),"")</f>
        <v>0.11119999999999999</v>
      </c>
      <c r="Z7" s="9">
        <f>IFERROR(IF(X7="",E7,X7)*Y7,"")</f>
        <v>0.11119999999999999</v>
      </c>
      <c r="AA7" s="10" t="s">
        <v>181</v>
      </c>
      <c r="AB7" s="11" t="s">
        <v>145</v>
      </c>
      <c r="AD7" s="9">
        <f>IFERROR(LOOKUP(IF(AC7="",E7,AC7),{0,1,10,50,100,1000,10000},{0,0.35,0.243,0.243,0.109,0.092,0.081}),"")</f>
        <v>0.35</v>
      </c>
      <c r="AE7" s="9">
        <f t="shared" ref="AE7:AE15" si="3">IFERROR(IF(AC7="",E7,AC7)*AD7,"")</f>
        <v>0.35</v>
      </c>
      <c r="AF7" s="10" t="s">
        <v>189</v>
      </c>
      <c r="AG7" s="11" t="s">
        <v>145</v>
      </c>
      <c r="AI7" s="9">
        <f>IFERROR(LOOKUP(IF(AH7="",E7,AH7),{0,1,5,10,25,50,100,500},{0,0.475,0.475,0.334,0.284,0.233,0.2,0.15}),"")</f>
        <v>0.47499999999999998</v>
      </c>
      <c r="AJ7" s="9">
        <f>IFERROR(IF(AH7="",E7,AH7)*AI7,"")</f>
        <v>0.47499999999999998</v>
      </c>
      <c r="AK7" s="10" t="s">
        <v>210</v>
      </c>
    </row>
    <row r="8" spans="1:47" x14ac:dyDescent="0.2">
      <c r="A8" s="8" t="s">
        <v>12</v>
      </c>
      <c r="B8" s="8" t="s">
        <v>13</v>
      </c>
      <c r="C8" s="8" t="s">
        <v>14</v>
      </c>
      <c r="D8" s="8" t="s">
        <v>15</v>
      </c>
      <c r="E8" s="8">
        <f>BoardQty*2</f>
        <v>2</v>
      </c>
      <c r="F8" s="9">
        <f t="shared" ca="1" si="0"/>
        <v>1.1900000000000001E-2</v>
      </c>
      <c r="G8" s="9">
        <f t="shared" ca="1" si="1"/>
        <v>2.3800000000000002E-2</v>
      </c>
      <c r="M8" s="8">
        <v>83205</v>
      </c>
      <c r="O8" s="9">
        <f>IFERROR(LOOKUP(IF(N8="",E8,N8),{0,1,10,50,100,500,1000,2000},{0,0.1,0.058,0.0318,0.0259,0.01852,0.01455,0.0132}),"")</f>
        <v>0.1</v>
      </c>
      <c r="P8" s="9">
        <f t="shared" si="2"/>
        <v>0.2</v>
      </c>
      <c r="Q8" s="10" t="s">
        <v>142</v>
      </c>
      <c r="W8" s="8">
        <v>135100</v>
      </c>
      <c r="Y8" s="9">
        <f>IFERROR(LOOKUP(IF(X8="",E8,X8),{0,1,50,500,1500,5000,25000,50000},{0,0.0119,0.0119,0.0089,0.0083,0.0078,0.0075,0.0074}),"")</f>
        <v>1.1900000000000001E-2</v>
      </c>
      <c r="Z8" s="9">
        <f>IFERROR(IF(X8="",E8,X8)*Y8,"")</f>
        <v>2.3800000000000002E-2</v>
      </c>
      <c r="AA8" s="10" t="s">
        <v>182</v>
      </c>
      <c r="AB8" s="8">
        <v>113048</v>
      </c>
      <c r="AD8" s="9">
        <f>IFERROR(LOOKUP(IF(AC8="",E8,AC8),{0,1,10,50,100,1000,10000},{0,0.1,0.03,0.03,0.024,0.014,0.009}),"")</f>
        <v>0.1</v>
      </c>
      <c r="AE8" s="9">
        <f t="shared" si="3"/>
        <v>0.2</v>
      </c>
      <c r="AF8" s="10" t="s">
        <v>190</v>
      </c>
      <c r="AG8" s="11" t="s">
        <v>145</v>
      </c>
      <c r="AI8" s="9">
        <f>IFERROR(LOOKUP(IF(AH8="",E8,AH8),{0,1,200000},{0,0.013,0.013}),"")</f>
        <v>1.2999999999999999E-2</v>
      </c>
      <c r="AJ8" s="9">
        <f>IFERROR(IF(AH8="",E8,AH8)*AI8,"")</f>
        <v>2.5999999999999999E-2</v>
      </c>
      <c r="AK8" s="10" t="s">
        <v>211</v>
      </c>
      <c r="AQ8" s="8">
        <v>3100</v>
      </c>
      <c r="AS8" s="9">
        <f>IFERROR(USD_GBP*LOOKUP(IF(AR8="",E8,AR8),{0,1,100,1000,2000},{0,0.01438,0.01438,0.00743,0.00653}),"")</f>
        <v>1.9956562120787821E-2</v>
      </c>
      <c r="AT8" s="9">
        <f>IFERROR(IF(AR8="",E8,AR8)*AS8,"")</f>
        <v>3.9913124241575643E-2</v>
      </c>
      <c r="AU8" s="10" t="s">
        <v>15</v>
      </c>
    </row>
    <row r="9" spans="1:47" x14ac:dyDescent="0.2">
      <c r="A9" s="8" t="s">
        <v>16</v>
      </c>
      <c r="B9" s="8" t="s">
        <v>17</v>
      </c>
      <c r="C9" s="8" t="s">
        <v>14</v>
      </c>
      <c r="D9" s="8" t="s">
        <v>18</v>
      </c>
      <c r="E9" s="8">
        <f>BoardQty*2</f>
        <v>2</v>
      </c>
      <c r="F9" s="9">
        <f t="shared" ca="1" si="0"/>
        <v>7.1000000000000004E-3</v>
      </c>
      <c r="G9" s="9">
        <f t="shared" ca="1" si="1"/>
        <v>1.4200000000000001E-2</v>
      </c>
      <c r="M9" s="8">
        <v>2543553</v>
      </c>
      <c r="O9" s="9">
        <f>IFERROR(LOOKUP(IF(N9="",E9,N9),{0,1,10,50,100,500,1000,4000},{0,0.1,0.049,0.0268,0.0219,0.01566,0.0123,0.01029}),"")</f>
        <v>0.1</v>
      </c>
      <c r="P9" s="9">
        <f t="shared" si="2"/>
        <v>0.2</v>
      </c>
      <c r="Q9" s="10" t="s">
        <v>143</v>
      </c>
      <c r="R9" s="8">
        <v>620000</v>
      </c>
      <c r="T9" s="9">
        <f>IFERROR(USD_GBP*LOOKUP(IF(S9="",E9,S9),{0,1,10,100,150,500,1000,2000,4000,20000},{0,0.0275,0.0275,0.022,0.022,0.016,0.0132,0.0115,0.0113,0.0075}),"")</f>
        <v>3.8164496406235406E-2</v>
      </c>
      <c r="U9" s="9">
        <f>IFERROR(IF(S9="",E9,S9)*T9,"")</f>
        <v>7.6328992812470811E-2</v>
      </c>
      <c r="V9" s="10" t="s">
        <v>168</v>
      </c>
      <c r="W9" s="8">
        <v>5498500</v>
      </c>
      <c r="Y9" s="9">
        <f>IFERROR(LOOKUP(IF(X9="",E9,X9),{0,1,50,500,1500,5000,25000,50000},{0,0.0071,0.0071,0.0055,0.0051,0.0046,0.0043,0.0043}),"")</f>
        <v>7.1000000000000004E-3</v>
      </c>
      <c r="Z9" s="9">
        <f>IFERROR(IF(X9="",E9,X9)*Y9,"")</f>
        <v>1.4200000000000001E-2</v>
      </c>
      <c r="AA9" s="10" t="s">
        <v>183</v>
      </c>
      <c r="AB9" s="8">
        <v>684050</v>
      </c>
      <c r="AD9" s="9">
        <f>IFERROR(LOOKUP(IF(AC9="",E9,AC9),{0,1,10,50,100,1000,10000},{0,0.1,0.026,0.026,0.021,0.012,0.008}),"")</f>
        <v>0.1</v>
      </c>
      <c r="AE9" s="9">
        <f t="shared" si="3"/>
        <v>0.2</v>
      </c>
      <c r="AF9" s="10" t="s">
        <v>191</v>
      </c>
      <c r="AG9" s="8">
        <v>320000</v>
      </c>
      <c r="AI9" s="9">
        <f>IFERROR(LOOKUP(IF(AH9="",E9,AH9),{0,1,25,50,100,250,500,4000},{0,0.125,0.061,0.033,0.026,0.023,0.019,0.013}),"")</f>
        <v>0.125</v>
      </c>
      <c r="AJ9" s="9">
        <f>IFERROR(IF(AH9="",E9,AH9)*AI9,"")</f>
        <v>0.25</v>
      </c>
      <c r="AK9" s="10" t="s">
        <v>212</v>
      </c>
      <c r="AL9" s="8">
        <v>224000</v>
      </c>
      <c r="AN9" s="9">
        <f>IFERROR(USD_GBP*LOOKUP(IF(AM9="",E9,AM9),{0,1,4000,8000,16000,24000,40000},{0,0.008,0.008,0.008,0.007,0.006,0.005}),"")</f>
        <v>1.1102398954541208E-2</v>
      </c>
      <c r="AO9" s="9">
        <f>IFERROR(IF(AM9="",E9,AM9)*AN9,"")</f>
        <v>2.2204797909082415E-2</v>
      </c>
      <c r="AP9" s="10" t="s">
        <v>228</v>
      </c>
      <c r="AQ9" s="8">
        <v>720600</v>
      </c>
      <c r="AS9" s="9">
        <f>IFERROR(USD_GBP*LOOKUP(IF(AR9="",E9,AR9),{0,1,100,300,1000,4000,20000},{0,0.01594,0.01594,0.01083,0.0071,0.00507,0.00483}),"")</f>
        <v>2.2121529916923354E-2</v>
      </c>
      <c r="AT9" s="9">
        <f>IFERROR(IF(AR9="",E9,AR9)*AS9,"")</f>
        <v>4.4243059833846708E-2</v>
      </c>
      <c r="AU9" s="10" t="s">
        <v>18</v>
      </c>
    </row>
    <row r="10" spans="1:47" x14ac:dyDescent="0.2">
      <c r="A10" s="8" t="s">
        <v>19</v>
      </c>
      <c r="B10" s="8" t="s">
        <v>20</v>
      </c>
      <c r="C10" s="8" t="s">
        <v>21</v>
      </c>
      <c r="D10" s="8" t="s">
        <v>22</v>
      </c>
      <c r="E10" s="8">
        <f>BoardQty*1</f>
        <v>1</v>
      </c>
      <c r="F10" s="9">
        <f t="shared" ca="1" si="0"/>
        <v>3.5999999999999999E-3</v>
      </c>
      <c r="G10" s="9">
        <f t="shared" ca="1" si="1"/>
        <v>3.5999999999999999E-3</v>
      </c>
      <c r="M10" s="11" t="s">
        <v>145</v>
      </c>
      <c r="O10" s="9">
        <f>IFERROR(LOOKUP(IF(N10="",E10,N10),{0,1,10,50,100,500,1000,4000},{0,0.1,0.028,0.0152,0.0124,0.00886,0.00696,0.00582}),"")</f>
        <v>0.1</v>
      </c>
      <c r="P10" s="9">
        <f t="shared" si="2"/>
        <v>0.1</v>
      </c>
      <c r="Q10" s="10" t="s">
        <v>144</v>
      </c>
      <c r="R10" s="8">
        <v>5470</v>
      </c>
      <c r="T10" s="9">
        <f>IFERROR(USD_GBP*LOOKUP(IF(S10="",E10,S10),{0,1,10,100,150,500,1000,2000,4000,20000},{0,0.0151,0.0151,0.0129,0.0129,0.0098,0.0089,0.0073,0.0061,0.0042}),"")</f>
        <v>2.0955778026696532E-2</v>
      </c>
      <c r="U10" s="9">
        <f>IFERROR(IF(S10="",E10,S10)*T10,"")</f>
        <v>2.0955778026696532E-2</v>
      </c>
      <c r="V10" s="10" t="s">
        <v>169</v>
      </c>
      <c r="W10" s="8">
        <v>1527700</v>
      </c>
      <c r="Y10" s="9">
        <f>IFERROR(LOOKUP(IF(X10="",E10,X10),{0,1,100,1000,3000,10000,50000,100000},{0,0.0036,0.0036,0.0027,0.0026,0.0024,0.0023,0.0023}),"")</f>
        <v>3.5999999999999999E-3</v>
      </c>
      <c r="Z10" s="9">
        <f>IFERROR(IF(X10="",E10,X10)*Y10,"")</f>
        <v>3.5999999999999999E-3</v>
      </c>
      <c r="AA10" s="10" t="s">
        <v>184</v>
      </c>
      <c r="AB10" s="8">
        <v>699940</v>
      </c>
      <c r="AD10" s="9">
        <f>IFERROR(LOOKUP(IF(AC10="",E10,AC10),{0,1,10,50,100,1000,10000},{0,0.1,0.03,0.03,0.014,0.008,0.004}),"")</f>
        <v>0.1</v>
      </c>
      <c r="AE10" s="9">
        <f t="shared" si="3"/>
        <v>0.1</v>
      </c>
      <c r="AF10" s="10" t="s">
        <v>192</v>
      </c>
      <c r="AG10" s="8">
        <v>48000</v>
      </c>
      <c r="AI10" s="9">
        <f>IFERROR(LOOKUP(IF(AH10="",E10,AH10),{0,1,25,50,100,250,500,4000},{0,0.125,0.035,0.019,0.015,0.014,0.011,0.006}),"")</f>
        <v>0.125</v>
      </c>
      <c r="AJ10" s="9">
        <f>IFERROR(IF(AH10="",E10,AH10)*AI10,"")</f>
        <v>0.125</v>
      </c>
      <c r="AK10" s="10" t="s">
        <v>213</v>
      </c>
      <c r="AL10" s="8">
        <v>6032000</v>
      </c>
      <c r="AN10" s="9">
        <f>IFERROR(USD_GBP*LOOKUP(IF(AM10="",E10,AM10),{0,1,4000,8000,16000,24000,40000},{0,0.005,0.005,0.005,0.005,0.004,0.003}),"")</f>
        <v>6.938999346588255E-3</v>
      </c>
      <c r="AO10" s="9">
        <f>IFERROR(IF(AM10="",E10,AM10)*AN10,"")</f>
        <v>6.938999346588255E-3</v>
      </c>
      <c r="AP10" s="10" t="s">
        <v>229</v>
      </c>
      <c r="AQ10" s="8">
        <v>507400</v>
      </c>
      <c r="AS10" s="9">
        <f>IFERROR(USD_GBP*LOOKUP(IF(AR10="",E10,AR10),{0,1,100,300,1000,4000,20000},{0,0.01135,0.01135,0.00823,0.00494,0.00329,0.00311}),"")</f>
        <v>1.5751528516755341E-2</v>
      </c>
      <c r="AT10" s="9">
        <f>IFERROR(IF(AR10="",E10,AR10)*AS10,"")</f>
        <v>1.5751528516755341E-2</v>
      </c>
      <c r="AU10" s="10" t="s">
        <v>22</v>
      </c>
    </row>
    <row r="11" spans="1:47" x14ac:dyDescent="0.2">
      <c r="A11" s="8" t="s">
        <v>23</v>
      </c>
      <c r="B11" s="8" t="s">
        <v>17</v>
      </c>
      <c r="C11" s="8" t="s">
        <v>21</v>
      </c>
      <c r="D11" s="8" t="s">
        <v>24</v>
      </c>
      <c r="E11" s="8">
        <f>BoardQty*18</f>
        <v>18</v>
      </c>
      <c r="F11" s="9">
        <f t="shared" ca="1" si="0"/>
        <v>7.9000000000000008E-3</v>
      </c>
      <c r="G11" s="9">
        <f t="shared" ca="1" si="1"/>
        <v>0.14220000000000002</v>
      </c>
      <c r="M11" s="8">
        <v>1710796</v>
      </c>
      <c r="O11" s="9">
        <f>IFERROR(LOOKUP(IF(N11="",E11,N11),{0,1,10,50,100,500,1000,2500,5000,15000},{0,0.1,0.03,0.0164,0.0134,0.00958,0.00753,0.00684,0.0063,0.00547}),"")</f>
        <v>0.03</v>
      </c>
      <c r="P11" s="9">
        <f t="shared" si="2"/>
        <v>0.54</v>
      </c>
      <c r="Q11" s="10" t="s">
        <v>146</v>
      </c>
      <c r="W11" s="8">
        <v>6100</v>
      </c>
      <c r="Y11" s="9">
        <f>IFERROR(LOOKUP(IF(X11="",E11,X11),{0,1,50,500,1500,5000,25000,50000},{0,0.0079,0.0079,0.0061,0.0057,0.0054,0.0053,0.0052}),"")</f>
        <v>7.9000000000000008E-3</v>
      </c>
      <c r="Z11" s="9">
        <f>IFERROR(IF(X11="",E11,X11)*Y11,"")</f>
        <v>0.14220000000000002</v>
      </c>
      <c r="AA11" s="10" t="s">
        <v>185</v>
      </c>
      <c r="AB11" s="11" t="s">
        <v>145</v>
      </c>
      <c r="AD11" s="9">
        <f>IFERROR(LOOKUP(IF(AC11="",E11,AC11),{0,1,10,50,100,1000,10000},{0,0.1,0.017,0.017,0.014,0.008,0.005}),"")</f>
        <v>1.7000000000000001E-2</v>
      </c>
      <c r="AE11" s="9">
        <f t="shared" si="3"/>
        <v>0.30600000000000005</v>
      </c>
      <c r="AF11" s="10" t="s">
        <v>193</v>
      </c>
    </row>
    <row r="12" spans="1:47" x14ac:dyDescent="0.2">
      <c r="A12" s="8" t="s">
        <v>25</v>
      </c>
      <c r="B12" s="8" t="s">
        <v>26</v>
      </c>
      <c r="C12" s="8" t="s">
        <v>27</v>
      </c>
      <c r="D12" s="8" t="s">
        <v>28</v>
      </c>
      <c r="E12" s="8">
        <f>BoardQty*5</f>
        <v>5</v>
      </c>
      <c r="F12" s="9">
        <f t="shared" ca="1" si="0"/>
        <v>0.28999999999999998</v>
      </c>
      <c r="G12" s="9">
        <f t="shared" ca="1" si="1"/>
        <v>1.45</v>
      </c>
      <c r="M12" s="8">
        <v>6204</v>
      </c>
      <c r="O12" s="9">
        <f>IFERROR(LOOKUP(IF(N12="",E12,N12),{0,1,10,50,100,500,1000,2000},{0,0.69,0.512,0.4094,0.3509,0.27776,0.2339,0.21929}),"")</f>
        <v>0.69</v>
      </c>
      <c r="P12" s="9">
        <f t="shared" si="2"/>
        <v>3.4499999999999997</v>
      </c>
      <c r="Q12" s="10" t="s">
        <v>147</v>
      </c>
      <c r="AB12" s="8">
        <v>2025</v>
      </c>
      <c r="AD12" s="9">
        <f>IFERROR(LOOKUP(IF(AC12="",E12,AC12),{0,1,10,50,100,1000,10000},{0,0.73,0.535,0.535,0.366,0.244,0.222}),"")</f>
        <v>0.73</v>
      </c>
      <c r="AE12" s="9">
        <f t="shared" si="3"/>
        <v>3.65</v>
      </c>
      <c r="AF12" s="10" t="s">
        <v>194</v>
      </c>
      <c r="AG12" s="11" t="s">
        <v>145</v>
      </c>
      <c r="AI12" s="9">
        <f>IFERROR(LOOKUP(IF(AH12="",E12,AH12),{0,1,2000},{0,0.29,0.29}),"")</f>
        <v>0.28999999999999998</v>
      </c>
      <c r="AJ12" s="9">
        <f>IFERROR(IF(AH12="",E12,AH12)*AI12,"")</f>
        <v>1.45</v>
      </c>
      <c r="AK12" s="10" t="s">
        <v>214</v>
      </c>
    </row>
    <row r="13" spans="1:47" x14ac:dyDescent="0.2">
      <c r="A13" s="8" t="s">
        <v>29</v>
      </c>
      <c r="B13" s="8" t="s">
        <v>30</v>
      </c>
      <c r="C13" s="8" t="s">
        <v>31</v>
      </c>
      <c r="D13" s="8" t="s">
        <v>32</v>
      </c>
      <c r="E13" s="8">
        <f>BoardQty*4</f>
        <v>4</v>
      </c>
      <c r="F13" s="9">
        <f t="shared" ca="1" si="0"/>
        <v>2.8000000000000001E-2</v>
      </c>
      <c r="G13" s="9">
        <f t="shared" ca="1" si="1"/>
        <v>0.112</v>
      </c>
      <c r="M13" s="8">
        <v>184076</v>
      </c>
      <c r="O13" s="9">
        <f>IFERROR(LOOKUP(IF(N13="",E13,N13),{0,1,10,100,500,1000,2000,4000,8000,12000,28000,100000},{0,0.26,0.139,0.0648,0.05978,0.04683,0.04584,0.04584,0.03986,0.03587,0.03188,0.0282}),"")</f>
        <v>0.26</v>
      </c>
      <c r="P13" s="9">
        <f t="shared" si="2"/>
        <v>1.04</v>
      </c>
      <c r="Q13" s="10" t="s">
        <v>148</v>
      </c>
      <c r="AB13" s="8">
        <v>530897</v>
      </c>
      <c r="AD13" s="9">
        <f>IFERROR(LOOKUP(IF(AC13="",E13,AC13),{0,1,10,50,100,1000,10000},{0,0.25,0.178,0.178,0.068,0.044,0.034}),"")</f>
        <v>0.25</v>
      </c>
      <c r="AE13" s="9">
        <f t="shared" si="3"/>
        <v>1</v>
      </c>
      <c r="AF13" s="10" t="s">
        <v>195</v>
      </c>
      <c r="AG13" s="11" t="s">
        <v>145</v>
      </c>
      <c r="AI13" s="9">
        <f>IFERROR(LOOKUP(IF(AH13="",E13,AH13),{0,1,4000,8000,32000,400000},{0,0.028,0.028,0.028,0.028,0.028}),"")</f>
        <v>2.8000000000000001E-2</v>
      </c>
      <c r="AJ13" s="9">
        <f>IFERROR(IF(AH13="",E13,AH13)*AI13,"")</f>
        <v>0.112</v>
      </c>
      <c r="AK13" s="10" t="s">
        <v>215</v>
      </c>
    </row>
    <row r="14" spans="1:47" x14ac:dyDescent="0.2">
      <c r="A14" s="8" t="s">
        <v>33</v>
      </c>
      <c r="B14" s="8" t="s">
        <v>34</v>
      </c>
      <c r="C14" s="8" t="s">
        <v>35</v>
      </c>
      <c r="D14" s="8" t="s">
        <v>36</v>
      </c>
      <c r="E14" s="8">
        <f>BoardQty*1</f>
        <v>1</v>
      </c>
      <c r="F14" s="9">
        <f t="shared" ca="1" si="0"/>
        <v>2.8299999999999999E-2</v>
      </c>
      <c r="G14" s="9">
        <f t="shared" ca="1" si="1"/>
        <v>2.8299999999999999E-2</v>
      </c>
      <c r="M14" s="11" t="s">
        <v>145</v>
      </c>
      <c r="O14" s="9">
        <f>IFERROR(LOOKUP(IF(N14="",E14,N14),{0,1,10,100,500,1000,3000,6000,15000,30000,75000},{0,0.17,0.159,0.0865,0.05324,0.0363,0.03085,0.02783,0.0242,0.02178,0.01936}),"")</f>
        <v>0.17</v>
      </c>
      <c r="P14" s="9">
        <f t="shared" si="2"/>
        <v>0.17</v>
      </c>
      <c r="Q14" s="10" t="s">
        <v>149</v>
      </c>
      <c r="R14" s="8">
        <v>99699</v>
      </c>
      <c r="T14" s="9">
        <f>IFERROR(USD_GBP*LOOKUP(IF(S14="",E14,S14),{0,1,5,10,100,150,500,1000},{0,0.175,0.175,0.15,0.0621,0.0621,0.0463,0.0238}),"")</f>
        <v>0.24286497713058891</v>
      </c>
      <c r="U14" s="9">
        <f>IFERROR(IF(S14="",E14,S14)*T14,"")</f>
        <v>0.24286497713058891</v>
      </c>
      <c r="V14" s="10" t="s">
        <v>170</v>
      </c>
      <c r="W14" s="8">
        <v>71420</v>
      </c>
      <c r="Y14" s="9">
        <f>IFERROR(LOOKUP(IF(X14="",E14,X14),{0,1,20,200,600,2000,10000,20000},{0,0.0283,0.0283,0.022,0.0204,0.0184,0.0174,0.0173}),"")</f>
        <v>2.8299999999999999E-2</v>
      </c>
      <c r="Z14" s="9">
        <f>IFERROR(IF(X14="",E14,X14)*Y14,"")</f>
        <v>2.8299999999999999E-2</v>
      </c>
      <c r="AA14" s="10" t="s">
        <v>186</v>
      </c>
      <c r="AB14" s="11" t="s">
        <v>145</v>
      </c>
      <c r="AD14" s="9">
        <f>IFERROR(LOOKUP(IF(AC14="",E14,AC14),{0,1,10,50,100,1000,10000},{0,0.17,0.159,0.159,0.087,0.037,0.024}),"")</f>
        <v>0.17</v>
      </c>
      <c r="AE14" s="9">
        <f t="shared" si="3"/>
        <v>0.17</v>
      </c>
      <c r="AF14" s="10" t="s">
        <v>196</v>
      </c>
      <c r="AG14" s="8">
        <v>1314000</v>
      </c>
      <c r="AI14" s="9">
        <f>IFERROR(LOOKUP(IF(AH14="",E14,AH14),{0,1,10,25,50,100,250,500,1000,3000},{0,0.173,0.162,0.128,0.093,0.059,0.053,0.046,0.04,0.011}),"")</f>
        <v>0.17299999999999999</v>
      </c>
      <c r="AJ14" s="9">
        <f>IFERROR(IF(AH14="",E14,AH14)*AI14,"")</f>
        <v>0.17299999999999999</v>
      </c>
      <c r="AK14" s="10" t="s">
        <v>216</v>
      </c>
      <c r="AL14" s="8">
        <v>42800</v>
      </c>
      <c r="AN14" s="9">
        <f>IFERROR(USD_GBP*LOOKUP(IF(AM14="",E14,AM14),{0,1,200,1000,2000,5000,10000},{0,0.047,0.047,0.043,0.041,0.04,0.04}),"")</f>
        <v>6.5226593857929602E-2</v>
      </c>
      <c r="AO14" s="9">
        <f>IFERROR(IF(AM14="",E14,AM14)*AN14,"")</f>
        <v>6.5226593857929602E-2</v>
      </c>
      <c r="AP14" s="10" t="s">
        <v>230</v>
      </c>
      <c r="AQ14" s="11" t="s">
        <v>145</v>
      </c>
      <c r="AS14" s="9">
        <f>IFERROR(USD_GBP*LOOKUP(IF(AR14="",E14,AR14),{0,1,25,100,500,1000,3000},{0,0.0243,0.0243,0.0134,0.0108,0.0101,0.0091}),"")</f>
        <v>3.372353682441892E-2</v>
      </c>
      <c r="AT14" s="9">
        <f>IFERROR(IF(AR14="",E14,AR14)*AS14,"")</f>
        <v>3.372353682441892E-2</v>
      </c>
      <c r="AU14" s="10" t="s">
        <v>235</v>
      </c>
    </row>
    <row r="15" spans="1:47" x14ac:dyDescent="0.2">
      <c r="A15" s="8" t="s">
        <v>37</v>
      </c>
      <c r="B15" s="8" t="s">
        <v>38</v>
      </c>
      <c r="C15" s="8" t="s">
        <v>21</v>
      </c>
      <c r="D15" s="8" t="s">
        <v>39</v>
      </c>
      <c r="E15" s="8">
        <f>BoardQty*1</f>
        <v>1</v>
      </c>
      <c r="F15" s="9">
        <f t="shared" ca="1" si="0"/>
        <v>9.6000000000000002E-2</v>
      </c>
      <c r="G15" s="9">
        <f t="shared" ca="1" si="1"/>
        <v>9.6000000000000002E-2</v>
      </c>
      <c r="M15" s="8">
        <v>85374</v>
      </c>
      <c r="O15" s="9">
        <f>IFERROR(LOOKUP(IF(N15="",E15,N15),{0,1,50,100,500,1000,2000,4000},{0,0.17,0.168,0.155,0.148,0.141,0.134,0.095}),"")</f>
        <v>0.17</v>
      </c>
      <c r="P15" s="9">
        <f t="shared" si="2"/>
        <v>0.17</v>
      </c>
      <c r="Q15" s="10" t="s">
        <v>150</v>
      </c>
      <c r="R15" s="8">
        <v>40049</v>
      </c>
      <c r="T15" s="9">
        <f>IFERROR(USD_GBP*LOOKUP(IF(S15="",E15,S15),{0,1,10,100,150,500,1000,2000,4000,20000},{0,0.193,0.193,0.135,0.135,0.111,0.106,0.101,0.0717,0.0703}),"")</f>
        <v>0.26784537477830667</v>
      </c>
      <c r="U15" s="9">
        <f>IFERROR(IF(S15="",E15,S15)*T15,"")</f>
        <v>0.26784537477830667</v>
      </c>
      <c r="V15" s="10" t="s">
        <v>171</v>
      </c>
      <c r="AB15" s="8">
        <v>9708</v>
      </c>
      <c r="AD15" s="9">
        <f>IFERROR(LOOKUP(IF(AC15="",E15,AC15),{0,1,10,50,100,1000,10000},{0,0.18,0.18,0.174,0.16,0.146,0.082}),"")</f>
        <v>0.18</v>
      </c>
      <c r="AE15" s="9">
        <f t="shared" si="3"/>
        <v>0.18</v>
      </c>
      <c r="AF15" s="10" t="s">
        <v>197</v>
      </c>
      <c r="AG15" s="8">
        <v>5730</v>
      </c>
      <c r="AI15" s="9">
        <f>IFERROR(LOOKUP(IF(AH15="",E15,AH15),{0,1,10,25,50,100},{0,0.096,0.096,0.096,0.096,0.096}),"")</f>
        <v>9.6000000000000002E-2</v>
      </c>
      <c r="AJ15" s="9">
        <f>IFERROR(IF(AH15="",E15,AH15)*AI15,"")</f>
        <v>9.6000000000000002E-2</v>
      </c>
      <c r="AK15" s="10" t="s">
        <v>217</v>
      </c>
      <c r="AL15" s="8">
        <v>23600</v>
      </c>
      <c r="AN15" s="9">
        <f>IFERROR(USD_GBP*LOOKUP(IF(AM15="",E15,AM15),{0,1,100,1000,2500,5000,10000},{0,0.135,0.135,0.093,0.083,0.073,0.069}),"")</f>
        <v>0.18735298235788289</v>
      </c>
      <c r="AO15" s="9">
        <f>IFERROR(IF(AM15="",E15,AM15)*AN15,"")</f>
        <v>0.18735298235788289</v>
      </c>
      <c r="AP15" s="10" t="s">
        <v>231</v>
      </c>
    </row>
    <row r="16" spans="1:47" x14ac:dyDescent="0.2">
      <c r="A16" s="8" t="s">
        <v>40</v>
      </c>
      <c r="B16" s="8" t="s">
        <v>41</v>
      </c>
      <c r="C16" s="8" t="s">
        <v>42</v>
      </c>
      <c r="E16" s="8">
        <f>BoardQty*4</f>
        <v>4</v>
      </c>
      <c r="F16" s="9">
        <f t="shared" ca="1" si="0"/>
        <v>0</v>
      </c>
      <c r="G16" s="9">
        <f t="shared" ca="1" si="1"/>
        <v>0</v>
      </c>
    </row>
    <row r="17" spans="1:47" x14ac:dyDescent="0.2">
      <c r="A17" s="8" t="s">
        <v>43</v>
      </c>
      <c r="B17" s="8" t="s">
        <v>44</v>
      </c>
      <c r="C17" s="8" t="s">
        <v>45</v>
      </c>
      <c r="E17" s="8">
        <f t="shared" ref="E17:E23" si="4">BoardQty*1</f>
        <v>1</v>
      </c>
      <c r="F17" s="9">
        <f t="shared" ca="1" si="0"/>
        <v>0</v>
      </c>
      <c r="G17" s="9">
        <f t="shared" ca="1" si="1"/>
        <v>0</v>
      </c>
    </row>
    <row r="18" spans="1:47" x14ac:dyDescent="0.2">
      <c r="A18" s="8" t="s">
        <v>46</v>
      </c>
      <c r="B18" s="8" t="s">
        <v>47</v>
      </c>
      <c r="C18" s="8" t="s">
        <v>48</v>
      </c>
      <c r="D18" s="8" t="s">
        <v>49</v>
      </c>
      <c r="E18" s="8">
        <f t="shared" si="4"/>
        <v>1</v>
      </c>
      <c r="F18" s="9">
        <f t="shared" ca="1" si="0"/>
        <v>0.44900000000000001</v>
      </c>
      <c r="G18" s="9">
        <f t="shared" ca="1" si="1"/>
        <v>0.44900000000000001</v>
      </c>
      <c r="M18" s="8">
        <v>2304</v>
      </c>
      <c r="O18" s="9">
        <f>IFERROR(LOOKUP(IF(N18="",E18,N18),{0,1,10,100,500,1000,5000,10000},{0,0.8,0.748,0.5731,0.49838,0.41116,0.36132,0.3364}),"")</f>
        <v>0.8</v>
      </c>
      <c r="P18" s="9">
        <f>IFERROR(IF(N18="",E18,N18)*O18,"")</f>
        <v>0.8</v>
      </c>
      <c r="Q18" s="10" t="s">
        <v>151</v>
      </c>
      <c r="R18" s="8">
        <v>3166</v>
      </c>
      <c r="T18" s="9">
        <f>IFERROR(USD_GBP*LOOKUP(IF(S18="",E18,S18),{0,1,62,187,500,1250,2500,12500,25000,50000},{0,0.62,0.465,0.407,0.387,0.32,0.273,0.25,0.245,0.24}),"")</f>
        <v>0.8604359189769436</v>
      </c>
      <c r="U18" s="9">
        <f>IFERROR(IF(S18="",E18,S18)*T18,"")</f>
        <v>0.8604359189769436</v>
      </c>
      <c r="V18" s="10" t="s">
        <v>172</v>
      </c>
      <c r="AB18" s="8">
        <v>9697</v>
      </c>
      <c r="AD18" s="9">
        <f>IFERROR(LOOKUP(IF(AC18="",E18,AC18),{0,1,10,50,100,1000,10000},{0,0.79,0.592,0.592,0.518,0.407,0.342}),"")</f>
        <v>0.79</v>
      </c>
      <c r="AE18" s="9">
        <f>IFERROR(IF(AC18="",E18,AC18)*AD18,"")</f>
        <v>0.79</v>
      </c>
      <c r="AF18" s="10" t="s">
        <v>198</v>
      </c>
      <c r="AG18" s="8">
        <v>9764</v>
      </c>
      <c r="AI18" s="9">
        <f>IFERROR(LOOKUP(IF(AH18="",E18,AH18),{0,1,25,100,250,500,1000,2500,5000,10000,15000,25000},{0,0.449,0.412,0.412,0.412,0.38,0.38,0.348,0.338,0.328,0.325,0.321}),"")</f>
        <v>0.44900000000000001</v>
      </c>
      <c r="AJ18" s="9">
        <f>IFERROR(IF(AH18="",E18,AH18)*AI18,"")</f>
        <v>0.44900000000000001</v>
      </c>
      <c r="AK18" s="10" t="s">
        <v>218</v>
      </c>
      <c r="AQ18" s="8">
        <v>8241</v>
      </c>
      <c r="AS18" s="9">
        <f>IFERROR(USD_GBP*LOOKUP(IF(AR18="",E18,AR18),{0,1,2,50,100,2500,5000,10000},{0,0.4876,0.4876,0.4057,0.3,0.2387,0.29,0.2317}),"")</f>
        <v>0.67669121627928663</v>
      </c>
      <c r="AT18" s="9">
        <f>IFERROR(IF(AR18="",E18,AR18)*AS18,"")</f>
        <v>0.67669121627928663</v>
      </c>
      <c r="AU18" s="10" t="s">
        <v>236</v>
      </c>
    </row>
    <row r="19" spans="1:47" x14ac:dyDescent="0.2">
      <c r="A19" s="8" t="s">
        <v>50</v>
      </c>
      <c r="B19" s="8" t="s">
        <v>51</v>
      </c>
      <c r="C19" s="8" t="s">
        <v>48</v>
      </c>
      <c r="D19" s="8" t="s">
        <v>49</v>
      </c>
      <c r="E19" s="8">
        <f t="shared" si="4"/>
        <v>1</v>
      </c>
      <c r="F19" s="9">
        <f t="shared" ca="1" si="0"/>
        <v>0.44900000000000001</v>
      </c>
      <c r="G19" s="9">
        <f t="shared" ca="1" si="1"/>
        <v>0.44900000000000001</v>
      </c>
      <c r="M19" s="8">
        <v>2304</v>
      </c>
      <c r="O19" s="9">
        <f>IFERROR(LOOKUP(IF(N19="",E19,N19),{0,1,10,100,500,1000,5000,10000},{0,0.8,0.748,0.5731,0.49838,0.41116,0.36132,0.3364}),"")</f>
        <v>0.8</v>
      </c>
      <c r="P19" s="9">
        <f>IFERROR(IF(N19="",E19,N19)*O19,"")</f>
        <v>0.8</v>
      </c>
      <c r="Q19" s="10" t="s">
        <v>151</v>
      </c>
      <c r="R19" s="8">
        <v>3166</v>
      </c>
      <c r="T19" s="9">
        <f>IFERROR(USD_GBP*LOOKUP(IF(S19="",E19,S19),{0,1,62,187,500,1250,2500,12500,25000,50000},{0,0.62,0.465,0.407,0.387,0.32,0.273,0.25,0.245,0.24}),"")</f>
        <v>0.8604359189769436</v>
      </c>
      <c r="U19" s="9">
        <f>IFERROR(IF(S19="",E19,S19)*T19,"")</f>
        <v>0.8604359189769436</v>
      </c>
      <c r="V19" s="10" t="s">
        <v>172</v>
      </c>
      <c r="AB19" s="8">
        <v>9697</v>
      </c>
      <c r="AD19" s="9">
        <f>IFERROR(LOOKUP(IF(AC19="",E19,AC19),{0,1,10,50,100,1000,10000},{0,0.79,0.592,0.592,0.518,0.407,0.342}),"")</f>
        <v>0.79</v>
      </c>
      <c r="AE19" s="9">
        <f>IFERROR(IF(AC19="",E19,AC19)*AD19,"")</f>
        <v>0.79</v>
      </c>
      <c r="AF19" s="10" t="s">
        <v>198</v>
      </c>
      <c r="AG19" s="8">
        <v>9764</v>
      </c>
      <c r="AI19" s="9">
        <f>IFERROR(LOOKUP(IF(AH19="",E19,AH19),{0,1,25,100,250,500,1000,2500,5000,10000,15000,25000},{0,0.449,0.412,0.412,0.412,0.38,0.38,0.348,0.338,0.328,0.325,0.321}),"")</f>
        <v>0.44900000000000001</v>
      </c>
      <c r="AJ19" s="9">
        <f>IFERROR(IF(AH19="",E19,AH19)*AI19,"")</f>
        <v>0.44900000000000001</v>
      </c>
      <c r="AK19" s="10" t="s">
        <v>218</v>
      </c>
      <c r="AQ19" s="8">
        <v>8241</v>
      </c>
      <c r="AS19" s="9">
        <f>IFERROR(USD_GBP*LOOKUP(IF(AR19="",E19,AR19),{0,1,2,50,100,2500,5000,10000},{0,0.4876,0.4876,0.4057,0.3,0.2387,0.29,0.2317}),"")</f>
        <v>0.67669121627928663</v>
      </c>
      <c r="AT19" s="9">
        <f>IFERROR(IF(AR19="",E19,AR19)*AS19,"")</f>
        <v>0.67669121627928663</v>
      </c>
      <c r="AU19" s="10" t="s">
        <v>236</v>
      </c>
    </row>
    <row r="20" spans="1:47" x14ac:dyDescent="0.2">
      <c r="A20" s="8" t="s">
        <v>52</v>
      </c>
      <c r="B20" s="8" t="s">
        <v>53</v>
      </c>
      <c r="C20" s="8" t="s">
        <v>54</v>
      </c>
      <c r="E20" s="8">
        <f t="shared" si="4"/>
        <v>1</v>
      </c>
      <c r="F20" s="9">
        <f t="shared" ca="1" si="0"/>
        <v>0</v>
      </c>
      <c r="G20" s="9">
        <f t="shared" ca="1" si="1"/>
        <v>0</v>
      </c>
    </row>
    <row r="21" spans="1:47" x14ac:dyDescent="0.2">
      <c r="A21" s="8" t="s">
        <v>55</v>
      </c>
      <c r="B21" s="8" t="s">
        <v>56</v>
      </c>
      <c r="C21" s="8" t="s">
        <v>54</v>
      </c>
      <c r="E21" s="8">
        <f t="shared" si="4"/>
        <v>1</v>
      </c>
      <c r="F21" s="9">
        <f t="shared" ca="1" si="0"/>
        <v>0</v>
      </c>
      <c r="G21" s="9">
        <f t="shared" ca="1" si="1"/>
        <v>0</v>
      </c>
    </row>
    <row r="22" spans="1:47" x14ac:dyDescent="0.2">
      <c r="A22" s="8" t="s">
        <v>57</v>
      </c>
      <c r="B22" s="8" t="s">
        <v>58</v>
      </c>
      <c r="C22" s="8" t="s">
        <v>48</v>
      </c>
      <c r="D22" s="8" t="s">
        <v>49</v>
      </c>
      <c r="E22" s="8">
        <f t="shared" si="4"/>
        <v>1</v>
      </c>
      <c r="F22" s="9">
        <f t="shared" ca="1" si="0"/>
        <v>0.44900000000000001</v>
      </c>
      <c r="G22" s="9">
        <f t="shared" ca="1" si="1"/>
        <v>0.44900000000000001</v>
      </c>
      <c r="M22" s="8">
        <v>2304</v>
      </c>
      <c r="O22" s="9">
        <f>IFERROR(LOOKUP(IF(N22="",E22,N22),{0,1,10,100,500,1000,5000,10000},{0,0.8,0.748,0.5731,0.49838,0.41116,0.36132,0.3364}),"")</f>
        <v>0.8</v>
      </c>
      <c r="P22" s="9">
        <f>IFERROR(IF(N22="",E22,N22)*O22,"")</f>
        <v>0.8</v>
      </c>
      <c r="Q22" s="10" t="s">
        <v>151</v>
      </c>
      <c r="R22" s="8">
        <v>3166</v>
      </c>
      <c r="T22" s="9">
        <f>IFERROR(USD_GBP*LOOKUP(IF(S22="",E22,S22),{0,1,62,187,500,1250,2500,12500,25000,50000},{0,0.62,0.465,0.407,0.387,0.32,0.273,0.25,0.245,0.24}),"")</f>
        <v>0.8604359189769436</v>
      </c>
      <c r="U22" s="9">
        <f>IFERROR(IF(S22="",E22,S22)*T22,"")</f>
        <v>0.8604359189769436</v>
      </c>
      <c r="V22" s="10" t="s">
        <v>172</v>
      </c>
      <c r="AB22" s="8">
        <v>9697</v>
      </c>
      <c r="AD22" s="9">
        <f>IFERROR(LOOKUP(IF(AC22="",E22,AC22),{0,1,10,50,100,1000,10000},{0,0.79,0.592,0.592,0.518,0.407,0.342}),"")</f>
        <v>0.79</v>
      </c>
      <c r="AE22" s="9">
        <f>IFERROR(IF(AC22="",E22,AC22)*AD22,"")</f>
        <v>0.79</v>
      </c>
      <c r="AF22" s="10" t="s">
        <v>198</v>
      </c>
      <c r="AG22" s="8">
        <v>9764</v>
      </c>
      <c r="AI22" s="9">
        <f>IFERROR(LOOKUP(IF(AH22="",E22,AH22),{0,1,25,100,250,500,1000,2500,5000,10000,15000,25000},{0,0.449,0.412,0.412,0.412,0.38,0.38,0.348,0.338,0.328,0.325,0.321}),"")</f>
        <v>0.44900000000000001</v>
      </c>
      <c r="AJ22" s="9">
        <f>IFERROR(IF(AH22="",E22,AH22)*AI22,"")</f>
        <v>0.44900000000000001</v>
      </c>
      <c r="AK22" s="10" t="s">
        <v>218</v>
      </c>
      <c r="AQ22" s="8">
        <v>8241</v>
      </c>
      <c r="AS22" s="9">
        <f>IFERROR(USD_GBP*LOOKUP(IF(AR22="",E22,AR22),{0,1,2,50,100,2500,5000,10000},{0,0.4876,0.4876,0.4057,0.3,0.2387,0.29,0.2317}),"")</f>
        <v>0.67669121627928663</v>
      </c>
      <c r="AT22" s="9">
        <f>IFERROR(IF(AR22="",E22,AR22)*AS22,"")</f>
        <v>0.67669121627928663</v>
      </c>
      <c r="AU22" s="10" t="s">
        <v>236</v>
      </c>
    </row>
    <row r="23" spans="1:47" x14ac:dyDescent="0.2">
      <c r="A23" s="8" t="s">
        <v>59</v>
      </c>
      <c r="B23" s="8" t="s">
        <v>60</v>
      </c>
      <c r="C23" s="8" t="s">
        <v>61</v>
      </c>
      <c r="E23" s="8">
        <f t="shared" si="4"/>
        <v>1</v>
      </c>
      <c r="F23" s="9">
        <f t="shared" ca="1" si="0"/>
        <v>0</v>
      </c>
      <c r="G23" s="9">
        <f t="shared" ca="1" si="1"/>
        <v>0</v>
      </c>
    </row>
    <row r="24" spans="1:47" x14ac:dyDescent="0.2">
      <c r="A24" s="8" t="s">
        <v>62</v>
      </c>
      <c r="B24" s="8" t="s">
        <v>63</v>
      </c>
      <c r="C24" s="8" t="s">
        <v>54</v>
      </c>
      <c r="E24" s="8">
        <f>BoardQty*2</f>
        <v>2</v>
      </c>
      <c r="F24" s="9">
        <f t="shared" ca="1" si="0"/>
        <v>0</v>
      </c>
      <c r="G24" s="9">
        <f t="shared" ca="1" si="1"/>
        <v>0</v>
      </c>
    </row>
    <row r="25" spans="1:47" x14ac:dyDescent="0.2">
      <c r="A25" s="8" t="s">
        <v>64</v>
      </c>
      <c r="B25" s="8" t="s">
        <v>65</v>
      </c>
      <c r="C25" s="8" t="s">
        <v>66</v>
      </c>
      <c r="E25" s="8">
        <f>BoardQty*1</f>
        <v>1</v>
      </c>
      <c r="F25" s="9">
        <f t="shared" ca="1" si="0"/>
        <v>0</v>
      </c>
      <c r="G25" s="9">
        <f t="shared" ca="1" si="1"/>
        <v>0</v>
      </c>
    </row>
    <row r="26" spans="1:47" x14ac:dyDescent="0.2">
      <c r="A26" s="8" t="s">
        <v>67</v>
      </c>
      <c r="B26" s="8" t="s">
        <v>68</v>
      </c>
      <c r="C26" s="8" t="s">
        <v>69</v>
      </c>
      <c r="D26" s="8" t="s">
        <v>70</v>
      </c>
      <c r="E26" s="8">
        <f>BoardQty*3</f>
        <v>3</v>
      </c>
      <c r="F26" s="9">
        <f t="shared" ca="1" si="0"/>
        <v>2.8000000000000001E-2</v>
      </c>
      <c r="G26" s="9">
        <f t="shared" ca="1" si="1"/>
        <v>8.4000000000000005E-2</v>
      </c>
      <c r="M26" s="8">
        <v>82015</v>
      </c>
      <c r="O26" s="9">
        <f>IFERROR(LOOKUP(IF(N26="",E26,N26),{0,1,10,25,50,100,250,500,1000,2000,4000},{0,0.13,0.118,0.1048,0.0892,0.0788,0.0722,0.06562,0.05512,0.05513,0.04725}),"")</f>
        <v>0.13</v>
      </c>
      <c r="P26" s="9">
        <f>IFERROR(IF(N26="",E26,N26)*O26,"")</f>
        <v>0.39</v>
      </c>
      <c r="Q26" s="10" t="s">
        <v>152</v>
      </c>
      <c r="R26" s="8">
        <v>1552</v>
      </c>
      <c r="T26" s="9">
        <f>IFERROR(USD_GBP*LOOKUP(IF(S26="",E26,S26),{0,1,5,50,150,250,500,1000,2000,10000},{0,0.132,0.132,0.0823,0.0823,0.0542,0.0474,0.0404,0.0385,0.0321}),"")</f>
        <v>0.18318958274992994</v>
      </c>
      <c r="U26" s="9">
        <f>IFERROR(IF(S26="",E26,S26)*T26,"")</f>
        <v>0.54956874824978985</v>
      </c>
      <c r="V26" s="10" t="s">
        <v>173</v>
      </c>
      <c r="AB26" s="8">
        <v>24126</v>
      </c>
      <c r="AD26" s="9">
        <f>IFERROR(LOOKUP(IF(AC26="",E26,AC26),{0,1,10,50,100,1000,10000},{0,0.13,0.085,0.085,0.069,0.053,0.038}),"")</f>
        <v>0.13</v>
      </c>
      <c r="AE26" s="9">
        <f>IFERROR(IF(AC26="",E26,AC26)*AD26,"")</f>
        <v>0.39</v>
      </c>
      <c r="AF26" s="10" t="s">
        <v>199</v>
      </c>
      <c r="AG26" s="8">
        <v>779</v>
      </c>
      <c r="AI26" s="9">
        <f>IFERROR(LOOKUP(IF(AH26="",E26,AH26),{0,1,10,25,50,100},{0,0.028,0.028,0.028,0.028,0.028}),"")</f>
        <v>2.8000000000000001E-2</v>
      </c>
      <c r="AJ26" s="9">
        <f>IFERROR(IF(AH26="",E26,AH26)*AI26,"")</f>
        <v>8.4000000000000005E-2</v>
      </c>
      <c r="AK26" s="10" t="s">
        <v>219</v>
      </c>
    </row>
    <row r="27" spans="1:47" x14ac:dyDescent="0.2">
      <c r="A27" s="8" t="s">
        <v>71</v>
      </c>
      <c r="B27" s="8" t="s">
        <v>72</v>
      </c>
      <c r="C27" s="8" t="s">
        <v>73</v>
      </c>
      <c r="D27" s="8" t="s">
        <v>74</v>
      </c>
      <c r="E27" s="8">
        <f>BoardQty*2</f>
        <v>2</v>
      </c>
      <c r="F27" s="9">
        <f t="shared" ca="1" si="0"/>
        <v>0.1</v>
      </c>
      <c r="G27" s="9">
        <f t="shared" ca="1" si="1"/>
        <v>0.2</v>
      </c>
      <c r="M27" s="8">
        <v>72</v>
      </c>
      <c r="O27" s="9">
        <f>IFERROR(LOOKUP(IF(N27="",E27,N27),{0,1,10,100,1000,2500,5000,10000,25000,50000},{0,0.1,0.056,0.0227,0.0102,0.00886,0.00732,0.00635,0.00558,0.00512}),"")</f>
        <v>0.1</v>
      </c>
      <c r="P27" s="9">
        <f>IFERROR(IF(N27="",E27,N27)*O27,"")</f>
        <v>0.2</v>
      </c>
      <c r="Q27" s="10" t="s">
        <v>153</v>
      </c>
      <c r="AB27" s="11" t="s">
        <v>145</v>
      </c>
      <c r="AD27" s="9">
        <f>IFERROR(LOOKUP(IF(AC27="",E27,AC27),{0,1,10,50,100,1000,10000},{0,0.19,0.046,0.046,0.015,0.011,0.007}),"")</f>
        <v>0.19</v>
      </c>
      <c r="AE27" s="9">
        <f>IFERROR(IF(AC27="",E27,AC27)*AD27,"")</f>
        <v>0.38</v>
      </c>
      <c r="AF27" s="10" t="s">
        <v>200</v>
      </c>
    </row>
    <row r="28" spans="1:47" x14ac:dyDescent="0.2">
      <c r="A28" s="8" t="s">
        <v>75</v>
      </c>
      <c r="B28" s="8" t="s">
        <v>76</v>
      </c>
      <c r="C28" s="8" t="s">
        <v>73</v>
      </c>
      <c r="D28" s="8" t="s">
        <v>77</v>
      </c>
      <c r="E28" s="8">
        <f>BoardQty*1</f>
        <v>1</v>
      </c>
      <c r="F28" s="9">
        <f t="shared" ca="1" si="0"/>
        <v>6.938999346588255E-3</v>
      </c>
      <c r="G28" s="9">
        <f t="shared" ca="1" si="1"/>
        <v>6.938999346588255E-3</v>
      </c>
      <c r="M28" s="8">
        <v>3316</v>
      </c>
      <c r="O28" s="9">
        <f>IFERROR(LOOKUP(IF(N28="",E28,N28),{0,1,10,100,1000,2500,5000,10000,25000,50000},{0,0.1,0.056,0.0227,0.0102,0.00886,0.00732,0.00635,0.00558,0.00524}),"")</f>
        <v>0.1</v>
      </c>
      <c r="P28" s="9">
        <f>IFERROR(IF(N28="",E28,N28)*O28,"")</f>
        <v>0.1</v>
      </c>
      <c r="Q28" s="10" t="s">
        <v>154</v>
      </c>
      <c r="R28" s="8">
        <v>145000</v>
      </c>
      <c r="T28" s="9">
        <f>IFERROR(USD_GBP*LOOKUP(IF(S28="",E28,S28),{0,1,10,100,150,500,1000,2500,5000,25000},{0,0.0454,0.0454,0.0173,0.0173,0.0159,0.0115,0.0105,0.0085,0.0062}),"")</f>
        <v>6.3006114067021363E-2</v>
      </c>
      <c r="U28" s="9">
        <f>IFERROR(IF(S28="",E28,S28)*T28,"")</f>
        <v>6.3006114067021363E-2</v>
      </c>
      <c r="V28" s="10" t="s">
        <v>174</v>
      </c>
      <c r="AB28" s="11" t="s">
        <v>145</v>
      </c>
      <c r="AD28" s="9">
        <f>IFERROR(LOOKUP(IF(AC28="",E28,AC28),{0,1,10,50,100,1000,10000},{0,0.1,0.045,0.045,0.015,0.009,0.006}),"")</f>
        <v>0.1</v>
      </c>
      <c r="AE28" s="9">
        <f>IFERROR(IF(AC28="",E28,AC28)*AD28,"")</f>
        <v>0.1</v>
      </c>
      <c r="AF28" s="10" t="s">
        <v>201</v>
      </c>
      <c r="AG28" s="8">
        <v>40000</v>
      </c>
      <c r="AI28" s="9">
        <f>IFERROR(LOOKUP(IF(AH28="",E28,AH28),{0,1,10,25,50,100,5000,10000},{0,0.045,0.045,0.035,0.025,0.015,0.007,0.006}),"")</f>
        <v>4.4999999999999998E-2</v>
      </c>
      <c r="AJ28" s="9">
        <f>IFERROR(IF(AH28="",E28,AH28)*AI28,"")</f>
        <v>4.4999999999999998E-2</v>
      </c>
      <c r="AK28" s="10" t="s">
        <v>220</v>
      </c>
      <c r="AL28" s="8">
        <v>4630</v>
      </c>
      <c r="AN28" s="9">
        <f>IFERROR(USD_GBP*LOOKUP(IF(AM28="",E28,AM28),{0,1,5000,10000,15000,20000},{0,0.005,0.005,0.005,0.004,0.004}),"")</f>
        <v>6.938999346588255E-3</v>
      </c>
      <c r="AO28" s="9">
        <f>IFERROR(IF(AM28="",E28,AM28)*AN28,"")</f>
        <v>6.938999346588255E-3</v>
      </c>
      <c r="AP28" s="10" t="s">
        <v>232</v>
      </c>
      <c r="AQ28" s="11" t="s">
        <v>145</v>
      </c>
      <c r="AS28" s="9">
        <f>IFERROR(USD_GBP*LOOKUP(IF(AR28="",E28,AR28),{0,1,100,1000,5000,20000},{0,0.01005,0.01005,0.00528,0.00301,0.00273}),"")</f>
        <v>1.3947388686642392E-2</v>
      </c>
      <c r="AT28" s="9">
        <f>IFERROR(IF(AR28="",E28,AR28)*AS28,"")</f>
        <v>1.3947388686642392E-2</v>
      </c>
      <c r="AU28" s="10" t="s">
        <v>77</v>
      </c>
    </row>
    <row r="29" spans="1:47" x14ac:dyDescent="0.2">
      <c r="A29" s="8" t="s">
        <v>78</v>
      </c>
      <c r="B29" s="8" t="s">
        <v>79</v>
      </c>
      <c r="C29" s="8" t="s">
        <v>73</v>
      </c>
      <c r="E29" s="8">
        <f>BoardQty*2</f>
        <v>2</v>
      </c>
      <c r="F29" s="9">
        <f t="shared" ca="1" si="0"/>
        <v>0</v>
      </c>
      <c r="G29" s="9">
        <f t="shared" ca="1" si="1"/>
        <v>0</v>
      </c>
    </row>
    <row r="30" spans="1:47" x14ac:dyDescent="0.2">
      <c r="A30" s="8" t="s">
        <v>80</v>
      </c>
      <c r="B30" s="8" t="s">
        <v>81</v>
      </c>
      <c r="C30" s="8" t="s">
        <v>73</v>
      </c>
      <c r="D30" s="8" t="s">
        <v>82</v>
      </c>
      <c r="E30" s="8">
        <f>BoardQty*4</f>
        <v>4</v>
      </c>
      <c r="F30" s="9">
        <f t="shared" ca="1" si="0"/>
        <v>0.14000000000000001</v>
      </c>
      <c r="G30" s="9">
        <f t="shared" ca="1" si="1"/>
        <v>0.56000000000000005</v>
      </c>
      <c r="M30" s="8">
        <v>1826</v>
      </c>
      <c r="O30" s="9">
        <f>IFERROR(LOOKUP(IF(N30="",E30,N30),{0,1,10,100,1000,2500,5000,10000,25000},{0,0.14,0.117,0.0459,0.01922,0.01762,0.01602,0.01495,0.0142}),"")</f>
        <v>0.14000000000000001</v>
      </c>
      <c r="P30" s="9">
        <f t="shared" ref="P30:P37" si="5">IFERROR(IF(N30="",E30,N30)*O30,"")</f>
        <v>0.56000000000000005</v>
      </c>
      <c r="Q30" s="10" t="s">
        <v>155</v>
      </c>
      <c r="AB30" s="8">
        <v>94</v>
      </c>
      <c r="AD30" s="9">
        <f>IFERROR(LOOKUP(IF(AC30="",E30,AC30),{0,1,10,50,100,1000,10000},{0,0.15,0.096,0.096,0.031,0.022,0.015}),"")</f>
        <v>0.15</v>
      </c>
      <c r="AE30" s="9">
        <f>IFERROR(IF(AC30="",E30,AC30)*AD30,"")</f>
        <v>0.6</v>
      </c>
      <c r="AF30" s="10" t="s">
        <v>202</v>
      </c>
    </row>
    <row r="31" spans="1:47" x14ac:dyDescent="0.2">
      <c r="A31" s="8" t="s">
        <v>83</v>
      </c>
      <c r="B31" s="8" t="s">
        <v>84</v>
      </c>
      <c r="C31" s="8" t="s">
        <v>73</v>
      </c>
      <c r="D31" s="8" t="s">
        <v>85</v>
      </c>
      <c r="E31" s="8">
        <f>BoardQty*2</f>
        <v>2</v>
      </c>
      <c r="F31" s="9">
        <f t="shared" ca="1" si="0"/>
        <v>0.13</v>
      </c>
      <c r="G31" s="9">
        <f t="shared" ca="1" si="1"/>
        <v>0.26</v>
      </c>
      <c r="M31" s="8">
        <v>25015</v>
      </c>
      <c r="O31" s="9">
        <f>IFERROR(LOOKUP(IF(N31="",E31,N31),{0,1,10,25,50,100,250,500,1000,5000,10000,25000},{0,0.13,0.11,0.08,0.058,0.043,0.033,0.026,0.018,0.015,0.014,0.0136}),"")</f>
        <v>0.13</v>
      </c>
      <c r="P31" s="9">
        <f t="shared" si="5"/>
        <v>0.26</v>
      </c>
      <c r="Q31" s="10" t="s">
        <v>156</v>
      </c>
    </row>
    <row r="32" spans="1:47" x14ac:dyDescent="0.2">
      <c r="A32" s="8" t="s">
        <v>86</v>
      </c>
      <c r="B32" s="8" t="s">
        <v>87</v>
      </c>
      <c r="C32" s="8" t="s">
        <v>73</v>
      </c>
      <c r="D32" s="8" t="s">
        <v>88</v>
      </c>
      <c r="E32" s="8">
        <f>BoardQty*1</f>
        <v>1</v>
      </c>
      <c r="F32" s="9">
        <f t="shared" ca="1" si="0"/>
        <v>0.1</v>
      </c>
      <c r="G32" s="9">
        <f t="shared" ca="1" si="1"/>
        <v>0.1</v>
      </c>
      <c r="M32" s="8">
        <v>53068</v>
      </c>
      <c r="O32" s="9">
        <f>IFERROR(LOOKUP(IF(N32="",E32,N32),{0,1,10,100,1000,2500,5000,10000,25000,50000},{0,0.1,0.058,0.0236,0.0106,0.0092,0.0076,0.0066,0.0058,0.00544}),"")</f>
        <v>0.1</v>
      </c>
      <c r="P32" s="9">
        <f t="shared" si="5"/>
        <v>0.1</v>
      </c>
      <c r="Q32" s="10" t="s">
        <v>157</v>
      </c>
    </row>
    <row r="33" spans="1:47" x14ac:dyDescent="0.2">
      <c r="A33" s="8" t="s">
        <v>89</v>
      </c>
      <c r="B33" s="8" t="s">
        <v>90</v>
      </c>
      <c r="C33" s="8" t="s">
        <v>73</v>
      </c>
      <c r="D33" s="8" t="s">
        <v>74</v>
      </c>
      <c r="E33" s="8">
        <f>BoardQty*5</f>
        <v>5</v>
      </c>
      <c r="F33" s="9">
        <f t="shared" ca="1" si="0"/>
        <v>0.1</v>
      </c>
      <c r="G33" s="9">
        <f t="shared" ca="1" si="1"/>
        <v>0.5</v>
      </c>
      <c r="M33" s="8">
        <v>72</v>
      </c>
      <c r="O33" s="9">
        <f>IFERROR(LOOKUP(IF(N33="",E33,N33),{0,1,10,100,1000,2500,5000,10000,25000,50000},{0,0.1,0.056,0.0227,0.0102,0.00886,0.00732,0.00635,0.00558,0.00512}),"")</f>
        <v>0.1</v>
      </c>
      <c r="P33" s="9">
        <f t="shared" si="5"/>
        <v>0.5</v>
      </c>
      <c r="Q33" s="10" t="s">
        <v>153</v>
      </c>
      <c r="AB33" s="11" t="s">
        <v>145</v>
      </c>
      <c r="AD33" s="9">
        <f>IFERROR(LOOKUP(IF(AC33="",E33,AC33),{0,1,10,50,100,1000,10000},{0,0.19,0.046,0.046,0.015,0.011,0.007}),"")</f>
        <v>0.19</v>
      </c>
      <c r="AE33" s="9">
        <f>IFERROR(IF(AC33="",E33,AC33)*AD33,"")</f>
        <v>0.95</v>
      </c>
      <c r="AF33" s="10" t="s">
        <v>200</v>
      </c>
    </row>
    <row r="34" spans="1:47" x14ac:dyDescent="0.2">
      <c r="A34" s="8" t="s">
        <v>91</v>
      </c>
      <c r="B34" s="8" t="s">
        <v>92</v>
      </c>
      <c r="C34" s="8" t="s">
        <v>92</v>
      </c>
      <c r="D34" s="8" t="s">
        <v>93</v>
      </c>
      <c r="E34" s="8">
        <f>BoardQty*3</f>
        <v>3</v>
      </c>
      <c r="F34" s="9">
        <f t="shared" ca="1" si="0"/>
        <v>1.94</v>
      </c>
      <c r="G34" s="9">
        <f t="shared" ca="1" si="1"/>
        <v>5.82</v>
      </c>
      <c r="M34" s="8">
        <v>14095</v>
      </c>
      <c r="O34" s="9">
        <f>IFERROR(LOOKUP(IF(N34="",E34,N34),{0,1,10,100,500,1000},{0,1.94,1.295,0.9968,0.90108,0.79695}),"")</f>
        <v>1.94</v>
      </c>
      <c r="P34" s="9">
        <f t="shared" si="5"/>
        <v>5.82</v>
      </c>
      <c r="Q34" s="10" t="s">
        <v>158</v>
      </c>
    </row>
    <row r="35" spans="1:47" x14ac:dyDescent="0.2">
      <c r="A35" s="8" t="s">
        <v>94</v>
      </c>
      <c r="B35" s="8" t="s">
        <v>95</v>
      </c>
      <c r="C35" s="8" t="s">
        <v>96</v>
      </c>
      <c r="D35" s="8" t="s">
        <v>97</v>
      </c>
      <c r="E35" s="8">
        <f>BoardQty*1</f>
        <v>1</v>
      </c>
      <c r="F35" s="9">
        <f t="shared" ca="1" si="0"/>
        <v>0.41160000000000002</v>
      </c>
      <c r="G35" s="9">
        <f t="shared" ca="1" si="1"/>
        <v>0.41160000000000002</v>
      </c>
      <c r="M35" s="8">
        <v>21</v>
      </c>
      <c r="O35" s="9">
        <f>IFERROR(LOOKUP(IF(N35="",E35,N35),{0,1,10,25,100,250,500,1000,2500},{0,0.65,0.556,0.5192,0.4155,0.38584,0.32648,0.25228,0.2338}),"")</f>
        <v>0.65</v>
      </c>
      <c r="P35" s="9">
        <f t="shared" si="5"/>
        <v>0.65</v>
      </c>
      <c r="Q35" s="10" t="s">
        <v>159</v>
      </c>
      <c r="R35" s="8">
        <v>10</v>
      </c>
      <c r="T35" s="9">
        <f>IFERROR(USD_GBP*LOOKUP(IF(S35="",E35,S35),{0,1,10,100,500,1000,2500,5000},{0,0.608,0.471,0.315,0.267,0.207,0.188,0.175}),"")</f>
        <v>0.8437823205451318</v>
      </c>
      <c r="U35" s="9">
        <f>IFERROR(IF(S35="",E35,S35)*T35,"")</f>
        <v>0.8437823205451318</v>
      </c>
      <c r="V35" s="10" t="s">
        <v>175</v>
      </c>
      <c r="W35" s="8">
        <v>2164</v>
      </c>
      <c r="Y35" s="9">
        <f>IFERROR(LOOKUP(IF(X35="",E35,X35),{0,1,10,30,100,500,1000},{0,0.4116,0.3447,0.3324,0.3202,0.3147,0.312}),"")</f>
        <v>0.41160000000000002</v>
      </c>
      <c r="Z35" s="9">
        <f>IFERROR(IF(X35="",E35,X35)*Y35,"")</f>
        <v>0.41160000000000002</v>
      </c>
      <c r="AA35" s="10" t="s">
        <v>187</v>
      </c>
      <c r="AB35" s="8">
        <v>715</v>
      </c>
      <c r="AD35" s="9">
        <f>IFERROR(LOOKUP(IF(AC35="",E35,AC35),{0,1,10,50,100,1000,10000},{0,0.65,0.52,0.52,0.386,0.253,0.229}),"")</f>
        <v>0.65</v>
      </c>
      <c r="AE35" s="9">
        <f>IFERROR(IF(AC35="",E35,AC35)*AD35,"")</f>
        <v>0.65</v>
      </c>
      <c r="AF35" s="10" t="s">
        <v>203</v>
      </c>
      <c r="AG35" s="8">
        <v>10</v>
      </c>
      <c r="AI35" s="9">
        <f>IFERROR(LOOKUP(IF(AH35="",E35,AH35),{0,1,10,25,50,100,250},{0,0.839,0.783,0.739,0.698,0.652,0.618}),"")</f>
        <v>0.83899999999999997</v>
      </c>
      <c r="AJ35" s="9">
        <f>IFERROR(IF(AH35="",E35,AH35)*AI35,"")</f>
        <v>0.83899999999999997</v>
      </c>
      <c r="AK35" s="10" t="s">
        <v>221</v>
      </c>
      <c r="AL35" s="8">
        <v>2390</v>
      </c>
      <c r="AN35" s="9">
        <f>IFERROR(USD_GBP*LOOKUP(IF(AM35="",E35,AM35),{0,1,5,50,100,250,500},{0,0.442,0.442,0.428,0.414,0.404,0.398}),"")</f>
        <v>0.61340754223840177</v>
      </c>
      <c r="AO35" s="9">
        <f>IFERROR(IF(AM35="",E35,AM35)*AN35,"")</f>
        <v>0.61340754223840177</v>
      </c>
      <c r="AP35" s="10" t="s">
        <v>233</v>
      </c>
    </row>
    <row r="36" spans="1:47" x14ac:dyDescent="0.2">
      <c r="A36" s="8" t="s">
        <v>98</v>
      </c>
      <c r="B36" s="8" t="s">
        <v>99</v>
      </c>
      <c r="C36" s="8" t="s">
        <v>96</v>
      </c>
      <c r="D36" s="8" t="s">
        <v>100</v>
      </c>
      <c r="E36" s="8">
        <f>BoardQty*1</f>
        <v>1</v>
      </c>
      <c r="F36" s="9">
        <f t="shared" ca="1" si="0"/>
        <v>0.71</v>
      </c>
      <c r="G36" s="9">
        <f t="shared" ca="1" si="1"/>
        <v>0.71</v>
      </c>
      <c r="M36" s="8">
        <v>5125</v>
      </c>
      <c r="O36" s="9">
        <f>IFERROR(LOOKUP(IF(N36="",E36,N36),{0,1,10,25,100,250,500,1000,2500},{0,0.71,0.623,0.5848,0.4774,0.4434,0.37736,0.30189,0.29726}),"")</f>
        <v>0.71</v>
      </c>
      <c r="P36" s="9">
        <f t="shared" si="5"/>
        <v>0.71</v>
      </c>
      <c r="Q36" s="10" t="s">
        <v>160</v>
      </c>
      <c r="R36" s="8">
        <v>339</v>
      </c>
      <c r="T36" s="9">
        <f>IFERROR(USD_GBP*LOOKUP(IF(S36="",E36,S36),{0,1,10,50,100,150,250,500,1000,2500,5000},{0,0.65,0.518,0.164,0.355,0.15,0.149,0.302,0.242,0.23,0.207}),"")</f>
        <v>0.90206991505647316</v>
      </c>
      <c r="U36" s="9">
        <f>IFERROR(IF(S36="",E36,S36)*T36,"")</f>
        <v>0.90206991505647316</v>
      </c>
      <c r="V36" s="10" t="s">
        <v>176</v>
      </c>
      <c r="AB36" s="8">
        <v>2379</v>
      </c>
      <c r="AD36" s="9">
        <f>IFERROR(LOOKUP(IF(AC36="",E36,AC36),{0,1,10,50,100,1000,10000},{0,0.71,0.585,0.585,0.478,0.302,0.287}),"")</f>
        <v>0.71</v>
      </c>
      <c r="AE36" s="9">
        <f>IFERROR(IF(AC36="",E36,AC36)*AD36,"")</f>
        <v>0.71</v>
      </c>
      <c r="AF36" s="10" t="s">
        <v>204</v>
      </c>
      <c r="AG36" s="8">
        <v>339</v>
      </c>
      <c r="AI36" s="9">
        <f>IFERROR(LOOKUP(IF(AH36="",E36,AH36),{0,1,10,25,50,100,250},{0,0.809,0.726,0.711,0.704,0.699,0.692}),"")</f>
        <v>0.80900000000000005</v>
      </c>
      <c r="AJ36" s="9">
        <f>IFERROR(IF(AH36="",E36,AH36)*AI36,"")</f>
        <v>0.80900000000000005</v>
      </c>
      <c r="AK36" s="10" t="s">
        <v>222</v>
      </c>
    </row>
    <row r="37" spans="1:47" x14ac:dyDescent="0.2">
      <c r="A37" s="8" t="s">
        <v>101</v>
      </c>
      <c r="B37" s="8" t="s">
        <v>102</v>
      </c>
      <c r="C37" s="8" t="s">
        <v>103</v>
      </c>
      <c r="D37" s="8" t="s">
        <v>104</v>
      </c>
      <c r="E37" s="8">
        <f>BoardQty*1</f>
        <v>1</v>
      </c>
      <c r="F37" s="9">
        <f t="shared" ca="1" si="0"/>
        <v>14.69</v>
      </c>
      <c r="G37" s="9">
        <f t="shared" ca="1" si="1"/>
        <v>14.69</v>
      </c>
      <c r="M37" s="8">
        <v>4128</v>
      </c>
      <c r="O37" s="9">
        <f>IFERROR(LOOKUP(IF(N37="",E37,N37),{0,1,10,25,100,250,1000},{0,14.69,13.502,12.9424,11.4035,11.022,11.022}),"")</f>
        <v>14.69</v>
      </c>
      <c r="P37" s="9">
        <f t="shared" si="5"/>
        <v>14.69</v>
      </c>
      <c r="Q37" s="10" t="s">
        <v>161</v>
      </c>
      <c r="AB37" s="8">
        <v>4711</v>
      </c>
      <c r="AD37" s="9">
        <f>IFERROR(LOOKUP(IF(AC37="",E37,AC37),{0,1,10,50,100,1000,10000},{0,14.69,13.5,12.95,11.41,10.33,10.33}),"")</f>
        <v>14.69</v>
      </c>
      <c r="AE37" s="9">
        <f>IFERROR(IF(AC37="",E37,AC37)*AD37,"")</f>
        <v>14.69</v>
      </c>
      <c r="AF37" s="10" t="s">
        <v>205</v>
      </c>
    </row>
    <row r="38" spans="1:47" x14ac:dyDescent="0.2">
      <c r="A38" s="8" t="s">
        <v>105</v>
      </c>
      <c r="B38" s="8" t="s">
        <v>106</v>
      </c>
      <c r="C38" s="8" t="s">
        <v>107</v>
      </c>
      <c r="D38" s="8" t="s">
        <v>108</v>
      </c>
      <c r="E38" s="8">
        <f>BoardQty*3</f>
        <v>3</v>
      </c>
      <c r="F38" s="9">
        <f t="shared" ca="1" si="0"/>
        <v>0</v>
      </c>
      <c r="G38" s="9">
        <f t="shared" ca="1" si="1"/>
        <v>0</v>
      </c>
    </row>
    <row r="39" spans="1:47" x14ac:dyDescent="0.2">
      <c r="A39" s="8" t="s">
        <v>109</v>
      </c>
      <c r="B39" s="8" t="s">
        <v>110</v>
      </c>
      <c r="C39" s="8" t="s">
        <v>107</v>
      </c>
      <c r="D39" s="8" t="s">
        <v>111</v>
      </c>
      <c r="E39" s="8">
        <f>BoardQty*3</f>
        <v>3</v>
      </c>
      <c r="F39" s="9">
        <f t="shared" ca="1" si="0"/>
        <v>6.07</v>
      </c>
      <c r="G39" s="9">
        <f t="shared" ca="1" si="1"/>
        <v>18.21</v>
      </c>
      <c r="M39" s="8">
        <v>139</v>
      </c>
      <c r="O39" s="9">
        <f>IFERROR(LOOKUP(IF(N39="",E39,N39),{0,1,10,25,50,100,250,500},{0,7.69,7.357,6.688,6.3536,6.1864,5.5176,5.225}),"")</f>
        <v>7.69</v>
      </c>
      <c r="P39" s="9">
        <f>IFERROR(IF(N39="",E39,N39)*O39,"")</f>
        <v>23.07</v>
      </c>
      <c r="Q39" s="10" t="s">
        <v>162</v>
      </c>
      <c r="AB39" s="8">
        <v>119</v>
      </c>
      <c r="AD39" s="9">
        <f>IFERROR(LOOKUP(IF(AC39="",E39,AC39),{0,1,10,50,100,1000,10000},{0,7.87,7.81,7.02,6.03,5.18,5.18}),"")</f>
        <v>7.87</v>
      </c>
      <c r="AE39" s="9">
        <f>IFERROR(IF(AC39="",E39,AC39)*AD39,"")</f>
        <v>23.61</v>
      </c>
      <c r="AF39" s="10" t="s">
        <v>206</v>
      </c>
      <c r="AG39" s="11" t="s">
        <v>145</v>
      </c>
      <c r="AI39" s="9">
        <f>IFERROR(LOOKUP(IF(AH39="",E39,AH39),{0,1,100},{0,6.07,6.07}),"")</f>
        <v>6.07</v>
      </c>
      <c r="AJ39" s="9">
        <f>IFERROR(IF(AH39="",E39,AH39)*AI39,"")</f>
        <v>18.21</v>
      </c>
      <c r="AK39" s="10" t="s">
        <v>223</v>
      </c>
    </row>
    <row r="40" spans="1:47" x14ac:dyDescent="0.2">
      <c r="A40" s="8" t="s">
        <v>112</v>
      </c>
      <c r="B40" s="8" t="s">
        <v>113</v>
      </c>
      <c r="C40" s="8" t="s">
        <v>114</v>
      </c>
      <c r="D40" s="8" t="s">
        <v>113</v>
      </c>
      <c r="E40" s="8">
        <f>BoardQty*1</f>
        <v>1</v>
      </c>
      <c r="F40" s="9">
        <f t="shared" ca="1" si="0"/>
        <v>1.43</v>
      </c>
      <c r="G40" s="9">
        <f t="shared" ca="1" si="1"/>
        <v>1.43</v>
      </c>
      <c r="M40" s="8">
        <v>2109</v>
      </c>
      <c r="O40" s="9">
        <f>IFERROR(LOOKUP(IF(N40="",E40,N40),{0,1,25,100},{0,1.57,1.4412,1.298}),"")</f>
        <v>1.57</v>
      </c>
      <c r="P40" s="9">
        <f>IFERROR(IF(N40="",E40,N40)*O40,"")</f>
        <v>1.57</v>
      </c>
      <c r="Q40" s="10" t="s">
        <v>163</v>
      </c>
      <c r="R40" s="8">
        <v>677</v>
      </c>
      <c r="T40" s="9">
        <f>IFERROR(USD_GBP*LOOKUP(IF(S40="",E40,S40),{0,1,25,100},{0,1.43,1.31,1.19}),"")</f>
        <v>1.9845538131242408</v>
      </c>
      <c r="U40" s="9">
        <f>IFERROR(IF(S40="",E40,S40)*T40,"")</f>
        <v>1.9845538131242408</v>
      </c>
      <c r="V40" s="10" t="s">
        <v>177</v>
      </c>
      <c r="AB40" s="11" t="s">
        <v>145</v>
      </c>
      <c r="AD40" s="9">
        <f>IFERROR(LOOKUP(IF(AC40="",E40,AC40),{0,1,10,50,100,1000,10000},{0,1.43,1.43,1.31,1.18,1.18,1.18}),"")</f>
        <v>1.43</v>
      </c>
      <c r="AE40" s="9">
        <f>IFERROR(IF(AC40="",E40,AC40)*AD40,"")</f>
        <v>1.43</v>
      </c>
      <c r="AF40" s="10" t="s">
        <v>207</v>
      </c>
      <c r="AG40" s="8">
        <v>576</v>
      </c>
      <c r="AI40" s="9">
        <f>IFERROR(LOOKUP(IF(AH40="",E40,AH40),{0,1,10,25,50,100},{0,1.79,1.71,1.64,1.56,1.48}),"")</f>
        <v>1.79</v>
      </c>
      <c r="AJ40" s="9">
        <f>IFERROR(IF(AH40="",E40,AH40)*AI40,"")</f>
        <v>1.79</v>
      </c>
      <c r="AK40" s="10" t="s">
        <v>224</v>
      </c>
      <c r="AQ40" s="8">
        <v>25</v>
      </c>
      <c r="AS40" s="9">
        <f>IFERROR(USD_GBP*LOOKUP(IF(AR40="",E40,AR40),{0,1,5,25,100},{0,1.33,1.28,1.23,1.14}),"")</f>
        <v>1.8457738261924759</v>
      </c>
      <c r="AT40" s="9">
        <f>IFERROR(IF(AR40="",E40,AR40)*AS40,"")</f>
        <v>1.8457738261924759</v>
      </c>
      <c r="AU40" s="10" t="s">
        <v>237</v>
      </c>
    </row>
    <row r="41" spans="1:47" x14ac:dyDescent="0.2">
      <c r="A41" s="8" t="s">
        <v>115</v>
      </c>
      <c r="B41" s="8" t="s">
        <v>116</v>
      </c>
      <c r="C41" s="8" t="s">
        <v>117</v>
      </c>
      <c r="D41" s="8" t="s">
        <v>116</v>
      </c>
      <c r="E41" s="8">
        <f>BoardQty*1</f>
        <v>1</v>
      </c>
      <c r="F41" s="9">
        <f t="shared" ca="1" si="0"/>
        <v>1.95</v>
      </c>
      <c r="G41" s="9">
        <f t="shared" ca="1" si="1"/>
        <v>1.95</v>
      </c>
      <c r="M41" s="11" t="s">
        <v>145</v>
      </c>
      <c r="O41" s="9">
        <f>IFERROR(LOOKUP(IF(N41="",E41,N41),{0,1,25,100,3000},{0,1.95,1.63,1.48,1.48}),"")</f>
        <v>1.95</v>
      </c>
      <c r="P41" s="9">
        <f>IFERROR(IF(N41="",E41,N41)*O41,"")</f>
        <v>1.95</v>
      </c>
      <c r="Q41" s="10" t="s">
        <v>164</v>
      </c>
      <c r="R41" s="8">
        <v>2405</v>
      </c>
      <c r="T41" s="9">
        <f>IFERROR(USD_GBP*LOOKUP(IF(S41="",E41,S41),{0,1,10,25,100},{0,1.95,1.95,1.63,1.48}),"")</f>
        <v>2.7062097451694194</v>
      </c>
      <c r="U41" s="9">
        <f>IFERROR(IF(S41="",E41,S41)*T41,"")</f>
        <v>2.7062097451694194</v>
      </c>
      <c r="V41" s="10" t="s">
        <v>178</v>
      </c>
      <c r="AB41" s="11" t="s">
        <v>145</v>
      </c>
      <c r="AD41" s="9">
        <f>IFERROR(LOOKUP(IF(AC41="",E41,AC41),{0,1,10,50,100,1000,10000},{0,1.95,1.95,1.63,1.48,1.48,1.48}),"")</f>
        <v>1.95</v>
      </c>
      <c r="AE41" s="9">
        <f>IFERROR(IF(AC41="",E41,AC41)*AD41,"")</f>
        <v>1.95</v>
      </c>
      <c r="AF41" s="10" t="s">
        <v>208</v>
      </c>
      <c r="AG41" s="8">
        <v>2405</v>
      </c>
      <c r="AI41" s="9">
        <f>IFERROR(LOOKUP(IF(AH41="",E41,AH41),{0,1,10,25,3000},{0,2.14,1.97,1.85,1.48}),"")</f>
        <v>2.14</v>
      </c>
      <c r="AJ41" s="9">
        <f>IFERROR(IF(AH41="",E41,AH41)*AI41,"")</f>
        <v>2.14</v>
      </c>
      <c r="AK41" s="10" t="s">
        <v>225</v>
      </c>
    </row>
    <row r="42" spans="1:47" x14ac:dyDescent="0.2">
      <c r="A42" s="8" t="s">
        <v>118</v>
      </c>
      <c r="B42" s="8" t="s">
        <v>119</v>
      </c>
      <c r="C42" s="8" t="s">
        <v>120</v>
      </c>
      <c r="D42" s="8" t="s">
        <v>121</v>
      </c>
      <c r="E42" s="8">
        <f>BoardQty*1</f>
        <v>1</v>
      </c>
      <c r="F42" s="9">
        <f t="shared" ca="1" si="0"/>
        <v>1.59</v>
      </c>
      <c r="G42" s="9">
        <f t="shared" ca="1" si="1"/>
        <v>1.59</v>
      </c>
      <c r="M42" s="8">
        <v>994</v>
      </c>
      <c r="O42" s="9">
        <f>IFERROR(LOOKUP(IF(N42="",E42,N42),{0,1,10,50,100,500,1000},{0,1.59,1.523,1.4876,1.2751,1.2397,1.04489}),"")</f>
        <v>1.59</v>
      </c>
      <c r="P42" s="9">
        <f>IFERROR(IF(N42="",E42,N42)*O42,"")</f>
        <v>1.59</v>
      </c>
      <c r="Q42" s="10" t="s">
        <v>165</v>
      </c>
      <c r="R42" s="8">
        <v>1000</v>
      </c>
      <c r="T42" s="9">
        <f>IFERROR(USD_GBP*LOOKUP(IF(S42="",E42,S42),{0,1,10,50,100,250,500,1000,5000},{0,1.42,1.42,0.843,0.813,0.783,0.776,0.769,0.762}),"")</f>
        <v>1.9706758144310643</v>
      </c>
      <c r="U42" s="9">
        <f>IFERROR(IF(S42="",E42,S42)*T42,"")</f>
        <v>1.9706758144310643</v>
      </c>
      <c r="V42" s="10" t="s">
        <v>179</v>
      </c>
      <c r="AG42" s="8">
        <v>1000</v>
      </c>
      <c r="AI42" s="9">
        <f>IFERROR(LOOKUP(IF(AH42="",E42,AH42),{0,1,10,25,50,100,250,500},{0,2.27,2.16,2,1.8,1.61,1.4,1.2}),"")</f>
        <v>2.27</v>
      </c>
      <c r="AJ42" s="9">
        <f>IFERROR(IF(AH42="",E42,AH42)*AI42,"")</f>
        <v>2.27</v>
      </c>
      <c r="AK42" s="10" t="s">
        <v>226</v>
      </c>
    </row>
    <row r="44" spans="1:47" ht="17" x14ac:dyDescent="0.2">
      <c r="B44" s="12" t="s">
        <v>124</v>
      </c>
      <c r="F44" s="1" t="s">
        <v>122</v>
      </c>
      <c r="G44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44" s="6" t="str">
        <f>IFERROR(IF(OR(I7:I42),COUNTIFS(I7:I42,"&gt;0",K7:K42,"&lt;&gt;")&amp;" of "&amp;(ROWS(K7:K42)-COUNTBLANK(K7:K42))&amp;" parts purchased",""),"")</f>
        <v/>
      </c>
      <c r="K44" s="5">
        <f>SUMIF(I7:I42,"&gt;0",K7:K42)</f>
        <v>0</v>
      </c>
      <c r="N44" s="6" t="str">
        <f>IFERROR(IF(OR(N7:N42),COUNTIFS(N7:N42,"&gt;0",P7:P42,"&lt;&gt;")&amp;" of "&amp;(ROWS(P7:P42)-COUNTBLANK(P7:P42))&amp;" parts purchased",""),"")</f>
        <v/>
      </c>
      <c r="P44" s="5">
        <f>SUMIF(N7:N42,"&gt;0",P7:P42)</f>
        <v>0</v>
      </c>
      <c r="S44" s="6" t="str">
        <f>IFERROR(IF(OR(S7:S42),COUNTIFS(S7:S42,"&gt;0",U7:U42,"&lt;&gt;")&amp;" of "&amp;(ROWS(U7:U42)-COUNTBLANK(U7:U42))&amp;" parts purchased",""),"")</f>
        <v/>
      </c>
      <c r="U44" s="5">
        <f>SUMIF(S7:S42,"&gt;0",U7:U42)</f>
        <v>0</v>
      </c>
      <c r="X44" s="6" t="str">
        <f>IFERROR(IF(OR(X7:X42),COUNTIFS(X7:X42,"&gt;0",Z7:Z42,"&lt;&gt;")&amp;" of "&amp;(ROWS(Z7:Z42)-COUNTBLANK(Z7:Z42))&amp;" parts purchased",""),"")</f>
        <v/>
      </c>
      <c r="Z44" s="5">
        <f>SUMIF(X7:X42,"&gt;0",Z7:Z42)</f>
        <v>0</v>
      </c>
      <c r="AC44" s="6" t="str">
        <f>IFERROR(IF(OR(AC7:AC42),COUNTIFS(AC7:AC42,"&gt;0",AE7:AE42,"&lt;&gt;")&amp;" of "&amp;(ROWS(AE7:AE42)-COUNTBLANK(AE7:AE42))&amp;" parts purchased",""),"")</f>
        <v/>
      </c>
      <c r="AE44" s="5">
        <f>SUMIF(AC7:AC42,"&gt;0",AE7:AE42)</f>
        <v>0</v>
      </c>
      <c r="AH44" s="6" t="str">
        <f>IFERROR(IF(OR(AH7:AH42),COUNTIFS(AH7:AH42,"&gt;0",AJ7:AJ42,"&lt;&gt;")&amp;" of "&amp;(ROWS(AJ7:AJ42)-COUNTBLANK(AJ7:AJ42))&amp;" parts purchased",""),"")</f>
        <v/>
      </c>
      <c r="AJ44" s="5">
        <f>SUMIF(AH7:AH42,"&gt;0",AJ7:AJ42)</f>
        <v>0</v>
      </c>
      <c r="AM44" s="6" t="str">
        <f>IFERROR(IF(OR(AM7:AM42),COUNTIFS(AM7:AM42,"&gt;0",AO7:AO42,"&lt;&gt;")&amp;" of "&amp;(ROWS(AO7:AO42)-COUNTBLANK(AO7:AO42))&amp;" parts purchased",""),"")</f>
        <v/>
      </c>
      <c r="AO44" s="5">
        <f>SUMIF(AM7:AM42,"&gt;0",AO7:AO42)</f>
        <v>0</v>
      </c>
      <c r="AR44" s="6" t="str">
        <f>IFERROR(IF(OR(AR7:AR42),COUNTIFS(AR7:AR42,"&gt;0",AT7:AT42,"&lt;&gt;")&amp;" of "&amp;(ROWS(AT7:AT42)-COUNTBLANK(AT7:AT42))&amp;" parts purchased",""),"")</f>
        <v/>
      </c>
      <c r="AT44" s="5">
        <f>SUMIF(AR7:AR42,"&gt;0",AT7:AT42)</f>
        <v>0</v>
      </c>
    </row>
    <row r="45" spans="1:47" x14ac:dyDescent="0.2">
      <c r="B45" s="12" t="s">
        <v>125</v>
      </c>
      <c r="C45">
        <v>1.387799869317651</v>
      </c>
      <c r="F45" s="12" t="s">
        <v>123</v>
      </c>
      <c r="I45" t="str">
        <f t="array" ref="I45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45" t="str">
        <f t="array" ref="N45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45" t="str">
        <f t="array" ref="S45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45" s="6" t="str">
        <f>IFERROR(IF(COUNTIFS(X7:X42,"&gt;0",Z7:Z42,"&lt;&gt;")&gt;0,"Quantity,Comment,Designator,Footprint,LCSC Part #(optional)",""),"")</f>
        <v/>
      </c>
      <c r="AC45" t="str">
        <f t="array" ref="AC45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45" t="str">
        <f t="array" ref="AH45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45" t="str">
        <f t="array" ref="AM45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45" t="str">
        <f t="array" ref="AR45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46" spans="1:47" x14ac:dyDescent="0.2">
      <c r="I46" t="str">
        <f t="array" ref="I46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46" t="str">
        <f t="array" ref="N46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46" t="str">
        <f t="array" ref="S46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46" t="str">
        <f t="array" ref="X46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46" t="str">
        <f t="array" ref="AC46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46" t="str">
        <f t="array" ref="AH46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46" t="str">
        <f t="array" ref="AM46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46" t="str">
        <f t="array" ref="AR46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47" spans="1:47" ht="16" x14ac:dyDescent="0.2">
      <c r="A47" s="2" t="s">
        <v>238</v>
      </c>
      <c r="I47" t="str">
        <f t="array" ref="I47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47" t="str">
        <f t="array" ref="N47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47" t="str">
        <f t="array" ref="S47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47" t="str">
        <f t="array" ref="X47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47" t="str">
        <f t="array" ref="AC47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47" t="str">
        <f t="array" ref="AH47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47" t="str">
        <f t="array" ref="AM47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47" t="str">
        <f t="array" ref="AR47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48" spans="1:47" x14ac:dyDescent="0.2">
      <c r="I48" t="str">
        <f t="array" ref="I48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48" t="str">
        <f t="array" ref="N48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48" t="str">
        <f t="array" ref="S48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48" t="str">
        <f t="array" ref="X48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48" t="str">
        <f t="array" ref="AC48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48" t="str">
        <f t="array" ref="AH48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48" t="str">
        <f t="array" ref="AM48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48" t="str">
        <f t="array" ref="AR48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49" spans="9:44" x14ac:dyDescent="0.2">
      <c r="I49" t="str">
        <f t="array" ref="I49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49" t="str">
        <f t="array" ref="N49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49" t="str">
        <f t="array" ref="S49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49" t="str">
        <f t="array" ref="X49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49" t="str">
        <f t="array" ref="AC49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49" t="str">
        <f t="array" ref="AH49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49" t="str">
        <f t="array" ref="AM49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49" t="str">
        <f t="array" ref="AR49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0" spans="9:44" x14ac:dyDescent="0.2">
      <c r="I50" t="str">
        <f t="array" ref="I50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0" t="str">
        <f t="array" ref="N50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0" t="str">
        <f t="array" ref="S50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0" t="str">
        <f t="array" ref="X50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0" t="str">
        <f t="array" ref="AC50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0" t="str">
        <f t="array" ref="AH50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0" t="str">
        <f t="array" ref="AM50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0" t="str">
        <f t="array" ref="AR50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1" spans="9:44" x14ac:dyDescent="0.2">
      <c r="I51" t="str">
        <f t="array" ref="I51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1" t="str">
        <f t="array" ref="N51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1" t="str">
        <f t="array" ref="S51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1" t="str">
        <f t="array" ref="X51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1" t="str">
        <f t="array" ref="AC51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1" t="str">
        <f t="array" ref="AH51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1" t="str">
        <f t="array" ref="AM51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1" t="str">
        <f t="array" ref="AR51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2" spans="9:44" x14ac:dyDescent="0.2">
      <c r="I52" t="str">
        <f t="array" ref="I52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2" t="str">
        <f t="array" ref="N52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2" t="str">
        <f t="array" ref="S52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2" t="str">
        <f t="array" ref="X52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2" t="str">
        <f t="array" ref="AC52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2" t="str">
        <f t="array" ref="AH52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2" t="str">
        <f t="array" ref="AM52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2" t="str">
        <f t="array" ref="AR52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3" spans="9:44" x14ac:dyDescent="0.2">
      <c r="I53" t="str">
        <f t="array" ref="I53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3" t="str">
        <f t="array" ref="N53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3" t="str">
        <f t="array" ref="S53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3" t="str">
        <f t="array" ref="X53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3" t="str">
        <f t="array" ref="AC53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3" t="str">
        <f t="array" ref="AH53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3" t="str">
        <f t="array" ref="AM53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3" t="str">
        <f t="array" ref="AR53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4" spans="9:44" x14ac:dyDescent="0.2">
      <c r="I54" t="str">
        <f t="array" ref="I54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4" t="str">
        <f t="array" ref="N54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4" t="str">
        <f t="array" ref="S54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4" t="str">
        <f t="array" ref="X54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4" t="str">
        <f t="array" ref="AC54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4" t="str">
        <f t="array" ref="AH54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4" t="str">
        <f t="array" ref="AM54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4" t="str">
        <f t="array" ref="AR54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5" spans="9:44" x14ac:dyDescent="0.2">
      <c r="I55" t="str">
        <f t="array" ref="I55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5" t="str">
        <f t="array" ref="N55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5" t="str">
        <f t="array" ref="S55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5" t="str">
        <f t="array" ref="X55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5" t="str">
        <f t="array" ref="AC55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5" t="str">
        <f t="array" ref="AH55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5" t="str">
        <f t="array" ref="AM55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5" t="str">
        <f t="array" ref="AR55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6" spans="9:44" x14ac:dyDescent="0.2">
      <c r="I56" t="str">
        <f t="array" ref="I56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6" t="str">
        <f t="array" ref="N56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6" t="str">
        <f t="array" ref="S56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6" t="str">
        <f t="array" ref="X56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6" t="str">
        <f t="array" ref="AC56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6" t="str">
        <f t="array" ref="AH56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6" t="str">
        <f t="array" ref="AM56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6" t="str">
        <f t="array" ref="AR56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7" spans="9:44" x14ac:dyDescent="0.2">
      <c r="I57" t="str">
        <f t="array" ref="I57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7" t="str">
        <f t="array" ref="N57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7" t="str">
        <f t="array" ref="S57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7" t="str">
        <f t="array" ref="X57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7" t="str">
        <f t="array" ref="AC57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7" t="str">
        <f t="array" ref="AH57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7" t="str">
        <f t="array" ref="AM57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7" t="str">
        <f t="array" ref="AR57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8" spans="9:44" x14ac:dyDescent="0.2">
      <c r="I58" t="str">
        <f t="array" ref="I58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8" t="str">
        <f t="array" ref="N58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8" t="str">
        <f t="array" ref="S58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8" t="str">
        <f t="array" ref="X58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8" t="str">
        <f t="array" ref="AC58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8" t="str">
        <f t="array" ref="AH58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8" t="str">
        <f t="array" ref="AM58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8" t="str">
        <f t="array" ref="AR58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59" spans="9:44" x14ac:dyDescent="0.2">
      <c r="I59" t="str">
        <f t="array" ref="I59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59" t="str">
        <f t="array" ref="N59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59" t="str">
        <f t="array" ref="S59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59" t="str">
        <f t="array" ref="X59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59" t="str">
        <f t="array" ref="AC59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59" t="str">
        <f t="array" ref="AH59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59" t="str">
        <f t="array" ref="AM59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59" t="str">
        <f t="array" ref="AR59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0" spans="9:44" x14ac:dyDescent="0.2">
      <c r="I60" t="str">
        <f t="array" ref="I60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0" t="str">
        <f t="array" ref="N60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0" t="str">
        <f t="array" ref="S60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0" t="str">
        <f t="array" ref="X60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0" t="str">
        <f t="array" ref="AC60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0" t="str">
        <f t="array" ref="AH60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0" t="str">
        <f t="array" ref="AM60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0" t="str">
        <f t="array" ref="AR60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1" spans="9:44" x14ac:dyDescent="0.2">
      <c r="I61" t="str">
        <f t="array" ref="I61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1" t="str">
        <f t="array" ref="N61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1" t="str">
        <f t="array" ref="S61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1" t="str">
        <f t="array" ref="X61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1" t="str">
        <f t="array" ref="AC61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1" t="str">
        <f t="array" ref="AH61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1" t="str">
        <f t="array" ref="AM61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1" t="str">
        <f t="array" ref="AR61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2" spans="9:44" x14ac:dyDescent="0.2">
      <c r="I62" t="str">
        <f t="array" ref="I62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2" t="str">
        <f t="array" ref="N62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2" t="str">
        <f t="array" ref="S62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2" t="str">
        <f t="array" ref="X62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2" t="str">
        <f t="array" ref="AC62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2" t="str">
        <f t="array" ref="AH62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2" t="str">
        <f t="array" ref="AM62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2" t="str">
        <f t="array" ref="AR62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3" spans="9:44" x14ac:dyDescent="0.2">
      <c r="I63" t="str">
        <f t="array" ref="I63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3" t="str">
        <f t="array" ref="N63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3" t="str">
        <f t="array" ref="S63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3" t="str">
        <f t="array" ref="X63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3" t="str">
        <f t="array" ref="AC63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3" t="str">
        <f t="array" ref="AH63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3" t="str">
        <f t="array" ref="AM63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3" t="str">
        <f t="array" ref="AR63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4" spans="9:44" x14ac:dyDescent="0.2">
      <c r="I64" t="str">
        <f t="array" ref="I64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4" t="str">
        <f t="array" ref="N64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4" t="str">
        <f t="array" ref="S64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4" t="str">
        <f t="array" ref="X64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4" t="str">
        <f t="array" ref="AC64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4" t="str">
        <f t="array" ref="AH64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4" t="str">
        <f t="array" ref="AM64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4" t="str">
        <f t="array" ref="AR64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5" spans="9:44" x14ac:dyDescent="0.2">
      <c r="I65" t="str">
        <f t="array" ref="I65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5" t="str">
        <f t="array" ref="N65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5" t="str">
        <f t="array" ref="S65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5" t="str">
        <f t="array" ref="X65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5" t="str">
        <f t="array" ref="AC65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5" t="str">
        <f t="array" ref="AH65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5" t="str">
        <f t="array" ref="AM65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5" t="str">
        <f t="array" ref="AR65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6" spans="9:44" x14ac:dyDescent="0.2">
      <c r="I66" t="str">
        <f t="array" ref="I66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6" t="str">
        <f t="array" ref="N66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6" t="str">
        <f t="array" ref="S66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6" t="str">
        <f t="array" ref="X66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6" t="str">
        <f t="array" ref="AC66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6" t="str">
        <f t="array" ref="AH66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6" t="str">
        <f t="array" ref="AM66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6" t="str">
        <f t="array" ref="AR66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7" spans="9:44" x14ac:dyDescent="0.2">
      <c r="I67" t="str">
        <f t="array" ref="I67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7" t="str">
        <f t="array" ref="N67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7" t="str">
        <f t="array" ref="S67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7" t="str">
        <f t="array" ref="X67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7" t="str">
        <f t="array" ref="AC67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7" t="str">
        <f t="array" ref="AH67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7" t="str">
        <f t="array" ref="AM67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7" t="str">
        <f t="array" ref="AR67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8" spans="9:44" x14ac:dyDescent="0.2">
      <c r="I68" t="str">
        <f t="array" ref="I68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8" t="str">
        <f t="array" ref="N68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8" t="str">
        <f t="array" ref="S68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8" t="str">
        <f t="array" ref="X68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8" t="str">
        <f t="array" ref="AC68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8" t="str">
        <f t="array" ref="AH68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8" t="str">
        <f t="array" ref="AM68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8" t="str">
        <f t="array" ref="AR68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69" spans="9:44" x14ac:dyDescent="0.2">
      <c r="I69" t="str">
        <f t="array" ref="I69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69" t="str">
        <f t="array" ref="N69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69" t="str">
        <f t="array" ref="S69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69" t="str">
        <f t="array" ref="X69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69" t="str">
        <f t="array" ref="AC69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69" t="str">
        <f t="array" ref="AH69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69" t="str">
        <f t="array" ref="AM69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69" t="str">
        <f t="array" ref="AR69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0" spans="9:44" x14ac:dyDescent="0.2">
      <c r="I70" t="str">
        <f t="array" ref="I70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0" t="str">
        <f t="array" ref="N70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0" t="str">
        <f t="array" ref="S70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0" t="str">
        <f t="array" ref="X70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0" t="str">
        <f t="array" ref="AC70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0" t="str">
        <f t="array" ref="AH70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0" t="str">
        <f t="array" ref="AM70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0" t="str">
        <f t="array" ref="AR70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1" spans="9:44" x14ac:dyDescent="0.2">
      <c r="I71" t="str">
        <f t="array" ref="I71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1" t="str">
        <f t="array" ref="N71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1" t="str">
        <f t="array" ref="S71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1" t="str">
        <f t="array" ref="X71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1" t="str">
        <f t="array" ref="AC71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1" t="str">
        <f t="array" ref="AH71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1" t="str">
        <f t="array" ref="AM71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1" t="str">
        <f t="array" ref="AR71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2" spans="9:44" x14ac:dyDescent="0.2">
      <c r="I72" t="str">
        <f t="array" ref="I72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2" t="str">
        <f t="array" ref="N72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2" t="str">
        <f t="array" ref="S72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2" t="str">
        <f t="array" ref="X72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2" t="str">
        <f t="array" ref="AC72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2" t="str">
        <f t="array" ref="AH72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2" t="str">
        <f t="array" ref="AM72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2" t="str">
        <f t="array" ref="AR72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3" spans="9:44" x14ac:dyDescent="0.2">
      <c r="I73" t="str">
        <f t="array" ref="I73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3" t="str">
        <f t="array" ref="N73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3" t="str">
        <f t="array" ref="S73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3" t="str">
        <f t="array" ref="X73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3" t="str">
        <f t="array" ref="AC73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3" t="str">
        <f t="array" ref="AH73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3" t="str">
        <f t="array" ref="AM73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3" t="str">
        <f t="array" ref="AR73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4" spans="9:44" x14ac:dyDescent="0.2">
      <c r="I74" t="str">
        <f t="array" ref="I74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4" t="str">
        <f t="array" ref="N74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4" t="str">
        <f t="array" ref="S74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4" t="str">
        <f t="array" ref="X74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4" t="str">
        <f t="array" ref="AC74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4" t="str">
        <f t="array" ref="AH74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4" t="str">
        <f t="array" ref="AM74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4" t="str">
        <f t="array" ref="AR74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5" spans="9:44" x14ac:dyDescent="0.2">
      <c r="I75" t="str">
        <f t="array" ref="I75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5" t="str">
        <f t="array" ref="N75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5" t="str">
        <f t="array" ref="S75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5" t="str">
        <f t="array" ref="X75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5" t="str">
        <f t="array" ref="AC75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5" t="str">
        <f t="array" ref="AH75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5" t="str">
        <f t="array" ref="AM75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5" t="str">
        <f t="array" ref="AR75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6" spans="9:44" x14ac:dyDescent="0.2">
      <c r="I76" t="str">
        <f t="array" ref="I76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6" t="str">
        <f t="array" ref="N76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6" t="str">
        <f t="array" ref="S76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6" t="str">
        <f t="array" ref="X76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6" t="str">
        <f t="array" ref="AC76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6" t="str">
        <f t="array" ref="AH76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6" t="str">
        <f t="array" ref="AM76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6" t="str">
        <f t="array" ref="AR76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7" spans="9:44" x14ac:dyDescent="0.2">
      <c r="I77" t="str">
        <f t="array" ref="I77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7" t="str">
        <f t="array" ref="N77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7" t="str">
        <f t="array" ref="S77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7" t="str">
        <f t="array" ref="X77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7" t="str">
        <f t="array" ref="AC77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7" t="str">
        <f t="array" ref="AH77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7" t="str">
        <f t="array" ref="AM77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7" t="str">
        <f t="array" ref="AR77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8" spans="9:44" x14ac:dyDescent="0.2">
      <c r="I78" t="str">
        <f t="array" ref="I78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8" t="str">
        <f t="array" ref="N78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8" t="str">
        <f t="array" ref="S78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8" t="str">
        <f t="array" ref="X78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8" t="str">
        <f t="array" ref="AC78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8" t="str">
        <f t="array" ref="AH78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8" t="str">
        <f t="array" ref="AM78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8" t="str">
        <f t="array" ref="AR78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79" spans="9:44" x14ac:dyDescent="0.2">
      <c r="I79" t="str">
        <f t="array" ref="I79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79" t="str">
        <f t="array" ref="N79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79" t="str">
        <f t="array" ref="S79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79" t="str">
        <f t="array" ref="X79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79" t="str">
        <f t="array" ref="AC79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79" t="str">
        <f t="array" ref="AH79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79" t="str">
        <f t="array" ref="AM79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79" t="str">
        <f t="array" ref="AR79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80" spans="9:44" x14ac:dyDescent="0.2">
      <c r="I80" t="str">
        <f t="array" ref="I80">IFERROR(CONCATENATE(INDEX(L7:L42,SMALL(IF(ISNUMBER(I7:I42),IF(I7:I42&gt;0,IF(L7:L42&lt;&gt;"",ROW(I7:I42)-MIN(ROW(I7:I42))+1))),ROW()-ROW(A$45)+1)),",",TEXT(INDEX(I7:I42,SMALL(IF(ISNUMBER(I7:I42),IF(I7:I42&gt;0,IF(L7:L42&lt;&gt;"",ROW(I7:I42)-MIN(ROW(I7:I42))+1))),ROW()-ROW(A$45)+1)),"##0"),",",SUBSTITUTE(INDEX(IF(PURCHASE_DESCRIPTION&lt;&gt;"",PURCHASE_DESCRIPTION&amp;":","")&amp;A7:A42,SMALL(IF(ISNUMBER(I7:I42),IF(I7:I42&gt;0,IF(L7:L42&lt;&gt;"",ROW(I7:I42)-MIN(ROW(I7:I42))+1))),ROW()-ROW(A$45)+1)),",",";")),"")</f>
        <v/>
      </c>
      <c r="N80" t="str">
        <f t="array" ref="N80">IFERROR(CONCATENATE(TEXT(INDEX(N7:N42,SMALL(IF(ISNUMBER(N7:N42),IF(N7:N42&gt;0,IF(Q7:Q42&lt;&gt;"",ROW(N7:N42)-MIN(ROW(N7:N42))+1))),ROW()-ROW(A$45)+1)),"##0"),",",INDEX(Q7:Q42,SMALL(IF(ISNUMBER(N7:N42),IF(N7:N42&gt;0,IF(Q7:Q42&lt;&gt;"",ROW(N7:N42)-MIN(ROW(N7:N42))+1))),ROW()-ROW(A$45)+1)),",",SUBSTITUTE(INDEX(IF(PURCHASE_DESCRIPTION&lt;&gt;"",PURCHASE_DESCRIPTION&amp;":","")&amp;A7:A42,SMALL(IF(ISNUMBER(N7:N42),IF(N7:N42&gt;0,IF(Q7:Q42&lt;&gt;"",ROW(N7:N42)-MIN(ROW(N7:N42))+1))),ROW()-ROW(A$45)+1)),",",";")),"")</f>
        <v/>
      </c>
      <c r="S80" t="str">
        <f t="array" ref="S80">IFERROR(CONCATENATE(INDEX(V7:V42,SMALL(IF(ISNUMBER(S7:S42),IF(S7:S42&gt;0,IF(V7:V42&lt;&gt;"",ROW(S7:S42)-MIN(ROW(S7:S42))+1))),ROW()-ROW(A$45)+1))," ",TEXT(INDEX(S7:S42,SMALL(IF(ISNUMBER(S7:S42),IF(S7:S42&gt;0,IF(V7:V42&lt;&gt;"",ROW(S7:S42)-MIN(ROW(S7:S42))+1))),ROW()-ROW(A$45)+1)),"##0")," ",SUBSTITUTE(INDEX(IF(PURCHASE_DESCRIPTION&lt;&gt;"",PURCHASE_DESCRIPTION&amp;":","")&amp;A7:A42,SMALL(IF(ISNUMBER(S7:S42),IF(S7:S42&gt;0,IF(V7:V42&lt;&gt;"",ROW(S7:S42)-MIN(ROW(S7:S42))+1))),ROW()-ROW(A$45)+1))," ",";")),"")</f>
        <v/>
      </c>
      <c r="X80" t="str">
        <f t="array" ref="X80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  <c r="AC80" t="str">
        <f t="array" ref="AC80">IFERROR(CONCATENATE(INDEX(AF7:AF42,SMALL(IF(ISNUMBER(AC7:AC42),IF(AC7:AC42&gt;0,IF(AF7:AF42&lt;&gt;"",ROW(AC7:AC42)-MIN(ROW(AC7:AC42))+1))),ROW()-ROW(A$45)+1)),"|",TEXT(INDEX(AC7:AC42,SMALL(IF(ISNUMBER(AC7:AC42),IF(AC7:AC42&gt;0,IF(AF7:AF42&lt;&gt;"",ROW(AC7:AC42)-MIN(ROW(AC7:AC42))+1))),ROW()-ROW(A$45)+1)),"##0"),"|",SUBSTITUTE(SUBSTITUTE(INDEX(IF(PURCHASE_DESCRIPTION&lt;&gt;"",PURCHASE_DESCRIPTION&amp;":","")&amp;A7:A42,SMALL(IF(ISNUMBER(AC7:AC42),IF(AC7:AC42&gt;0,IF(AF7:AF42&lt;&gt;"",ROW(AC7:AC42)-MIN(ROW(AC7:AC42))+1))),ROW()-ROW(A$45)+1)),"|",";")," ","_")),"")</f>
        <v/>
      </c>
      <c r="AH80" t="str">
        <f t="array" ref="AH80">IFERROR(CONCATENATE(INDEX(AK7:AK42,SMALL(IF(ISNUMBER(AH7:AH42),IF(AH7:AH42&gt;0,IF(AK7:AK42&lt;&gt;"",ROW(AH7:AH42)-MIN(ROW(AH7:AH42))+1))),ROW()-ROW(A$45)+1)),",",TEXT(INDEX(AH7:AH42,SMALL(IF(ISNUMBER(AH7:AH42),IF(AH7:AH42&gt;0,IF(AK7:AK42&lt;&gt;"",ROW(AH7:AH42)-MIN(ROW(AH7:AH42))+1))),ROW()-ROW(A$45)+1)),"##0"),",",SUBSTITUTE(INDEX(IF(PURCHASE_DESCRIPTION&lt;&gt;"",PURCHASE_DESCRIPTION&amp;":","")&amp;A7:A42,SMALL(IF(ISNUMBER(AH7:AH42),IF(AH7:AH42&gt;0,IF(AK7:AK42&lt;&gt;"",ROW(AH7:AH42)-MIN(ROW(AH7:AH42))+1))),ROW()-ROW(A$45)+1)),",",";")),"")</f>
        <v/>
      </c>
      <c r="AM80" t="str">
        <f t="array" ref="AM80">IFERROR(CONCATENATE(INDEX(AP7:AP42,SMALL(IF(ISNUMBER(AM7:AM42),IF(AM7:AM42&gt;0,IF(AP7:AP42&lt;&gt;"",ROW(AM7:AM42)-MIN(ROW(AM7:AM42))+1))),ROW()-ROW(A$45)+1))," ",TEXT(INDEX(AM7:AM42,SMALL(IF(ISNUMBER(AM7:AM42),IF(AM7:AM42&gt;0,IF(AP7:AP42&lt;&gt;"",ROW(AM7:AM42)-MIN(ROW(AM7:AM42))+1))),ROW()-ROW(A$45)+1)),"##0")," ",SUBSTITUTE(INDEX(IF(PURCHASE_DESCRIPTION&lt;&gt;"",PURCHASE_DESCRIPTION&amp;":","")&amp;A7:A42,SMALL(IF(ISNUMBER(AM7:AM42),IF(AM7:AM42&gt;0,IF(AP7:AP42&lt;&gt;"",ROW(AM7:AM42)-MIN(ROW(AM7:AM42))+1))),ROW()-ROW(A$45)+1))," ",";")),"")</f>
        <v/>
      </c>
      <c r="AR80" t="str">
        <f t="array" ref="AR80">IFERROR(CONCATENATE(INDEX(AU7:AU42,SMALL(IF(ISNUMBER(AR7:AR42),IF(AR7:AR42&gt;0,IF(AU7:AU42&lt;&gt;"",ROW(AR7:AR42)-MIN(ROW(AR7:AR42))+1))),ROW()-ROW(A$45)+1))," ",TEXT(INDEX(AR7:AR42,SMALL(IF(ISNUMBER(AR7:AR42),IF(AR7:AR42&gt;0,IF(AU7:AU42&lt;&gt;"",ROW(AR7:AR42)-MIN(ROW(AR7:AR42))+1))),ROW()-ROW(A$45)+1)),"##0")," ",SUBSTITUTE(INDEX(IF(PURCHASE_DESCRIPTION&lt;&gt;"",PURCHASE_DESCRIPTION&amp;":","")&amp;A7:A42,SMALL(IF(ISNUMBER(AR7:AR42),IF(AR7:AR42&gt;0,IF(AU7:AU42&lt;&gt;"",ROW(AR7:AR42)-MIN(ROW(AR7:AR42))+1))),ROW()-ROW(A$45)+1))," ",";")),"")</f>
        <v/>
      </c>
    </row>
    <row r="81" spans="24:24" x14ac:dyDescent="0.2">
      <c r="X81" t="str">
        <f t="array" ref="X81">IFERROR(CONCATENATE(TEXT(INDEX(X7:X42,SMALL(IF(ISNUMBER(X7:X42),IF(X7:X42&gt;0,IF(AA7:AA42&lt;&gt;"",ROW(X7:X42)-MIN(ROW(X7:X42))+1))),ROW()-ROW(A$46)+1)),"##0"),",",SUBSTITUTE(INDEX(IF(PURCHASE_DESCRIPTION&lt;&gt;"",PURCHASE_DESCRIPTION&amp;":","")&amp;A7:A42,SMALL(IF(ISNUMBER(X7:X42),IF(X7:X42&gt;0,IF(AA7:AA42&lt;&gt;"",ROW(X7:X42)-MIN(ROW(X7:X42))+1))),ROW()-ROW(A$46)+1)),",",";"),",",SUBSTITUTE(INDEX(IF(PURCHASE_DESCRIPTION&lt;&gt;"",PURCHASE_DESCRIPTION&amp;":","")&amp;C7:C42,SMALL(IF(ISNUMBER(X7:X42),IF(X7:X42&gt;0,IF(AA7:AA42&lt;&gt;"",ROW(X7:X42)-MIN(ROW(X7:X42))+1))),ROW()-ROW(A$46)+1)),",",";"),",",INDEX(AA7:AA42,SMALL(IF(ISNUMBER(X7:X42),IF(X7:X42&gt;0,IF(AA7:AA42&lt;&gt;"",ROW(X7:X42)-MIN(ROW(X7:X42))+1))),ROW()-ROW(A$46)+1))),"")</f>
        <v/>
      </c>
    </row>
  </sheetData>
  <mergeCells count="9">
    <mergeCell ref="AB5:AF5"/>
    <mergeCell ref="AG5:AK5"/>
    <mergeCell ref="AL5:AP5"/>
    <mergeCell ref="AQ5:AU5"/>
    <mergeCell ref="A5:G5"/>
    <mergeCell ref="H5:L5"/>
    <mergeCell ref="M5:Q5"/>
    <mergeCell ref="R5:V5"/>
    <mergeCell ref="W5:AA5"/>
  </mergeCells>
  <conditionalFormatting sqref="AB10">
    <cfRule type="cellIs" dxfId="706" priority="418" operator="equal">
      <formula>0</formula>
    </cfRule>
    <cfRule type="cellIs" dxfId="705" priority="419" operator="lessThan">
      <formula>E10</formula>
    </cfRule>
  </conditionalFormatting>
  <conditionalFormatting sqref="AB11">
    <cfRule type="cellIs" dxfId="704" priority="423" operator="equal">
      <formula>0</formula>
    </cfRule>
    <cfRule type="cellIs" dxfId="703" priority="424" operator="lessThan">
      <formula>E11</formula>
    </cfRule>
  </conditionalFormatting>
  <conditionalFormatting sqref="AB12">
    <cfRule type="cellIs" dxfId="702" priority="428" operator="equal">
      <formula>0</formula>
    </cfRule>
    <cfRule type="cellIs" dxfId="701" priority="429" operator="lessThan">
      <formula>E12</formula>
    </cfRule>
  </conditionalFormatting>
  <conditionalFormatting sqref="AB13">
    <cfRule type="cellIs" dxfId="700" priority="433" operator="equal">
      <formula>0</formula>
    </cfRule>
    <cfRule type="cellIs" dxfId="699" priority="434" operator="lessThan">
      <formula>E13</formula>
    </cfRule>
  </conditionalFormatting>
  <conditionalFormatting sqref="AB14">
    <cfRule type="cellIs" dxfId="698" priority="438" operator="equal">
      <formula>0</formula>
    </cfRule>
    <cfRule type="cellIs" dxfId="697" priority="439" operator="lessThan">
      <formula>E14</formula>
    </cfRule>
  </conditionalFormatting>
  <conditionalFormatting sqref="AB15">
    <cfRule type="cellIs" dxfId="696" priority="443" operator="equal">
      <formula>0</formula>
    </cfRule>
    <cfRule type="cellIs" dxfId="695" priority="444" operator="lessThan">
      <formula>E15</formula>
    </cfRule>
  </conditionalFormatting>
  <conditionalFormatting sqref="AB18">
    <cfRule type="cellIs" dxfId="694" priority="448" operator="equal">
      <formula>0</formula>
    </cfRule>
    <cfRule type="cellIs" dxfId="693" priority="449" operator="lessThan">
      <formula>E18</formula>
    </cfRule>
  </conditionalFormatting>
  <conditionalFormatting sqref="AB19">
    <cfRule type="cellIs" dxfId="692" priority="453" operator="equal">
      <formula>0</formula>
    </cfRule>
    <cfRule type="cellIs" dxfId="691" priority="454" operator="lessThan">
      <formula>E19</formula>
    </cfRule>
  </conditionalFormatting>
  <conditionalFormatting sqref="AB22">
    <cfRule type="cellIs" dxfId="690" priority="458" operator="equal">
      <formula>0</formula>
    </cfRule>
    <cfRule type="cellIs" dxfId="689" priority="459" operator="lessThan">
      <formula>E22</formula>
    </cfRule>
  </conditionalFormatting>
  <conditionalFormatting sqref="AB26">
    <cfRule type="cellIs" dxfId="688" priority="463" operator="equal">
      <formula>0</formula>
    </cfRule>
    <cfRule type="cellIs" dxfId="687" priority="464" operator="lessThan">
      <formula>E26</formula>
    </cfRule>
  </conditionalFormatting>
  <conditionalFormatting sqref="AB27">
    <cfRule type="cellIs" dxfId="686" priority="468" operator="equal">
      <formula>0</formula>
    </cfRule>
    <cfRule type="cellIs" dxfId="685" priority="469" operator="lessThan">
      <formula>E27</formula>
    </cfRule>
  </conditionalFormatting>
  <conditionalFormatting sqref="AB28">
    <cfRule type="cellIs" dxfId="684" priority="473" operator="equal">
      <formula>0</formula>
    </cfRule>
    <cfRule type="cellIs" dxfId="683" priority="474" operator="lessThan">
      <formula>E28</formula>
    </cfRule>
  </conditionalFormatting>
  <conditionalFormatting sqref="AB30">
    <cfRule type="cellIs" dxfId="682" priority="478" operator="equal">
      <formula>0</formula>
    </cfRule>
    <cfRule type="cellIs" dxfId="681" priority="479" operator="lessThan">
      <formula>E30</formula>
    </cfRule>
  </conditionalFormatting>
  <conditionalFormatting sqref="AB33">
    <cfRule type="cellIs" dxfId="680" priority="483" operator="equal">
      <formula>0</formula>
    </cfRule>
    <cfRule type="cellIs" dxfId="679" priority="484" operator="lessThan">
      <formula>E33</formula>
    </cfRule>
  </conditionalFormatting>
  <conditionalFormatting sqref="AB35">
    <cfRule type="cellIs" dxfId="678" priority="488" operator="equal">
      <formula>0</formula>
    </cfRule>
    <cfRule type="cellIs" dxfId="677" priority="489" operator="lessThan">
      <formula>E35</formula>
    </cfRule>
  </conditionalFormatting>
  <conditionalFormatting sqref="AB36">
    <cfRule type="cellIs" dxfId="676" priority="493" operator="equal">
      <formula>0</formula>
    </cfRule>
    <cfRule type="cellIs" dxfId="675" priority="494" operator="lessThan">
      <formula>E36</formula>
    </cfRule>
  </conditionalFormatting>
  <conditionalFormatting sqref="AB37">
    <cfRule type="cellIs" dxfId="674" priority="498" operator="equal">
      <formula>0</formula>
    </cfRule>
    <cfRule type="cellIs" dxfId="673" priority="499" operator="lessThan">
      <formula>E37</formula>
    </cfRule>
  </conditionalFormatting>
  <conditionalFormatting sqref="AB39">
    <cfRule type="cellIs" dxfId="672" priority="503" operator="equal">
      <formula>0</formula>
    </cfRule>
    <cfRule type="cellIs" dxfId="671" priority="504" operator="lessThan">
      <formula>E39</formula>
    </cfRule>
  </conditionalFormatting>
  <conditionalFormatting sqref="AB40">
    <cfRule type="cellIs" dxfId="670" priority="508" operator="equal">
      <formula>0</formula>
    </cfRule>
    <cfRule type="cellIs" dxfId="669" priority="509" operator="lessThan">
      <formula>E40</formula>
    </cfRule>
  </conditionalFormatting>
  <conditionalFormatting sqref="AB41">
    <cfRule type="cellIs" dxfId="668" priority="513" operator="equal">
      <formula>0</formula>
    </cfRule>
    <cfRule type="cellIs" dxfId="667" priority="514" operator="lessThan">
      <formula>E41</formula>
    </cfRule>
  </conditionalFormatting>
  <conditionalFormatting sqref="AB7">
    <cfRule type="cellIs" dxfId="666" priority="403" operator="equal">
      <formula>0</formula>
    </cfRule>
    <cfRule type="cellIs" dxfId="665" priority="404" operator="lessThan">
      <formula>E7</formula>
    </cfRule>
  </conditionalFormatting>
  <conditionalFormatting sqref="AB8">
    <cfRule type="cellIs" dxfId="664" priority="408" operator="equal">
      <formula>0</formula>
    </cfRule>
    <cfRule type="cellIs" dxfId="663" priority="409" operator="lessThan">
      <formula>E8</formula>
    </cfRule>
  </conditionalFormatting>
  <conditionalFormatting sqref="AB9">
    <cfRule type="cellIs" dxfId="662" priority="413" operator="equal">
      <formula>0</formula>
    </cfRule>
    <cfRule type="cellIs" dxfId="661" priority="414" operator="lessThan">
      <formula>E9</formula>
    </cfRule>
  </conditionalFormatting>
  <conditionalFormatting sqref="AC10">
    <cfRule type="cellIs" dxfId="660" priority="420" operator="greaterThan">
      <formula>AB10</formula>
    </cfRule>
  </conditionalFormatting>
  <conditionalFormatting sqref="AC11">
    <cfRule type="cellIs" dxfId="659" priority="425" operator="greaterThan">
      <formula>AB11</formula>
    </cfRule>
  </conditionalFormatting>
  <conditionalFormatting sqref="AC12">
    <cfRule type="cellIs" dxfId="658" priority="430" operator="greaterThan">
      <formula>AB12</formula>
    </cfRule>
  </conditionalFormatting>
  <conditionalFormatting sqref="AC13">
    <cfRule type="cellIs" dxfId="657" priority="435" operator="greaterThan">
      <formula>AB13</formula>
    </cfRule>
  </conditionalFormatting>
  <conditionalFormatting sqref="AC14">
    <cfRule type="cellIs" dxfId="656" priority="440" operator="greaterThan">
      <formula>AB14</formula>
    </cfRule>
  </conditionalFormatting>
  <conditionalFormatting sqref="AC15">
    <cfRule type="cellIs" dxfId="655" priority="445" operator="greaterThan">
      <formula>AB15</formula>
    </cfRule>
  </conditionalFormatting>
  <conditionalFormatting sqref="AC18">
    <cfRule type="cellIs" dxfId="654" priority="450" operator="greaterThan">
      <formula>AB18</formula>
    </cfRule>
  </conditionalFormatting>
  <conditionalFormatting sqref="AC19">
    <cfRule type="cellIs" dxfId="653" priority="455" operator="greaterThan">
      <formula>AB19</formula>
    </cfRule>
  </conditionalFormatting>
  <conditionalFormatting sqref="AC22">
    <cfRule type="cellIs" dxfId="652" priority="460" operator="greaterThan">
      <formula>AB22</formula>
    </cfRule>
  </conditionalFormatting>
  <conditionalFormatting sqref="AC26">
    <cfRule type="cellIs" dxfId="651" priority="465" operator="greaterThan">
      <formula>AB26</formula>
    </cfRule>
  </conditionalFormatting>
  <conditionalFormatting sqref="AC27">
    <cfRule type="cellIs" dxfId="650" priority="470" operator="greaterThan">
      <formula>AB27</formula>
    </cfRule>
  </conditionalFormatting>
  <conditionalFormatting sqref="AC28">
    <cfRule type="cellIs" dxfId="649" priority="475" operator="greaterThan">
      <formula>AB28</formula>
    </cfRule>
  </conditionalFormatting>
  <conditionalFormatting sqref="AC30">
    <cfRule type="cellIs" dxfId="648" priority="480" operator="greaterThan">
      <formula>AB30</formula>
    </cfRule>
  </conditionalFormatting>
  <conditionalFormatting sqref="AC33">
    <cfRule type="cellIs" dxfId="647" priority="485" operator="greaterThan">
      <formula>AB33</formula>
    </cfRule>
  </conditionalFormatting>
  <conditionalFormatting sqref="AC35">
    <cfRule type="cellIs" dxfId="646" priority="490" operator="greaterThan">
      <formula>AB35</formula>
    </cfRule>
  </conditionalFormatting>
  <conditionalFormatting sqref="AC36">
    <cfRule type="cellIs" dxfId="645" priority="495" operator="greaterThan">
      <formula>AB36</formula>
    </cfRule>
  </conditionalFormatting>
  <conditionalFormatting sqref="AC37">
    <cfRule type="cellIs" dxfId="644" priority="500" operator="greaterThan">
      <formula>AB37</formula>
    </cfRule>
  </conditionalFormatting>
  <conditionalFormatting sqref="AC39">
    <cfRule type="cellIs" dxfId="643" priority="505" operator="greaterThan">
      <formula>AB39</formula>
    </cfRule>
  </conditionalFormatting>
  <conditionalFormatting sqref="AC40">
    <cfRule type="cellIs" dxfId="642" priority="510" operator="greaterThan">
      <formula>AB40</formula>
    </cfRule>
  </conditionalFormatting>
  <conditionalFormatting sqref="AC41">
    <cfRule type="cellIs" dxfId="641" priority="515" operator="greaterThan">
      <formula>AB41</formula>
    </cfRule>
  </conditionalFormatting>
  <conditionalFormatting sqref="AC7">
    <cfRule type="cellIs" dxfId="640" priority="405" operator="greaterThan">
      <formula>AB7</formula>
    </cfRule>
  </conditionalFormatting>
  <conditionalFormatting sqref="AC8">
    <cfRule type="cellIs" dxfId="639" priority="410" operator="greaterThan">
      <formula>AB8</formula>
    </cfRule>
  </conditionalFormatting>
  <conditionalFormatting sqref="AC9">
    <cfRule type="cellIs" dxfId="638" priority="415" operator="greaterThan">
      <formula>AB9</formula>
    </cfRule>
  </conditionalFormatting>
  <conditionalFormatting sqref="AD10">
    <cfRule type="cellIs" dxfId="637" priority="422" operator="lessThanOrEqual">
      <formula>F10</formula>
    </cfRule>
  </conditionalFormatting>
  <conditionalFormatting sqref="AD11">
    <cfRule type="cellIs" dxfId="636" priority="427" operator="lessThanOrEqual">
      <formula>F11</formula>
    </cfRule>
  </conditionalFormatting>
  <conditionalFormatting sqref="AD12">
    <cfRule type="cellIs" dxfId="635" priority="432" operator="lessThanOrEqual">
      <formula>F12</formula>
    </cfRule>
  </conditionalFormatting>
  <conditionalFormatting sqref="AD13">
    <cfRule type="cellIs" dxfId="634" priority="437" operator="lessThanOrEqual">
      <formula>F13</formula>
    </cfRule>
  </conditionalFormatting>
  <conditionalFormatting sqref="AD14">
    <cfRule type="cellIs" dxfId="633" priority="442" operator="lessThanOrEqual">
      <formula>F14</formula>
    </cfRule>
  </conditionalFormatting>
  <conditionalFormatting sqref="AD15">
    <cfRule type="cellIs" dxfId="632" priority="447" operator="lessThanOrEqual">
      <formula>F15</formula>
    </cfRule>
  </conditionalFormatting>
  <conditionalFormatting sqref="AD18">
    <cfRule type="cellIs" dxfId="631" priority="452" operator="lessThanOrEqual">
      <formula>F18</formula>
    </cfRule>
  </conditionalFormatting>
  <conditionalFormatting sqref="AD19">
    <cfRule type="cellIs" dxfId="630" priority="457" operator="lessThanOrEqual">
      <formula>F19</formula>
    </cfRule>
  </conditionalFormatting>
  <conditionalFormatting sqref="AD22">
    <cfRule type="cellIs" dxfId="629" priority="462" operator="lessThanOrEqual">
      <formula>F22</formula>
    </cfRule>
  </conditionalFormatting>
  <conditionalFormatting sqref="AD26">
    <cfRule type="cellIs" dxfId="628" priority="467" operator="lessThanOrEqual">
      <formula>F26</formula>
    </cfRule>
  </conditionalFormatting>
  <conditionalFormatting sqref="AD27">
    <cfRule type="cellIs" dxfId="627" priority="472" operator="lessThanOrEqual">
      <formula>F27</formula>
    </cfRule>
  </conditionalFormatting>
  <conditionalFormatting sqref="AD28">
    <cfRule type="cellIs" dxfId="626" priority="477" operator="lessThanOrEqual">
      <formula>F28</formula>
    </cfRule>
  </conditionalFormatting>
  <conditionalFormatting sqref="AD30">
    <cfRule type="cellIs" dxfId="625" priority="482" operator="lessThanOrEqual">
      <formula>F30</formula>
    </cfRule>
  </conditionalFormatting>
  <conditionalFormatting sqref="AD33">
    <cfRule type="cellIs" dxfId="624" priority="487" operator="lessThanOrEqual">
      <formula>F33</formula>
    </cfRule>
  </conditionalFormatting>
  <conditionalFormatting sqref="AD35">
    <cfRule type="cellIs" dxfId="623" priority="492" operator="lessThanOrEqual">
      <formula>F35</formula>
    </cfRule>
  </conditionalFormatting>
  <conditionalFormatting sqref="AD36">
    <cfRule type="cellIs" dxfId="622" priority="497" operator="lessThanOrEqual">
      <formula>F36</formula>
    </cfRule>
  </conditionalFormatting>
  <conditionalFormatting sqref="AD37">
    <cfRule type="cellIs" dxfId="621" priority="502" operator="lessThanOrEqual">
      <formula>F37</formula>
    </cfRule>
  </conditionalFormatting>
  <conditionalFormatting sqref="AD39">
    <cfRule type="cellIs" dxfId="620" priority="507" operator="lessThanOrEqual">
      <formula>F39</formula>
    </cfRule>
  </conditionalFormatting>
  <conditionalFormatting sqref="AD40">
    <cfRule type="cellIs" dxfId="619" priority="512" operator="lessThanOrEqual">
      <formula>F40</formula>
    </cfRule>
  </conditionalFormatting>
  <conditionalFormatting sqref="AD41">
    <cfRule type="cellIs" dxfId="618" priority="517" operator="lessThanOrEqual">
      <formula>F41</formula>
    </cfRule>
  </conditionalFormatting>
  <conditionalFormatting sqref="AD7">
    <cfRule type="cellIs" dxfId="617" priority="407" operator="lessThanOrEqual">
      <formula>F7</formula>
    </cfRule>
  </conditionalFormatting>
  <conditionalFormatting sqref="AD8">
    <cfRule type="cellIs" dxfId="616" priority="412" operator="lessThanOrEqual">
      <formula>F8</formula>
    </cfRule>
  </conditionalFormatting>
  <conditionalFormatting sqref="AD9">
    <cfRule type="cellIs" dxfId="615" priority="417" operator="lessThanOrEqual">
      <formula>F9</formula>
    </cfRule>
  </conditionalFormatting>
  <conditionalFormatting sqref="AE10">
    <cfRule type="cellIs" dxfId="614" priority="421" operator="lessThanOrEqual">
      <formula>G10</formula>
    </cfRule>
  </conditionalFormatting>
  <conditionalFormatting sqref="AE11">
    <cfRule type="cellIs" dxfId="613" priority="426" operator="lessThanOrEqual">
      <formula>G11</formula>
    </cfRule>
  </conditionalFormatting>
  <conditionalFormatting sqref="AE12">
    <cfRule type="cellIs" dxfId="612" priority="431" operator="lessThanOrEqual">
      <formula>G12</formula>
    </cfRule>
  </conditionalFormatting>
  <conditionalFormatting sqref="AE13">
    <cfRule type="cellIs" dxfId="611" priority="436" operator="lessThanOrEqual">
      <formula>G13</formula>
    </cfRule>
  </conditionalFormatting>
  <conditionalFormatting sqref="AE14">
    <cfRule type="cellIs" dxfId="610" priority="441" operator="lessThanOrEqual">
      <formula>G14</formula>
    </cfRule>
  </conditionalFormatting>
  <conditionalFormatting sqref="AE15">
    <cfRule type="cellIs" dxfId="609" priority="446" operator="lessThanOrEqual">
      <formula>G15</formula>
    </cfRule>
  </conditionalFormatting>
  <conditionalFormatting sqref="AE18">
    <cfRule type="cellIs" dxfId="608" priority="451" operator="lessThanOrEqual">
      <formula>G18</formula>
    </cfRule>
  </conditionalFormatting>
  <conditionalFormatting sqref="AE19">
    <cfRule type="cellIs" dxfId="607" priority="456" operator="lessThanOrEqual">
      <formula>G19</formula>
    </cfRule>
  </conditionalFormatting>
  <conditionalFormatting sqref="AE22">
    <cfRule type="cellIs" dxfId="606" priority="461" operator="lessThanOrEqual">
      <formula>G22</formula>
    </cfRule>
  </conditionalFormatting>
  <conditionalFormatting sqref="AE26">
    <cfRule type="cellIs" dxfId="605" priority="466" operator="lessThanOrEqual">
      <formula>G26</formula>
    </cfRule>
  </conditionalFormatting>
  <conditionalFormatting sqref="AE27">
    <cfRule type="cellIs" dxfId="604" priority="471" operator="lessThanOrEqual">
      <formula>G27</formula>
    </cfRule>
  </conditionalFormatting>
  <conditionalFormatting sqref="AE28">
    <cfRule type="cellIs" dxfId="603" priority="476" operator="lessThanOrEqual">
      <formula>G28</formula>
    </cfRule>
  </conditionalFormatting>
  <conditionalFormatting sqref="AE30">
    <cfRule type="cellIs" dxfId="602" priority="481" operator="lessThanOrEqual">
      <formula>G30</formula>
    </cfRule>
  </conditionalFormatting>
  <conditionalFormatting sqref="AE33">
    <cfRule type="cellIs" dxfId="601" priority="486" operator="lessThanOrEqual">
      <formula>G33</formula>
    </cfRule>
  </conditionalFormatting>
  <conditionalFormatting sqref="AE35">
    <cfRule type="cellIs" dxfId="600" priority="491" operator="lessThanOrEqual">
      <formula>G35</formula>
    </cfRule>
  </conditionalFormatting>
  <conditionalFormatting sqref="AE36">
    <cfRule type="cellIs" dxfId="599" priority="496" operator="lessThanOrEqual">
      <formula>G36</formula>
    </cfRule>
  </conditionalFormatting>
  <conditionalFormatting sqref="AE37">
    <cfRule type="cellIs" dxfId="598" priority="501" operator="lessThanOrEqual">
      <formula>G37</formula>
    </cfRule>
  </conditionalFormatting>
  <conditionalFormatting sqref="AE39">
    <cfRule type="cellIs" dxfId="597" priority="506" operator="lessThanOrEqual">
      <formula>G39</formula>
    </cfRule>
  </conditionalFormatting>
  <conditionalFormatting sqref="AE40">
    <cfRule type="cellIs" dxfId="596" priority="511" operator="lessThanOrEqual">
      <formula>G40</formula>
    </cfRule>
  </conditionalFormatting>
  <conditionalFormatting sqref="AE41">
    <cfRule type="cellIs" dxfId="595" priority="516" operator="lessThanOrEqual">
      <formula>G41</formula>
    </cfRule>
  </conditionalFormatting>
  <conditionalFormatting sqref="AE7">
    <cfRule type="cellIs" dxfId="594" priority="406" operator="lessThanOrEqual">
      <formula>G7</formula>
    </cfRule>
  </conditionalFormatting>
  <conditionalFormatting sqref="AE8">
    <cfRule type="cellIs" dxfId="593" priority="411" operator="lessThanOrEqual">
      <formula>G8</formula>
    </cfRule>
  </conditionalFormatting>
  <conditionalFormatting sqref="AE9">
    <cfRule type="cellIs" dxfId="592" priority="416" operator="lessThanOrEqual">
      <formula>G9</formula>
    </cfRule>
  </conditionalFormatting>
  <conditionalFormatting sqref="AG10">
    <cfRule type="cellIs" dxfId="591" priority="535" operator="equal">
      <formula>0</formula>
    </cfRule>
    <cfRule type="cellIs" dxfId="590" priority="536" operator="lessThan">
      <formula>E10</formula>
    </cfRule>
  </conditionalFormatting>
  <conditionalFormatting sqref="AG12">
    <cfRule type="cellIs" dxfId="589" priority="540" operator="equal">
      <formula>0</formula>
    </cfRule>
    <cfRule type="cellIs" dxfId="588" priority="541" operator="lessThan">
      <formula>E12</formula>
    </cfRule>
  </conditionalFormatting>
  <conditionalFormatting sqref="AG13">
    <cfRule type="cellIs" dxfId="587" priority="546" operator="equal">
      <formula>0</formula>
    </cfRule>
    <cfRule type="cellIs" dxfId="586" priority="547" operator="lessThan">
      <formula>E13</formula>
    </cfRule>
  </conditionalFormatting>
  <conditionalFormatting sqref="AG14">
    <cfRule type="cellIs" dxfId="585" priority="552" operator="equal">
      <formula>0</formula>
    </cfRule>
    <cfRule type="cellIs" dxfId="584" priority="553" operator="lessThan">
      <formula>E14</formula>
    </cfRule>
  </conditionalFormatting>
  <conditionalFormatting sqref="AG15">
    <cfRule type="cellIs" dxfId="583" priority="557" operator="equal">
      <formula>0</formula>
    </cfRule>
    <cfRule type="cellIs" dxfId="582" priority="558" operator="lessThan">
      <formula>E15</formula>
    </cfRule>
  </conditionalFormatting>
  <conditionalFormatting sqref="AG18">
    <cfRule type="cellIs" dxfId="581" priority="562" operator="equal">
      <formula>0</formula>
    </cfRule>
    <cfRule type="cellIs" dxfId="580" priority="563" operator="lessThan">
      <formula>E18</formula>
    </cfRule>
  </conditionalFormatting>
  <conditionalFormatting sqref="AG19">
    <cfRule type="cellIs" dxfId="579" priority="567" operator="equal">
      <formula>0</formula>
    </cfRule>
    <cfRule type="cellIs" dxfId="578" priority="568" operator="lessThan">
      <formula>E19</formula>
    </cfRule>
  </conditionalFormatting>
  <conditionalFormatting sqref="AG22">
    <cfRule type="cellIs" dxfId="577" priority="572" operator="equal">
      <formula>0</formula>
    </cfRule>
    <cfRule type="cellIs" dxfId="576" priority="573" operator="lessThan">
      <formula>E22</formula>
    </cfRule>
  </conditionalFormatting>
  <conditionalFormatting sqref="AG26">
    <cfRule type="cellIs" dxfId="575" priority="577" operator="equal">
      <formula>0</formula>
    </cfRule>
    <cfRule type="cellIs" dxfId="574" priority="578" operator="lessThan">
      <formula>E26</formula>
    </cfRule>
  </conditionalFormatting>
  <conditionalFormatting sqref="AG28">
    <cfRule type="cellIs" dxfId="573" priority="582" operator="equal">
      <formula>0</formula>
    </cfRule>
    <cfRule type="cellIs" dxfId="572" priority="583" operator="lessThan">
      <formula>E28</formula>
    </cfRule>
  </conditionalFormatting>
  <conditionalFormatting sqref="AG35">
    <cfRule type="cellIs" dxfId="571" priority="588" operator="equal">
      <formula>0</formula>
    </cfRule>
    <cfRule type="cellIs" dxfId="570" priority="589" operator="lessThan">
      <formula>E35</formula>
    </cfRule>
  </conditionalFormatting>
  <conditionalFormatting sqref="AG36">
    <cfRule type="cellIs" dxfId="569" priority="593" operator="equal">
      <formula>0</formula>
    </cfRule>
    <cfRule type="cellIs" dxfId="568" priority="594" operator="lessThan">
      <formula>E36</formula>
    </cfRule>
  </conditionalFormatting>
  <conditionalFormatting sqref="AG39">
    <cfRule type="cellIs" dxfId="567" priority="598" operator="equal">
      <formula>0</formula>
    </cfRule>
    <cfRule type="cellIs" dxfId="566" priority="599" operator="lessThan">
      <formula>E39</formula>
    </cfRule>
  </conditionalFormatting>
  <conditionalFormatting sqref="AG40">
    <cfRule type="cellIs" dxfId="565" priority="604" operator="equal">
      <formula>0</formula>
    </cfRule>
    <cfRule type="cellIs" dxfId="564" priority="605" operator="lessThan">
      <formula>E40</formula>
    </cfRule>
  </conditionalFormatting>
  <conditionalFormatting sqref="AG41">
    <cfRule type="cellIs" dxfId="563" priority="609" operator="equal">
      <formula>0</formula>
    </cfRule>
    <cfRule type="cellIs" dxfId="562" priority="610" operator="lessThan">
      <formula>E41</formula>
    </cfRule>
  </conditionalFormatting>
  <conditionalFormatting sqref="AG42">
    <cfRule type="cellIs" dxfId="561" priority="614" operator="equal">
      <formula>0</formula>
    </cfRule>
    <cfRule type="cellIs" dxfId="560" priority="615" operator="lessThan">
      <formula>E42</formula>
    </cfRule>
  </conditionalFormatting>
  <conditionalFormatting sqref="AG7">
    <cfRule type="cellIs" dxfId="559" priority="518" operator="equal">
      <formula>0</formula>
    </cfRule>
    <cfRule type="cellIs" dxfId="558" priority="519" operator="lessThan">
      <formula>E7</formula>
    </cfRule>
  </conditionalFormatting>
  <conditionalFormatting sqref="AG8">
    <cfRule type="cellIs" dxfId="557" priority="524" operator="equal">
      <formula>0</formula>
    </cfRule>
    <cfRule type="cellIs" dxfId="556" priority="525" operator="lessThan">
      <formula>E8</formula>
    </cfRule>
  </conditionalFormatting>
  <conditionalFormatting sqref="AG9">
    <cfRule type="cellIs" dxfId="555" priority="530" operator="equal">
      <formula>0</formula>
    </cfRule>
    <cfRule type="cellIs" dxfId="554" priority="531" operator="lessThan">
      <formula>E9</formula>
    </cfRule>
  </conditionalFormatting>
  <conditionalFormatting sqref="AH10">
    <cfRule type="cellIs" dxfId="553" priority="537" operator="greaterThan">
      <formula>AG10</formula>
    </cfRule>
  </conditionalFormatting>
  <conditionalFormatting sqref="AH12">
    <cfRule type="expression" dxfId="552" priority="542">
      <formula>AND(AH12&gt;0,AH12&lt;2000)</formula>
    </cfRule>
    <cfRule type="cellIs" dxfId="551" priority="543" operator="greaterThan">
      <formula>AG12</formula>
    </cfRule>
  </conditionalFormatting>
  <conditionalFormatting sqref="AH13">
    <cfRule type="expression" dxfId="550" priority="548">
      <formula>AND(AH13&gt;0,AH13&lt;4000)</formula>
    </cfRule>
    <cfRule type="cellIs" dxfId="549" priority="549" operator="greaterThan">
      <formula>AG13</formula>
    </cfRule>
  </conditionalFormatting>
  <conditionalFormatting sqref="AH14">
    <cfRule type="cellIs" dxfId="548" priority="554" operator="greaterThan">
      <formula>AG14</formula>
    </cfRule>
  </conditionalFormatting>
  <conditionalFormatting sqref="AH15">
    <cfRule type="cellIs" dxfId="547" priority="559" operator="greaterThan">
      <formula>AG15</formula>
    </cfRule>
  </conditionalFormatting>
  <conditionalFormatting sqref="AH18">
    <cfRule type="cellIs" dxfId="546" priority="564" operator="greaterThan">
      <formula>AG18</formula>
    </cfRule>
  </conditionalFormatting>
  <conditionalFormatting sqref="AH19">
    <cfRule type="cellIs" dxfId="545" priority="569" operator="greaterThan">
      <formula>AG19</formula>
    </cfRule>
  </conditionalFormatting>
  <conditionalFormatting sqref="AH22">
    <cfRule type="cellIs" dxfId="544" priority="574" operator="greaterThan">
      <formula>AG22</formula>
    </cfRule>
  </conditionalFormatting>
  <conditionalFormatting sqref="AH26">
    <cfRule type="cellIs" dxfId="543" priority="579" operator="greaterThan">
      <formula>AG26</formula>
    </cfRule>
  </conditionalFormatting>
  <conditionalFormatting sqref="AH28">
    <cfRule type="expression" dxfId="542" priority="584">
      <formula>AND(AH28&gt;0,AH28&lt;10)</formula>
    </cfRule>
    <cfRule type="cellIs" dxfId="541" priority="585" operator="greaterThan">
      <formula>AG28</formula>
    </cfRule>
  </conditionalFormatting>
  <conditionalFormatting sqref="AH35">
    <cfRule type="cellIs" dxfId="540" priority="590" operator="greaterThan">
      <formula>AG35</formula>
    </cfRule>
  </conditionalFormatting>
  <conditionalFormatting sqref="AH36">
    <cfRule type="cellIs" dxfId="539" priority="595" operator="greaterThan">
      <formula>AG36</formula>
    </cfRule>
  </conditionalFormatting>
  <conditionalFormatting sqref="AH39">
    <cfRule type="expression" dxfId="538" priority="600">
      <formula>AND(AH39&gt;0,AH39&lt;100)</formula>
    </cfRule>
    <cfRule type="cellIs" dxfId="537" priority="601" operator="greaterThan">
      <formula>AG39</formula>
    </cfRule>
  </conditionalFormatting>
  <conditionalFormatting sqref="AH40">
    <cfRule type="cellIs" dxfId="536" priority="606" operator="greaterThan">
      <formula>AG40</formula>
    </cfRule>
  </conditionalFormatting>
  <conditionalFormatting sqref="AH41">
    <cfRule type="cellIs" dxfId="535" priority="611" operator="greaterThan">
      <formula>AG41</formula>
    </cfRule>
  </conditionalFormatting>
  <conditionalFormatting sqref="AH42">
    <cfRule type="cellIs" dxfId="534" priority="616" operator="greaterThan">
      <formula>AG42</formula>
    </cfRule>
  </conditionalFormatting>
  <conditionalFormatting sqref="AH7">
    <cfRule type="expression" dxfId="533" priority="520">
      <formula>AND(AH7&gt;0,AH7&lt;5)</formula>
    </cfRule>
    <cfRule type="cellIs" dxfId="532" priority="521" operator="greaterThan">
      <formula>AG7</formula>
    </cfRule>
  </conditionalFormatting>
  <conditionalFormatting sqref="AH8">
    <cfRule type="expression" dxfId="531" priority="526">
      <formula>AND(AH8&gt;0,AH8&lt;200000)</formula>
    </cfRule>
    <cfRule type="cellIs" dxfId="530" priority="527" operator="greaterThan">
      <formula>AG8</formula>
    </cfRule>
  </conditionalFormatting>
  <conditionalFormatting sqref="AH9">
    <cfRule type="cellIs" dxfId="529" priority="532" operator="greaterThan">
      <formula>AG9</formula>
    </cfRule>
  </conditionalFormatting>
  <conditionalFormatting sqref="AI10">
    <cfRule type="cellIs" dxfId="528" priority="539" operator="lessThanOrEqual">
      <formula>F10</formula>
    </cfRule>
  </conditionalFormatting>
  <conditionalFormatting sqref="AI12">
    <cfRule type="cellIs" dxfId="527" priority="545" operator="lessThanOrEqual">
      <formula>F12</formula>
    </cfRule>
  </conditionalFormatting>
  <conditionalFormatting sqref="AI13">
    <cfRule type="cellIs" dxfId="526" priority="551" operator="lessThanOrEqual">
      <formula>F13</formula>
    </cfRule>
  </conditionalFormatting>
  <conditionalFormatting sqref="AI14">
    <cfRule type="cellIs" dxfId="525" priority="556" operator="lessThanOrEqual">
      <formula>F14</formula>
    </cfRule>
  </conditionalFormatting>
  <conditionalFormatting sqref="AI15">
    <cfRule type="cellIs" dxfId="524" priority="561" operator="lessThanOrEqual">
      <formula>F15</formula>
    </cfRule>
  </conditionalFormatting>
  <conditionalFormatting sqref="AI18">
    <cfRule type="cellIs" dxfId="523" priority="566" operator="lessThanOrEqual">
      <formula>F18</formula>
    </cfRule>
  </conditionalFormatting>
  <conditionalFormatting sqref="AI19">
    <cfRule type="cellIs" dxfId="522" priority="571" operator="lessThanOrEqual">
      <formula>F19</formula>
    </cfRule>
  </conditionalFormatting>
  <conditionalFormatting sqref="AI22">
    <cfRule type="cellIs" dxfId="521" priority="576" operator="lessThanOrEqual">
      <formula>F22</formula>
    </cfRule>
  </conditionalFormatting>
  <conditionalFormatting sqref="AI26">
    <cfRule type="cellIs" dxfId="520" priority="581" operator="lessThanOrEqual">
      <formula>F26</formula>
    </cfRule>
  </conditionalFormatting>
  <conditionalFormatting sqref="AI28">
    <cfRule type="cellIs" dxfId="519" priority="587" operator="lessThanOrEqual">
      <formula>F28</formula>
    </cfRule>
  </conditionalFormatting>
  <conditionalFormatting sqref="AI35">
    <cfRule type="cellIs" dxfId="518" priority="592" operator="lessThanOrEqual">
      <formula>F35</formula>
    </cfRule>
  </conditionalFormatting>
  <conditionalFormatting sqref="AI36">
    <cfRule type="cellIs" dxfId="517" priority="597" operator="lessThanOrEqual">
      <formula>F36</formula>
    </cfRule>
  </conditionalFormatting>
  <conditionalFormatting sqref="AI39">
    <cfRule type="cellIs" dxfId="516" priority="603" operator="lessThanOrEqual">
      <formula>F39</formula>
    </cfRule>
  </conditionalFormatting>
  <conditionalFormatting sqref="AI40">
    <cfRule type="cellIs" dxfId="515" priority="608" operator="lessThanOrEqual">
      <formula>F40</formula>
    </cfRule>
  </conditionalFormatting>
  <conditionalFormatting sqref="AI41">
    <cfRule type="cellIs" dxfId="514" priority="613" operator="lessThanOrEqual">
      <formula>F41</formula>
    </cfRule>
  </conditionalFormatting>
  <conditionalFormatting sqref="AI42">
    <cfRule type="cellIs" dxfId="513" priority="618" operator="lessThanOrEqual">
      <formula>F42</formula>
    </cfRule>
  </conditionalFormatting>
  <conditionalFormatting sqref="AI7">
    <cfRule type="cellIs" dxfId="512" priority="523" operator="lessThanOrEqual">
      <formula>F7</formula>
    </cfRule>
  </conditionalFormatting>
  <conditionalFormatting sqref="AI8">
    <cfRule type="cellIs" dxfId="511" priority="529" operator="lessThanOrEqual">
      <formula>F8</formula>
    </cfRule>
  </conditionalFormatting>
  <conditionalFormatting sqref="AI9">
    <cfRule type="cellIs" dxfId="510" priority="534" operator="lessThanOrEqual">
      <formula>F9</formula>
    </cfRule>
  </conditionalFormatting>
  <conditionalFormatting sqref="AJ10">
    <cfRule type="cellIs" dxfId="509" priority="538" operator="lessThanOrEqual">
      <formula>G10</formula>
    </cfRule>
  </conditionalFormatting>
  <conditionalFormatting sqref="AJ12">
    <cfRule type="cellIs" dxfId="508" priority="544" operator="lessThanOrEqual">
      <formula>G12</formula>
    </cfRule>
  </conditionalFormatting>
  <conditionalFormatting sqref="AJ13">
    <cfRule type="cellIs" dxfId="507" priority="550" operator="lessThanOrEqual">
      <formula>G13</formula>
    </cfRule>
  </conditionalFormatting>
  <conditionalFormatting sqref="AJ14">
    <cfRule type="cellIs" dxfId="506" priority="555" operator="lessThanOrEqual">
      <formula>G14</formula>
    </cfRule>
  </conditionalFormatting>
  <conditionalFormatting sqref="AJ15">
    <cfRule type="cellIs" dxfId="505" priority="560" operator="lessThanOrEqual">
      <formula>G15</formula>
    </cfRule>
  </conditionalFormatting>
  <conditionalFormatting sqref="AJ18">
    <cfRule type="cellIs" dxfId="504" priority="565" operator="lessThanOrEqual">
      <formula>G18</formula>
    </cfRule>
  </conditionalFormatting>
  <conditionalFormatting sqref="AJ19">
    <cfRule type="cellIs" dxfId="503" priority="570" operator="lessThanOrEqual">
      <formula>G19</formula>
    </cfRule>
  </conditionalFormatting>
  <conditionalFormatting sqref="AJ22">
    <cfRule type="cellIs" dxfId="502" priority="575" operator="lessThanOrEqual">
      <formula>G22</formula>
    </cfRule>
  </conditionalFormatting>
  <conditionalFormatting sqref="AJ26">
    <cfRule type="cellIs" dxfId="501" priority="580" operator="lessThanOrEqual">
      <formula>G26</formula>
    </cfRule>
  </conditionalFormatting>
  <conditionalFormatting sqref="AJ28">
    <cfRule type="cellIs" dxfId="500" priority="586" operator="lessThanOrEqual">
      <formula>G28</formula>
    </cfRule>
  </conditionalFormatting>
  <conditionalFormatting sqref="AJ35">
    <cfRule type="cellIs" dxfId="499" priority="591" operator="lessThanOrEqual">
      <formula>G35</formula>
    </cfRule>
  </conditionalFormatting>
  <conditionalFormatting sqref="AJ36">
    <cfRule type="cellIs" dxfId="498" priority="596" operator="lessThanOrEqual">
      <formula>G36</formula>
    </cfRule>
  </conditionalFormatting>
  <conditionalFormatting sqref="AJ39">
    <cfRule type="cellIs" dxfId="497" priority="602" operator="lessThanOrEqual">
      <formula>G39</formula>
    </cfRule>
  </conditionalFormatting>
  <conditionalFormatting sqref="AJ40">
    <cfRule type="cellIs" dxfId="496" priority="607" operator="lessThanOrEqual">
      <formula>G40</formula>
    </cfRule>
  </conditionalFormatting>
  <conditionalFormatting sqref="AJ41">
    <cfRule type="cellIs" dxfId="495" priority="612" operator="lessThanOrEqual">
      <formula>G41</formula>
    </cfRule>
  </conditionalFormatting>
  <conditionalFormatting sqref="AJ42">
    <cfRule type="cellIs" dxfId="494" priority="617" operator="lessThanOrEqual">
      <formula>G42</formula>
    </cfRule>
  </conditionalFormatting>
  <conditionalFormatting sqref="AJ7">
    <cfRule type="cellIs" dxfId="493" priority="522" operator="lessThanOrEqual">
      <formula>G7</formula>
    </cfRule>
  </conditionalFormatting>
  <conditionalFormatting sqref="AJ8">
    <cfRule type="cellIs" dxfId="492" priority="528" operator="lessThanOrEqual">
      <formula>G8</formula>
    </cfRule>
  </conditionalFormatting>
  <conditionalFormatting sqref="AJ9">
    <cfRule type="cellIs" dxfId="491" priority="533" operator="lessThanOrEqual">
      <formula>G9</formula>
    </cfRule>
  </conditionalFormatting>
  <conditionalFormatting sqref="AL10">
    <cfRule type="cellIs" dxfId="490" priority="625" operator="equal">
      <formula>0</formula>
    </cfRule>
    <cfRule type="cellIs" dxfId="489" priority="626" operator="lessThan">
      <formula>E10</formula>
    </cfRule>
  </conditionalFormatting>
  <conditionalFormatting sqref="AL14">
    <cfRule type="cellIs" dxfId="488" priority="631" operator="equal">
      <formula>0</formula>
    </cfRule>
    <cfRule type="cellIs" dxfId="487" priority="632" operator="lessThan">
      <formula>E14</formula>
    </cfRule>
  </conditionalFormatting>
  <conditionalFormatting sqref="AL15">
    <cfRule type="cellIs" dxfId="486" priority="637" operator="equal">
      <formula>0</formula>
    </cfRule>
    <cfRule type="cellIs" dxfId="485" priority="638" operator="lessThan">
      <formula>E15</formula>
    </cfRule>
  </conditionalFormatting>
  <conditionalFormatting sqref="AL28">
    <cfRule type="cellIs" dxfId="484" priority="643" operator="equal">
      <formula>0</formula>
    </cfRule>
    <cfRule type="cellIs" dxfId="483" priority="644" operator="lessThan">
      <formula>E28</formula>
    </cfRule>
  </conditionalFormatting>
  <conditionalFormatting sqref="AL35">
    <cfRule type="cellIs" dxfId="482" priority="649" operator="equal">
      <formula>0</formula>
    </cfRule>
    <cfRule type="cellIs" dxfId="481" priority="650" operator="lessThan">
      <formula>E35</formula>
    </cfRule>
  </conditionalFormatting>
  <conditionalFormatting sqref="AL9">
    <cfRule type="cellIs" dxfId="480" priority="619" operator="equal">
      <formula>0</formula>
    </cfRule>
    <cfRule type="cellIs" dxfId="479" priority="620" operator="lessThan">
      <formula>E9</formula>
    </cfRule>
  </conditionalFormatting>
  <conditionalFormatting sqref="AM10">
    <cfRule type="expression" dxfId="478" priority="627">
      <formula>AND(AM10&gt;0,AM10&lt;4000)</formula>
    </cfRule>
    <cfRule type="cellIs" dxfId="477" priority="628" operator="greaterThan">
      <formula>AL10</formula>
    </cfRule>
  </conditionalFormatting>
  <conditionalFormatting sqref="AM14">
    <cfRule type="expression" dxfId="476" priority="633">
      <formula>AND(AM14&gt;0,AM14&lt;200)</formula>
    </cfRule>
    <cfRule type="cellIs" dxfId="475" priority="634" operator="greaterThan">
      <formula>AL14</formula>
    </cfRule>
  </conditionalFormatting>
  <conditionalFormatting sqref="AM15">
    <cfRule type="expression" dxfId="474" priority="639">
      <formula>AND(AM15&gt;0,AM15&lt;100)</formula>
    </cfRule>
    <cfRule type="cellIs" dxfId="473" priority="640" operator="greaterThan">
      <formula>AL15</formula>
    </cfRule>
  </conditionalFormatting>
  <conditionalFormatting sqref="AM28">
    <cfRule type="expression" dxfId="472" priority="645">
      <formula>AND(AM28&gt;0,AM28&lt;5000)</formula>
    </cfRule>
    <cfRule type="cellIs" dxfId="471" priority="646" operator="greaterThan">
      <formula>AL28</formula>
    </cfRule>
  </conditionalFormatting>
  <conditionalFormatting sqref="AM35">
    <cfRule type="expression" dxfId="470" priority="651">
      <formula>AND(AM35&gt;0,AM35&lt;5)</formula>
    </cfRule>
    <cfRule type="cellIs" dxfId="469" priority="652" operator="greaterThan">
      <formula>AL35</formula>
    </cfRule>
  </conditionalFormatting>
  <conditionalFormatting sqref="AM9">
    <cfRule type="expression" dxfId="468" priority="621">
      <formula>AND(AM9&gt;0,AM9&lt;4000)</formula>
    </cfRule>
    <cfRule type="cellIs" dxfId="467" priority="622" operator="greaterThan">
      <formula>AL9</formula>
    </cfRule>
  </conditionalFormatting>
  <conditionalFormatting sqref="AN10">
    <cfRule type="cellIs" dxfId="466" priority="630" operator="lessThanOrEqual">
      <formula>F10</formula>
    </cfRule>
  </conditionalFormatting>
  <conditionalFormatting sqref="AN14">
    <cfRule type="cellIs" dxfId="465" priority="636" operator="lessThanOrEqual">
      <formula>F14</formula>
    </cfRule>
  </conditionalFormatting>
  <conditionalFormatting sqref="AN15">
    <cfRule type="cellIs" dxfId="464" priority="642" operator="lessThanOrEqual">
      <formula>F15</formula>
    </cfRule>
  </conditionalFormatting>
  <conditionalFormatting sqref="AN28">
    <cfRule type="cellIs" dxfId="463" priority="648" operator="lessThanOrEqual">
      <formula>F28</formula>
    </cfRule>
  </conditionalFormatting>
  <conditionalFormatting sqref="AN35">
    <cfRule type="cellIs" dxfId="462" priority="654" operator="lessThanOrEqual">
      <formula>F35</formula>
    </cfRule>
  </conditionalFormatting>
  <conditionalFormatting sqref="AN9">
    <cfRule type="cellIs" dxfId="461" priority="624" operator="lessThanOrEqual">
      <formula>F9</formula>
    </cfRule>
  </conditionalFormatting>
  <conditionalFormatting sqref="AO10">
    <cfRule type="cellIs" dxfId="460" priority="629" operator="lessThanOrEqual">
      <formula>G10</formula>
    </cfRule>
  </conditionalFormatting>
  <conditionalFormatting sqref="AO14">
    <cfRule type="cellIs" dxfId="459" priority="635" operator="lessThanOrEqual">
      <formula>G14</formula>
    </cfRule>
  </conditionalFormatting>
  <conditionalFormatting sqref="AO15">
    <cfRule type="cellIs" dxfId="458" priority="641" operator="lessThanOrEqual">
      <formula>G15</formula>
    </cfRule>
  </conditionalFormatting>
  <conditionalFormatting sqref="AO28">
    <cfRule type="cellIs" dxfId="457" priority="647" operator="lessThanOrEqual">
      <formula>G28</formula>
    </cfRule>
  </conditionalFormatting>
  <conditionalFormatting sqref="AO35">
    <cfRule type="cellIs" dxfId="456" priority="653" operator="lessThanOrEqual">
      <formula>G35</formula>
    </cfRule>
  </conditionalFormatting>
  <conditionalFormatting sqref="AO9">
    <cfRule type="cellIs" dxfId="455" priority="623" operator="lessThanOrEqual">
      <formula>G9</formula>
    </cfRule>
  </conditionalFormatting>
  <conditionalFormatting sqref="AQ10">
    <cfRule type="cellIs" dxfId="454" priority="667" operator="equal">
      <formula>0</formula>
    </cfRule>
    <cfRule type="cellIs" dxfId="453" priority="668" operator="lessThan">
      <formula>E10</formula>
    </cfRule>
  </conditionalFormatting>
  <conditionalFormatting sqref="AQ14">
    <cfRule type="cellIs" dxfId="452" priority="673" operator="equal">
      <formula>0</formula>
    </cfRule>
    <cfRule type="cellIs" dxfId="451" priority="674" operator="lessThan">
      <formula>E14</formula>
    </cfRule>
  </conditionalFormatting>
  <conditionalFormatting sqref="AQ18">
    <cfRule type="cellIs" dxfId="450" priority="679" operator="equal">
      <formula>0</formula>
    </cfRule>
    <cfRule type="cellIs" dxfId="449" priority="680" operator="lessThan">
      <formula>E18</formula>
    </cfRule>
  </conditionalFormatting>
  <conditionalFormatting sqref="AQ19">
    <cfRule type="cellIs" dxfId="448" priority="685" operator="equal">
      <formula>0</formula>
    </cfRule>
    <cfRule type="cellIs" dxfId="447" priority="686" operator="lessThan">
      <formula>E19</formula>
    </cfRule>
  </conditionalFormatting>
  <conditionalFormatting sqref="AQ22">
    <cfRule type="cellIs" dxfId="446" priority="691" operator="equal">
      <formula>0</formula>
    </cfRule>
    <cfRule type="cellIs" dxfId="445" priority="692" operator="lessThan">
      <formula>E22</formula>
    </cfRule>
  </conditionalFormatting>
  <conditionalFormatting sqref="AQ28">
    <cfRule type="cellIs" dxfId="444" priority="697" operator="equal">
      <formula>0</formula>
    </cfRule>
    <cfRule type="cellIs" dxfId="443" priority="698" operator="lessThan">
      <formula>E28</formula>
    </cfRule>
  </conditionalFormatting>
  <conditionalFormatting sqref="AQ40">
    <cfRule type="cellIs" dxfId="442" priority="703" operator="equal">
      <formula>0</formula>
    </cfRule>
    <cfRule type="cellIs" dxfId="441" priority="704" operator="lessThan">
      <formula>E40</formula>
    </cfRule>
  </conditionalFormatting>
  <conditionalFormatting sqref="AQ8">
    <cfRule type="cellIs" dxfId="440" priority="655" operator="equal">
      <formula>0</formula>
    </cfRule>
    <cfRule type="cellIs" dxfId="439" priority="656" operator="lessThan">
      <formula>E8</formula>
    </cfRule>
  </conditionalFormatting>
  <conditionalFormatting sqref="AQ9">
    <cfRule type="cellIs" dxfId="438" priority="661" operator="equal">
      <formula>0</formula>
    </cfRule>
    <cfRule type="cellIs" dxfId="437" priority="662" operator="lessThan">
      <formula>E9</formula>
    </cfRule>
  </conditionalFormatting>
  <conditionalFormatting sqref="AR10">
    <cfRule type="expression" dxfId="436" priority="669">
      <formula>AND(AR10&gt;0,AR10&lt;100)</formula>
    </cfRule>
    <cfRule type="cellIs" dxfId="435" priority="670" operator="greaterThan">
      <formula>AQ10</formula>
    </cfRule>
  </conditionalFormatting>
  <conditionalFormatting sqref="AR14">
    <cfRule type="expression" dxfId="434" priority="675">
      <formula>AND(AR14&gt;0,AR14&lt;25)</formula>
    </cfRule>
    <cfRule type="cellIs" dxfId="433" priority="676" operator="greaterThan">
      <formula>AQ14</formula>
    </cfRule>
  </conditionalFormatting>
  <conditionalFormatting sqref="AR18">
    <cfRule type="expression" dxfId="432" priority="681">
      <formula>AND(AR18&gt;0,AR18&lt;2)</formula>
    </cfRule>
    <cfRule type="cellIs" dxfId="431" priority="682" operator="greaterThan">
      <formula>AQ18</formula>
    </cfRule>
  </conditionalFormatting>
  <conditionalFormatting sqref="AR19">
    <cfRule type="expression" dxfId="430" priority="687">
      <formula>AND(AR19&gt;0,AR19&lt;2)</formula>
    </cfRule>
    <cfRule type="cellIs" dxfId="429" priority="688" operator="greaterThan">
      <formula>AQ19</formula>
    </cfRule>
  </conditionalFormatting>
  <conditionalFormatting sqref="AR22">
    <cfRule type="expression" dxfId="428" priority="693">
      <formula>AND(AR22&gt;0,AR22&lt;2)</formula>
    </cfRule>
    <cfRule type="cellIs" dxfId="427" priority="694" operator="greaterThan">
      <formula>AQ22</formula>
    </cfRule>
  </conditionalFormatting>
  <conditionalFormatting sqref="AR28">
    <cfRule type="expression" dxfId="426" priority="699">
      <formula>AND(AR28&gt;0,AR28&lt;100)</formula>
    </cfRule>
    <cfRule type="cellIs" dxfId="425" priority="700" operator="greaterThan">
      <formula>AQ28</formula>
    </cfRule>
  </conditionalFormatting>
  <conditionalFormatting sqref="AR40">
    <cfRule type="cellIs" dxfId="424" priority="705" operator="greaterThan">
      <formula>AQ40</formula>
    </cfRule>
  </conditionalFormatting>
  <conditionalFormatting sqref="AR8">
    <cfRule type="expression" dxfId="423" priority="657">
      <formula>AND(AR8&gt;0,AR8&lt;100)</formula>
    </cfRule>
    <cfRule type="cellIs" dxfId="422" priority="658" operator="greaterThan">
      <formula>AQ8</formula>
    </cfRule>
  </conditionalFormatting>
  <conditionalFormatting sqref="AR9">
    <cfRule type="expression" dxfId="421" priority="663">
      <formula>AND(AR9&gt;0,AR9&lt;100)</formula>
    </cfRule>
    <cfRule type="cellIs" dxfId="420" priority="664" operator="greaterThan">
      <formula>AQ9</formula>
    </cfRule>
  </conditionalFormatting>
  <conditionalFormatting sqref="AS10">
    <cfRule type="cellIs" dxfId="419" priority="672" operator="lessThanOrEqual">
      <formula>F10</formula>
    </cfRule>
  </conditionalFormatting>
  <conditionalFormatting sqref="AS14">
    <cfRule type="cellIs" dxfId="418" priority="678" operator="lessThanOrEqual">
      <formula>F14</formula>
    </cfRule>
  </conditionalFormatting>
  <conditionalFormatting sqref="AS18">
    <cfRule type="cellIs" dxfId="417" priority="684" operator="lessThanOrEqual">
      <formula>F18</formula>
    </cfRule>
  </conditionalFormatting>
  <conditionalFormatting sqref="AS19">
    <cfRule type="cellIs" dxfId="416" priority="690" operator="lessThanOrEqual">
      <formula>F19</formula>
    </cfRule>
  </conditionalFormatting>
  <conditionalFormatting sqref="AS22">
    <cfRule type="cellIs" dxfId="415" priority="696" operator="lessThanOrEqual">
      <formula>F22</formula>
    </cfRule>
  </conditionalFormatting>
  <conditionalFormatting sqref="AS28">
    <cfRule type="cellIs" dxfId="414" priority="702" operator="lessThanOrEqual">
      <formula>F28</formula>
    </cfRule>
  </conditionalFormatting>
  <conditionalFormatting sqref="AS40">
    <cfRule type="cellIs" dxfId="413" priority="707" operator="lessThanOrEqual">
      <formula>F40</formula>
    </cfRule>
  </conditionalFormatting>
  <conditionalFormatting sqref="AS8">
    <cfRule type="cellIs" dxfId="412" priority="660" operator="lessThanOrEqual">
      <formula>F8</formula>
    </cfRule>
  </conditionalFormatting>
  <conditionalFormatting sqref="AS9">
    <cfRule type="cellIs" dxfId="411" priority="666" operator="lessThanOrEqual">
      <formula>F9</formula>
    </cfRule>
  </conditionalFormatting>
  <conditionalFormatting sqref="AT10">
    <cfRule type="cellIs" dxfId="410" priority="671" operator="lessThanOrEqual">
      <formula>G10</formula>
    </cfRule>
  </conditionalFormatting>
  <conditionalFormatting sqref="AT14">
    <cfRule type="cellIs" dxfId="409" priority="677" operator="lessThanOrEqual">
      <formula>G14</formula>
    </cfRule>
  </conditionalFormatting>
  <conditionalFormatting sqref="AT18">
    <cfRule type="cellIs" dxfId="408" priority="683" operator="lessThanOrEqual">
      <formula>G18</formula>
    </cfRule>
  </conditionalFormatting>
  <conditionalFormatting sqref="AT19">
    <cfRule type="cellIs" dxfId="407" priority="689" operator="lessThanOrEqual">
      <formula>G19</formula>
    </cfRule>
  </conditionalFormatting>
  <conditionalFormatting sqref="AT22">
    <cfRule type="cellIs" dxfId="406" priority="695" operator="lessThanOrEqual">
      <formula>G22</formula>
    </cfRule>
  </conditionalFormatting>
  <conditionalFormatting sqref="AT28">
    <cfRule type="cellIs" dxfId="405" priority="701" operator="lessThanOrEqual">
      <formula>G28</formula>
    </cfRule>
  </conditionalFormatting>
  <conditionalFormatting sqref="AT40">
    <cfRule type="cellIs" dxfId="404" priority="706" operator="lessThanOrEqual">
      <formula>G40</formula>
    </cfRule>
  </conditionalFormatting>
  <conditionalFormatting sqref="AT8">
    <cfRule type="cellIs" dxfId="403" priority="659" operator="lessThanOrEqual">
      <formula>G8</formula>
    </cfRule>
  </conditionalFormatting>
  <conditionalFormatting sqref="AT9">
    <cfRule type="cellIs" dxfId="402" priority="665" operator="lessThanOrEqual">
      <formula>G9</formula>
    </cfRule>
  </conditionalFormatting>
  <conditionalFormatting sqref="E10">
    <cfRule type="expression" dxfId="401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00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99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98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397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96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95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94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393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92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91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90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389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88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87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86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385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84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83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82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381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80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79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78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377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76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75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74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373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72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71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70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369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68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67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66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365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64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63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62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361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60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59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58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357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56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55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54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353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52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51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50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349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48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47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46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345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44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43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42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341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40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39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38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337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36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35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34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333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32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31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30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329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8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27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26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325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4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23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22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321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0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9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8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317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16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5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4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313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12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1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0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309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8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7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6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305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4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3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2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dxfId="301" priority="113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0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9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8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dxfId="297" priority="117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6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5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4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dxfId="293" priority="121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2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1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0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dxfId="289" priority="125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8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7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6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9">
    <cfRule type="expression" dxfId="285" priority="129">
      <formula>AND(ISBLANK(D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4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3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2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0">
    <cfRule type="expression" dxfId="281" priority="133">
      <formula>AND(ISBLANK(D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0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9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8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1">
    <cfRule type="expression" dxfId="277" priority="137">
      <formula>AND(ISBLANK(D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6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5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4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2">
    <cfRule type="expression" dxfId="273" priority="141">
      <formula>AND(ISBLANK(D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2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1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0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269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8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7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6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265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4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3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2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261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0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59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8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257" priority="160" operator="equal">
      <formula>0</formula>
    </cfRule>
    <cfRule type="cellIs" dxfId="256" priority="161" operator="lessThan">
      <formula>E10</formula>
    </cfRule>
  </conditionalFormatting>
  <conditionalFormatting sqref="M11">
    <cfRule type="cellIs" dxfId="255" priority="165" operator="equal">
      <formula>0</formula>
    </cfRule>
    <cfRule type="cellIs" dxfId="254" priority="166" operator="lessThan">
      <formula>E11</formula>
    </cfRule>
  </conditionalFormatting>
  <conditionalFormatting sqref="M12">
    <cfRule type="cellIs" dxfId="253" priority="170" operator="equal">
      <formula>0</formula>
    </cfRule>
    <cfRule type="cellIs" dxfId="252" priority="171" operator="lessThan">
      <formula>E12</formula>
    </cfRule>
  </conditionalFormatting>
  <conditionalFormatting sqref="M13">
    <cfRule type="cellIs" dxfId="251" priority="175" operator="equal">
      <formula>0</formula>
    </cfRule>
    <cfRule type="cellIs" dxfId="250" priority="176" operator="lessThan">
      <formula>E13</formula>
    </cfRule>
  </conditionalFormatting>
  <conditionalFormatting sqref="M14">
    <cfRule type="cellIs" dxfId="249" priority="180" operator="equal">
      <formula>0</formula>
    </cfRule>
    <cfRule type="cellIs" dxfId="248" priority="181" operator="lessThan">
      <formula>E14</formula>
    </cfRule>
  </conditionalFormatting>
  <conditionalFormatting sqref="M15">
    <cfRule type="cellIs" dxfId="247" priority="185" operator="equal">
      <formula>0</formula>
    </cfRule>
    <cfRule type="cellIs" dxfId="246" priority="186" operator="lessThan">
      <formula>E15</formula>
    </cfRule>
  </conditionalFormatting>
  <conditionalFormatting sqref="M18">
    <cfRule type="cellIs" dxfId="245" priority="190" operator="equal">
      <formula>0</formula>
    </cfRule>
    <cfRule type="cellIs" dxfId="244" priority="191" operator="lessThan">
      <formula>E18</formula>
    </cfRule>
  </conditionalFormatting>
  <conditionalFormatting sqref="M19">
    <cfRule type="cellIs" dxfId="243" priority="195" operator="equal">
      <formula>0</formula>
    </cfRule>
    <cfRule type="cellIs" dxfId="242" priority="196" operator="lessThan">
      <formula>E19</formula>
    </cfRule>
  </conditionalFormatting>
  <conditionalFormatting sqref="M22">
    <cfRule type="cellIs" dxfId="241" priority="200" operator="equal">
      <formula>0</formula>
    </cfRule>
    <cfRule type="cellIs" dxfId="240" priority="201" operator="lessThan">
      <formula>E22</formula>
    </cfRule>
  </conditionalFormatting>
  <conditionalFormatting sqref="M26">
    <cfRule type="cellIs" dxfId="239" priority="205" operator="equal">
      <formula>0</formula>
    </cfRule>
    <cfRule type="cellIs" dxfId="238" priority="206" operator="lessThan">
      <formula>E26</formula>
    </cfRule>
  </conditionalFormatting>
  <conditionalFormatting sqref="M27">
    <cfRule type="cellIs" dxfId="237" priority="210" operator="equal">
      <formula>0</formula>
    </cfRule>
    <cfRule type="cellIs" dxfId="236" priority="211" operator="lessThan">
      <formula>E27</formula>
    </cfRule>
  </conditionalFormatting>
  <conditionalFormatting sqref="M28">
    <cfRule type="cellIs" dxfId="235" priority="215" operator="equal">
      <formula>0</formula>
    </cfRule>
    <cfRule type="cellIs" dxfId="234" priority="216" operator="lessThan">
      <formula>E28</formula>
    </cfRule>
  </conditionalFormatting>
  <conditionalFormatting sqref="M30">
    <cfRule type="cellIs" dxfId="233" priority="220" operator="equal">
      <formula>0</formula>
    </cfRule>
    <cfRule type="cellIs" dxfId="232" priority="221" operator="lessThan">
      <formula>E30</formula>
    </cfRule>
  </conditionalFormatting>
  <conditionalFormatting sqref="M31">
    <cfRule type="cellIs" dxfId="231" priority="225" operator="equal">
      <formula>0</formula>
    </cfRule>
    <cfRule type="cellIs" dxfId="230" priority="226" operator="lessThan">
      <formula>E31</formula>
    </cfRule>
  </conditionalFormatting>
  <conditionalFormatting sqref="M32">
    <cfRule type="cellIs" dxfId="229" priority="230" operator="equal">
      <formula>0</formula>
    </cfRule>
    <cfRule type="cellIs" dxfId="228" priority="231" operator="lessThan">
      <formula>E32</formula>
    </cfRule>
  </conditionalFormatting>
  <conditionalFormatting sqref="M33">
    <cfRule type="cellIs" dxfId="227" priority="235" operator="equal">
      <formula>0</formula>
    </cfRule>
    <cfRule type="cellIs" dxfId="226" priority="236" operator="lessThan">
      <formula>E33</formula>
    </cfRule>
  </conditionalFormatting>
  <conditionalFormatting sqref="M34">
    <cfRule type="cellIs" dxfId="225" priority="240" operator="equal">
      <formula>0</formula>
    </cfRule>
    <cfRule type="cellIs" dxfId="224" priority="241" operator="lessThan">
      <formula>E34</formula>
    </cfRule>
  </conditionalFormatting>
  <conditionalFormatting sqref="M35">
    <cfRule type="cellIs" dxfId="223" priority="245" operator="equal">
      <formula>0</formula>
    </cfRule>
    <cfRule type="cellIs" dxfId="222" priority="246" operator="lessThan">
      <formula>E35</formula>
    </cfRule>
  </conditionalFormatting>
  <conditionalFormatting sqref="M36">
    <cfRule type="cellIs" dxfId="221" priority="250" operator="equal">
      <formula>0</formula>
    </cfRule>
    <cfRule type="cellIs" dxfId="220" priority="251" operator="lessThan">
      <formula>E36</formula>
    </cfRule>
  </conditionalFormatting>
  <conditionalFormatting sqref="M37">
    <cfRule type="cellIs" dxfId="219" priority="255" operator="equal">
      <formula>0</formula>
    </cfRule>
    <cfRule type="cellIs" dxfId="218" priority="256" operator="lessThan">
      <formula>E37</formula>
    </cfRule>
  </conditionalFormatting>
  <conditionalFormatting sqref="M39">
    <cfRule type="cellIs" dxfId="217" priority="260" operator="equal">
      <formula>0</formula>
    </cfRule>
    <cfRule type="cellIs" dxfId="216" priority="261" operator="lessThan">
      <formula>E39</formula>
    </cfRule>
  </conditionalFormatting>
  <conditionalFormatting sqref="M40">
    <cfRule type="cellIs" dxfId="215" priority="265" operator="equal">
      <formula>0</formula>
    </cfRule>
    <cfRule type="cellIs" dxfId="214" priority="266" operator="lessThan">
      <formula>E40</formula>
    </cfRule>
  </conditionalFormatting>
  <conditionalFormatting sqref="M41">
    <cfRule type="cellIs" dxfId="213" priority="270" operator="equal">
      <formula>0</formula>
    </cfRule>
    <cfRule type="cellIs" dxfId="212" priority="271" operator="lessThan">
      <formula>E41</formula>
    </cfRule>
  </conditionalFormatting>
  <conditionalFormatting sqref="M42">
    <cfRule type="cellIs" dxfId="211" priority="275" operator="equal">
      <formula>0</formula>
    </cfRule>
    <cfRule type="cellIs" dxfId="210" priority="276" operator="lessThan">
      <formula>E42</formula>
    </cfRule>
  </conditionalFormatting>
  <conditionalFormatting sqref="M7">
    <cfRule type="cellIs" dxfId="209" priority="145" operator="equal">
      <formula>0</formula>
    </cfRule>
    <cfRule type="cellIs" dxfId="208" priority="146" operator="lessThan">
      <formula>E7</formula>
    </cfRule>
  </conditionalFormatting>
  <conditionalFormatting sqref="M8">
    <cfRule type="cellIs" dxfId="207" priority="150" operator="equal">
      <formula>0</formula>
    </cfRule>
    <cfRule type="cellIs" dxfId="206" priority="151" operator="lessThan">
      <formula>E8</formula>
    </cfRule>
  </conditionalFormatting>
  <conditionalFormatting sqref="M9">
    <cfRule type="cellIs" dxfId="205" priority="155" operator="equal">
      <formula>0</formula>
    </cfRule>
    <cfRule type="cellIs" dxfId="204" priority="156" operator="lessThan">
      <formula>E9</formula>
    </cfRule>
  </conditionalFormatting>
  <conditionalFormatting sqref="N10">
    <cfRule type="cellIs" dxfId="203" priority="162" operator="greaterThan">
      <formula>M10</formula>
    </cfRule>
  </conditionalFormatting>
  <conditionalFormatting sqref="N11">
    <cfRule type="cellIs" dxfId="202" priority="167" operator="greaterThan">
      <formula>M11</formula>
    </cfRule>
  </conditionalFormatting>
  <conditionalFormatting sqref="N12">
    <cfRule type="cellIs" dxfId="201" priority="172" operator="greaterThan">
      <formula>M12</formula>
    </cfRule>
  </conditionalFormatting>
  <conditionalFormatting sqref="N13">
    <cfRule type="cellIs" dxfId="200" priority="177" operator="greaterThan">
      <formula>M13</formula>
    </cfRule>
  </conditionalFormatting>
  <conditionalFormatting sqref="N14">
    <cfRule type="cellIs" dxfId="199" priority="182" operator="greaterThan">
      <formula>M14</formula>
    </cfRule>
  </conditionalFormatting>
  <conditionalFormatting sqref="N15">
    <cfRule type="cellIs" dxfId="198" priority="187" operator="greaterThan">
      <formula>M15</formula>
    </cfRule>
  </conditionalFormatting>
  <conditionalFormatting sqref="N18">
    <cfRule type="cellIs" dxfId="197" priority="192" operator="greaterThan">
      <formula>M18</formula>
    </cfRule>
  </conditionalFormatting>
  <conditionalFormatting sqref="N19">
    <cfRule type="cellIs" dxfId="196" priority="197" operator="greaterThan">
      <formula>M19</formula>
    </cfRule>
  </conditionalFormatting>
  <conditionalFormatting sqref="N22">
    <cfRule type="cellIs" dxfId="195" priority="202" operator="greaterThan">
      <formula>M22</formula>
    </cfRule>
  </conditionalFormatting>
  <conditionalFormatting sqref="N26">
    <cfRule type="cellIs" dxfId="194" priority="207" operator="greaterThan">
      <formula>M26</formula>
    </cfRule>
  </conditionalFormatting>
  <conditionalFormatting sqref="N27">
    <cfRule type="cellIs" dxfId="193" priority="212" operator="greaterThan">
      <formula>M27</formula>
    </cfRule>
  </conditionalFormatting>
  <conditionalFormatting sqref="N28">
    <cfRule type="cellIs" dxfId="192" priority="217" operator="greaterThan">
      <formula>M28</formula>
    </cfRule>
  </conditionalFormatting>
  <conditionalFormatting sqref="N30">
    <cfRule type="cellIs" dxfId="191" priority="222" operator="greaterThan">
      <formula>M30</formula>
    </cfRule>
  </conditionalFormatting>
  <conditionalFormatting sqref="N31">
    <cfRule type="cellIs" dxfId="190" priority="227" operator="greaterThan">
      <formula>M31</formula>
    </cfRule>
  </conditionalFormatting>
  <conditionalFormatting sqref="N32">
    <cfRule type="cellIs" dxfId="189" priority="232" operator="greaterThan">
      <formula>M32</formula>
    </cfRule>
  </conditionalFormatting>
  <conditionalFormatting sqref="N33">
    <cfRule type="cellIs" dxfId="188" priority="237" operator="greaterThan">
      <formula>M33</formula>
    </cfRule>
  </conditionalFormatting>
  <conditionalFormatting sqref="N34">
    <cfRule type="cellIs" dxfId="187" priority="242" operator="greaterThan">
      <formula>M34</formula>
    </cfRule>
  </conditionalFormatting>
  <conditionalFormatting sqref="N35">
    <cfRule type="cellIs" dxfId="186" priority="247" operator="greaterThan">
      <formula>M35</formula>
    </cfRule>
  </conditionalFormatting>
  <conditionalFormatting sqref="N36">
    <cfRule type="cellIs" dxfId="185" priority="252" operator="greaterThan">
      <formula>M36</formula>
    </cfRule>
  </conditionalFormatting>
  <conditionalFormatting sqref="N37">
    <cfRule type="cellIs" dxfId="184" priority="257" operator="greaterThan">
      <formula>M37</formula>
    </cfRule>
  </conditionalFormatting>
  <conditionalFormatting sqref="N39">
    <cfRule type="cellIs" dxfId="183" priority="262" operator="greaterThan">
      <formula>M39</formula>
    </cfRule>
  </conditionalFormatting>
  <conditionalFormatting sqref="N40">
    <cfRule type="cellIs" dxfId="182" priority="267" operator="greaterThan">
      <formula>M40</formula>
    </cfRule>
  </conditionalFormatting>
  <conditionalFormatting sqref="N41">
    <cfRule type="cellIs" dxfId="181" priority="272" operator="greaterThan">
      <formula>M41</formula>
    </cfRule>
  </conditionalFormatting>
  <conditionalFormatting sqref="N42">
    <cfRule type="cellIs" dxfId="180" priority="277" operator="greaterThan">
      <formula>M42</formula>
    </cfRule>
  </conditionalFormatting>
  <conditionalFormatting sqref="N7">
    <cfRule type="cellIs" dxfId="179" priority="147" operator="greaterThan">
      <formula>M7</formula>
    </cfRule>
  </conditionalFormatting>
  <conditionalFormatting sqref="N8">
    <cfRule type="cellIs" dxfId="178" priority="152" operator="greaterThan">
      <formula>M8</formula>
    </cfRule>
  </conditionalFormatting>
  <conditionalFormatting sqref="N9">
    <cfRule type="cellIs" dxfId="177" priority="157" operator="greaterThan">
      <formula>M9</formula>
    </cfRule>
  </conditionalFormatting>
  <conditionalFormatting sqref="O10">
    <cfRule type="cellIs" dxfId="176" priority="164" operator="lessThanOrEqual">
      <formula>F10</formula>
    </cfRule>
  </conditionalFormatting>
  <conditionalFormatting sqref="O11">
    <cfRule type="cellIs" dxfId="175" priority="169" operator="lessThanOrEqual">
      <formula>F11</formula>
    </cfRule>
  </conditionalFormatting>
  <conditionalFormatting sqref="O12">
    <cfRule type="cellIs" dxfId="174" priority="174" operator="lessThanOrEqual">
      <formula>F12</formula>
    </cfRule>
  </conditionalFormatting>
  <conditionalFormatting sqref="O13">
    <cfRule type="cellIs" dxfId="173" priority="179" operator="lessThanOrEqual">
      <formula>F13</formula>
    </cfRule>
  </conditionalFormatting>
  <conditionalFormatting sqref="O14">
    <cfRule type="cellIs" dxfId="172" priority="184" operator="lessThanOrEqual">
      <formula>F14</formula>
    </cfRule>
  </conditionalFormatting>
  <conditionalFormatting sqref="O15">
    <cfRule type="cellIs" dxfId="171" priority="189" operator="lessThanOrEqual">
      <formula>F15</formula>
    </cfRule>
  </conditionalFormatting>
  <conditionalFormatting sqref="O18">
    <cfRule type="cellIs" dxfId="170" priority="194" operator="lessThanOrEqual">
      <formula>F18</formula>
    </cfRule>
  </conditionalFormatting>
  <conditionalFormatting sqref="O19">
    <cfRule type="cellIs" dxfId="169" priority="199" operator="lessThanOrEqual">
      <formula>F19</formula>
    </cfRule>
  </conditionalFormatting>
  <conditionalFormatting sqref="O22">
    <cfRule type="cellIs" dxfId="168" priority="204" operator="lessThanOrEqual">
      <formula>F22</formula>
    </cfRule>
  </conditionalFormatting>
  <conditionalFormatting sqref="O26">
    <cfRule type="cellIs" dxfId="167" priority="209" operator="lessThanOrEqual">
      <formula>F26</formula>
    </cfRule>
  </conditionalFormatting>
  <conditionalFormatting sqref="O27">
    <cfRule type="cellIs" dxfId="166" priority="214" operator="lessThanOrEqual">
      <formula>F27</formula>
    </cfRule>
  </conditionalFormatting>
  <conditionalFormatting sqref="O28">
    <cfRule type="cellIs" dxfId="165" priority="219" operator="lessThanOrEqual">
      <formula>F28</formula>
    </cfRule>
  </conditionalFormatting>
  <conditionalFormatting sqref="O30">
    <cfRule type="cellIs" dxfId="164" priority="224" operator="lessThanOrEqual">
      <formula>F30</formula>
    </cfRule>
  </conditionalFormatting>
  <conditionalFormatting sqref="O31">
    <cfRule type="cellIs" dxfId="163" priority="229" operator="lessThanOrEqual">
      <formula>F31</formula>
    </cfRule>
  </conditionalFormatting>
  <conditionalFormatting sqref="O32">
    <cfRule type="cellIs" dxfId="162" priority="234" operator="lessThanOrEqual">
      <formula>F32</formula>
    </cfRule>
  </conditionalFormatting>
  <conditionalFormatting sqref="O33">
    <cfRule type="cellIs" dxfId="161" priority="239" operator="lessThanOrEqual">
      <formula>F33</formula>
    </cfRule>
  </conditionalFormatting>
  <conditionalFormatting sqref="O34">
    <cfRule type="cellIs" dxfId="160" priority="244" operator="lessThanOrEqual">
      <formula>F34</formula>
    </cfRule>
  </conditionalFormatting>
  <conditionalFormatting sqref="O35">
    <cfRule type="cellIs" dxfId="159" priority="249" operator="lessThanOrEqual">
      <formula>F35</formula>
    </cfRule>
  </conditionalFormatting>
  <conditionalFormatting sqref="O36">
    <cfRule type="cellIs" dxfId="158" priority="254" operator="lessThanOrEqual">
      <formula>F36</formula>
    </cfRule>
  </conditionalFormatting>
  <conditionalFormatting sqref="O37">
    <cfRule type="cellIs" dxfId="157" priority="259" operator="lessThanOrEqual">
      <formula>F37</formula>
    </cfRule>
  </conditionalFormatting>
  <conditionalFormatting sqref="O39">
    <cfRule type="cellIs" dxfId="156" priority="264" operator="lessThanOrEqual">
      <formula>F39</formula>
    </cfRule>
  </conditionalFormatting>
  <conditionalFormatting sqref="O40">
    <cfRule type="cellIs" dxfId="155" priority="269" operator="lessThanOrEqual">
      <formula>F40</formula>
    </cfRule>
  </conditionalFormatting>
  <conditionalFormatting sqref="O41">
    <cfRule type="cellIs" dxfId="154" priority="274" operator="lessThanOrEqual">
      <formula>F41</formula>
    </cfRule>
  </conditionalFormatting>
  <conditionalFormatting sqref="O42">
    <cfRule type="cellIs" dxfId="153" priority="279" operator="lessThanOrEqual">
      <formula>F42</formula>
    </cfRule>
  </conditionalFormatting>
  <conditionalFormatting sqref="O7">
    <cfRule type="cellIs" dxfId="152" priority="149" operator="lessThanOrEqual">
      <formula>F7</formula>
    </cfRule>
  </conditionalFormatting>
  <conditionalFormatting sqref="O8">
    <cfRule type="cellIs" dxfId="151" priority="154" operator="lessThanOrEqual">
      <formula>F8</formula>
    </cfRule>
  </conditionalFormatting>
  <conditionalFormatting sqref="O9">
    <cfRule type="cellIs" dxfId="150" priority="159" operator="lessThanOrEqual">
      <formula>F9</formula>
    </cfRule>
  </conditionalFormatting>
  <conditionalFormatting sqref="P10">
    <cfRule type="cellIs" dxfId="149" priority="163" operator="lessThanOrEqual">
      <formula>G10</formula>
    </cfRule>
  </conditionalFormatting>
  <conditionalFormatting sqref="P11">
    <cfRule type="cellIs" dxfId="148" priority="168" operator="lessThanOrEqual">
      <formula>G11</formula>
    </cfRule>
  </conditionalFormatting>
  <conditionalFormatting sqref="P12">
    <cfRule type="cellIs" dxfId="147" priority="173" operator="lessThanOrEqual">
      <formula>G12</formula>
    </cfRule>
  </conditionalFormatting>
  <conditionalFormatting sqref="P13">
    <cfRule type="cellIs" dxfId="146" priority="178" operator="lessThanOrEqual">
      <formula>G13</formula>
    </cfRule>
  </conditionalFormatting>
  <conditionalFormatting sqref="P14">
    <cfRule type="cellIs" dxfId="145" priority="183" operator="lessThanOrEqual">
      <formula>G14</formula>
    </cfRule>
  </conditionalFormatting>
  <conditionalFormatting sqref="P15">
    <cfRule type="cellIs" dxfId="144" priority="188" operator="lessThanOrEqual">
      <formula>G15</formula>
    </cfRule>
  </conditionalFormatting>
  <conditionalFormatting sqref="P18">
    <cfRule type="cellIs" dxfId="143" priority="193" operator="lessThanOrEqual">
      <formula>G18</formula>
    </cfRule>
  </conditionalFormatting>
  <conditionalFormatting sqref="P19">
    <cfRule type="cellIs" dxfId="142" priority="198" operator="lessThanOrEqual">
      <formula>G19</formula>
    </cfRule>
  </conditionalFormatting>
  <conditionalFormatting sqref="P22">
    <cfRule type="cellIs" dxfId="141" priority="203" operator="lessThanOrEqual">
      <formula>G22</formula>
    </cfRule>
  </conditionalFormatting>
  <conditionalFormatting sqref="P26">
    <cfRule type="cellIs" dxfId="140" priority="208" operator="lessThanOrEqual">
      <formula>G26</formula>
    </cfRule>
  </conditionalFormatting>
  <conditionalFormatting sqref="P27">
    <cfRule type="cellIs" dxfId="139" priority="213" operator="lessThanOrEqual">
      <formula>G27</formula>
    </cfRule>
  </conditionalFormatting>
  <conditionalFormatting sqref="P28">
    <cfRule type="cellIs" dxfId="138" priority="218" operator="lessThanOrEqual">
      <formula>G28</formula>
    </cfRule>
  </conditionalFormatting>
  <conditionalFormatting sqref="P30">
    <cfRule type="cellIs" dxfId="137" priority="223" operator="lessThanOrEqual">
      <formula>G30</formula>
    </cfRule>
  </conditionalFormatting>
  <conditionalFormatting sqref="P31">
    <cfRule type="cellIs" dxfId="136" priority="228" operator="lessThanOrEqual">
      <formula>G31</formula>
    </cfRule>
  </conditionalFormatting>
  <conditionalFormatting sqref="P32">
    <cfRule type="cellIs" dxfId="135" priority="233" operator="lessThanOrEqual">
      <formula>G32</formula>
    </cfRule>
  </conditionalFormatting>
  <conditionalFormatting sqref="P33">
    <cfRule type="cellIs" dxfId="134" priority="238" operator="lessThanOrEqual">
      <formula>G33</formula>
    </cfRule>
  </conditionalFormatting>
  <conditionalFormatting sqref="P34">
    <cfRule type="cellIs" dxfId="133" priority="243" operator="lessThanOrEqual">
      <formula>G34</formula>
    </cfRule>
  </conditionalFormatting>
  <conditionalFormatting sqref="P35">
    <cfRule type="cellIs" dxfId="132" priority="248" operator="lessThanOrEqual">
      <formula>G35</formula>
    </cfRule>
  </conditionalFormatting>
  <conditionalFormatting sqref="P36">
    <cfRule type="cellIs" dxfId="131" priority="253" operator="lessThanOrEqual">
      <formula>G36</formula>
    </cfRule>
  </conditionalFormatting>
  <conditionalFormatting sqref="P37">
    <cfRule type="cellIs" dxfId="130" priority="258" operator="lessThanOrEqual">
      <formula>G37</formula>
    </cfRule>
  </conditionalFormatting>
  <conditionalFormatting sqref="P39">
    <cfRule type="cellIs" dxfId="129" priority="263" operator="lessThanOrEqual">
      <formula>G39</formula>
    </cfRule>
  </conditionalFormatting>
  <conditionalFormatting sqref="P40">
    <cfRule type="cellIs" dxfId="128" priority="268" operator="lessThanOrEqual">
      <formula>G40</formula>
    </cfRule>
  </conditionalFormatting>
  <conditionalFormatting sqref="P41">
    <cfRule type="cellIs" dxfId="127" priority="273" operator="lessThanOrEqual">
      <formula>G41</formula>
    </cfRule>
  </conditionalFormatting>
  <conditionalFormatting sqref="P42">
    <cfRule type="cellIs" dxfId="126" priority="278" operator="lessThanOrEqual">
      <formula>G42</formula>
    </cfRule>
  </conditionalFormatting>
  <conditionalFormatting sqref="P7">
    <cfRule type="cellIs" dxfId="125" priority="148" operator="lessThanOrEqual">
      <formula>G7</formula>
    </cfRule>
  </conditionalFormatting>
  <conditionalFormatting sqref="P8">
    <cfRule type="cellIs" dxfId="124" priority="153" operator="lessThanOrEqual">
      <formula>G8</formula>
    </cfRule>
  </conditionalFormatting>
  <conditionalFormatting sqref="P9">
    <cfRule type="cellIs" dxfId="123" priority="158" operator="lessThanOrEqual">
      <formula>G9</formula>
    </cfRule>
  </conditionalFormatting>
  <conditionalFormatting sqref="R10">
    <cfRule type="cellIs" dxfId="122" priority="292" operator="equal">
      <formula>0</formula>
    </cfRule>
    <cfRule type="cellIs" dxfId="121" priority="293" operator="lessThan">
      <formula>E10</formula>
    </cfRule>
  </conditionalFormatting>
  <conditionalFormatting sqref="R14">
    <cfRule type="cellIs" dxfId="120" priority="298" operator="equal">
      <formula>0</formula>
    </cfRule>
    <cfRule type="cellIs" dxfId="119" priority="299" operator="lessThan">
      <formula>E14</formula>
    </cfRule>
  </conditionalFormatting>
  <conditionalFormatting sqref="R15">
    <cfRule type="cellIs" dxfId="118" priority="304" operator="equal">
      <formula>0</formula>
    </cfRule>
    <cfRule type="cellIs" dxfId="117" priority="305" operator="lessThan">
      <formula>E15</formula>
    </cfRule>
  </conditionalFormatting>
  <conditionalFormatting sqref="R18">
    <cfRule type="cellIs" dxfId="116" priority="310" operator="equal">
      <formula>0</formula>
    </cfRule>
    <cfRule type="cellIs" dxfId="115" priority="311" operator="lessThan">
      <formula>E18</formula>
    </cfRule>
  </conditionalFormatting>
  <conditionalFormatting sqref="R19">
    <cfRule type="cellIs" dxfId="114" priority="315" operator="equal">
      <formula>0</formula>
    </cfRule>
    <cfRule type="cellIs" dxfId="113" priority="316" operator="lessThan">
      <formula>E19</formula>
    </cfRule>
  </conditionalFormatting>
  <conditionalFormatting sqref="R22">
    <cfRule type="cellIs" dxfId="112" priority="320" operator="equal">
      <formula>0</formula>
    </cfRule>
    <cfRule type="cellIs" dxfId="111" priority="321" operator="lessThan">
      <formula>E22</formula>
    </cfRule>
  </conditionalFormatting>
  <conditionalFormatting sqref="R26">
    <cfRule type="cellIs" dxfId="110" priority="325" operator="equal">
      <formula>0</formula>
    </cfRule>
    <cfRule type="cellIs" dxfId="109" priority="326" operator="lessThan">
      <formula>E26</formula>
    </cfRule>
  </conditionalFormatting>
  <conditionalFormatting sqref="R28">
    <cfRule type="cellIs" dxfId="108" priority="331" operator="equal">
      <formula>0</formula>
    </cfRule>
    <cfRule type="cellIs" dxfId="107" priority="332" operator="lessThan">
      <formula>E28</formula>
    </cfRule>
  </conditionalFormatting>
  <conditionalFormatting sqref="R35">
    <cfRule type="cellIs" dxfId="106" priority="337" operator="equal">
      <formula>0</formula>
    </cfRule>
    <cfRule type="cellIs" dxfId="105" priority="338" operator="lessThan">
      <formula>E35</formula>
    </cfRule>
  </conditionalFormatting>
  <conditionalFormatting sqref="R36">
    <cfRule type="cellIs" dxfId="104" priority="342" operator="equal">
      <formula>0</formula>
    </cfRule>
    <cfRule type="cellIs" dxfId="103" priority="343" operator="lessThan">
      <formula>E36</formula>
    </cfRule>
  </conditionalFormatting>
  <conditionalFormatting sqref="R40">
    <cfRule type="cellIs" dxfId="102" priority="347" operator="equal">
      <formula>0</formula>
    </cfRule>
    <cfRule type="cellIs" dxfId="101" priority="348" operator="lessThan">
      <formula>E40</formula>
    </cfRule>
  </conditionalFormatting>
  <conditionalFormatting sqref="R41">
    <cfRule type="cellIs" dxfId="100" priority="352" operator="equal">
      <formula>0</formula>
    </cfRule>
    <cfRule type="cellIs" dxfId="99" priority="353" operator="lessThan">
      <formula>E41</formula>
    </cfRule>
  </conditionalFormatting>
  <conditionalFormatting sqref="R42">
    <cfRule type="cellIs" dxfId="98" priority="357" operator="equal">
      <formula>0</formula>
    </cfRule>
    <cfRule type="cellIs" dxfId="97" priority="358" operator="lessThan">
      <formula>E42</formula>
    </cfRule>
  </conditionalFormatting>
  <conditionalFormatting sqref="R7">
    <cfRule type="cellIs" dxfId="96" priority="280" operator="equal">
      <formula>0</formula>
    </cfRule>
    <cfRule type="cellIs" dxfId="95" priority="281" operator="lessThan">
      <formula>E7</formula>
    </cfRule>
  </conditionalFormatting>
  <conditionalFormatting sqref="R9">
    <cfRule type="cellIs" dxfId="94" priority="286" operator="equal">
      <formula>0</formula>
    </cfRule>
    <cfRule type="cellIs" dxfId="93" priority="287" operator="lessThan">
      <formula>E9</formula>
    </cfRule>
  </conditionalFormatting>
  <conditionalFormatting sqref="S10">
    <cfRule type="expression" dxfId="92" priority="294">
      <formula>AND(S10&gt;0,S10&lt;10)</formula>
    </cfRule>
    <cfRule type="cellIs" dxfId="91" priority="295" operator="greaterThan">
      <formula>R10</formula>
    </cfRule>
  </conditionalFormatting>
  <conditionalFormatting sqref="S14">
    <cfRule type="expression" dxfId="90" priority="300">
      <formula>AND(S14&gt;0,S14&lt;5)</formula>
    </cfRule>
    <cfRule type="cellIs" dxfId="89" priority="301" operator="greaterThan">
      <formula>R14</formula>
    </cfRule>
  </conditionalFormatting>
  <conditionalFormatting sqref="S15">
    <cfRule type="expression" dxfId="88" priority="306">
      <formula>AND(S15&gt;0,S15&lt;10)</formula>
    </cfRule>
    <cfRule type="cellIs" dxfId="87" priority="307" operator="greaterThan">
      <formula>R15</formula>
    </cfRule>
  </conditionalFormatting>
  <conditionalFormatting sqref="S18">
    <cfRule type="cellIs" dxfId="86" priority="312" operator="greaterThan">
      <formula>R18</formula>
    </cfRule>
  </conditionalFormatting>
  <conditionalFormatting sqref="S19">
    <cfRule type="cellIs" dxfId="85" priority="317" operator="greaterThan">
      <formula>R19</formula>
    </cfRule>
  </conditionalFormatting>
  <conditionalFormatting sqref="S22">
    <cfRule type="cellIs" dxfId="84" priority="322" operator="greaterThan">
      <formula>R22</formula>
    </cfRule>
  </conditionalFormatting>
  <conditionalFormatting sqref="S26">
    <cfRule type="expression" dxfId="83" priority="327">
      <formula>AND(S26&gt;0,S26&lt;5)</formula>
    </cfRule>
    <cfRule type="cellIs" dxfId="82" priority="328" operator="greaterThan">
      <formula>R26</formula>
    </cfRule>
  </conditionalFormatting>
  <conditionalFormatting sqref="S28">
    <cfRule type="expression" dxfId="81" priority="333">
      <formula>AND(S28&gt;0,S28&lt;10)</formula>
    </cfRule>
    <cfRule type="cellIs" dxfId="80" priority="334" operator="greaterThan">
      <formula>R28</formula>
    </cfRule>
  </conditionalFormatting>
  <conditionalFormatting sqref="S35">
    <cfRule type="cellIs" dxfId="79" priority="339" operator="greaterThan">
      <formula>R35</formula>
    </cfRule>
  </conditionalFormatting>
  <conditionalFormatting sqref="S36">
    <cfRule type="cellIs" dxfId="78" priority="344" operator="greaterThan">
      <formula>R36</formula>
    </cfRule>
  </conditionalFormatting>
  <conditionalFormatting sqref="S40">
    <cfRule type="cellIs" dxfId="77" priority="349" operator="greaterThan">
      <formula>R40</formula>
    </cfRule>
  </conditionalFormatting>
  <conditionalFormatting sqref="S41">
    <cfRule type="cellIs" dxfId="76" priority="354" operator="greaterThan">
      <formula>R41</formula>
    </cfRule>
  </conditionalFormatting>
  <conditionalFormatting sqref="S42">
    <cfRule type="cellIs" dxfId="75" priority="359" operator="greaterThan">
      <formula>R42</formula>
    </cfRule>
  </conditionalFormatting>
  <conditionalFormatting sqref="S7">
    <cfRule type="expression" dxfId="74" priority="282">
      <formula>AND(S7&gt;0,S7&lt;5)</formula>
    </cfRule>
    <cfRule type="cellIs" dxfId="73" priority="283" operator="greaterThan">
      <formula>R7</formula>
    </cfRule>
  </conditionalFormatting>
  <conditionalFormatting sqref="S9">
    <cfRule type="expression" dxfId="72" priority="288">
      <formula>AND(S9&gt;0,S9&lt;10)</formula>
    </cfRule>
    <cfRule type="cellIs" dxfId="71" priority="289" operator="greaterThan">
      <formula>R9</formula>
    </cfRule>
  </conditionalFormatting>
  <conditionalFormatting sqref="T10">
    <cfRule type="cellIs" dxfId="70" priority="297" operator="lessThanOrEqual">
      <formula>F10</formula>
    </cfRule>
  </conditionalFormatting>
  <conditionalFormatting sqref="T14">
    <cfRule type="cellIs" dxfId="69" priority="303" operator="lessThanOrEqual">
      <formula>F14</formula>
    </cfRule>
  </conditionalFormatting>
  <conditionalFormatting sqref="T15">
    <cfRule type="cellIs" dxfId="68" priority="309" operator="lessThanOrEqual">
      <formula>F15</formula>
    </cfRule>
  </conditionalFormatting>
  <conditionalFormatting sqref="T18">
    <cfRule type="cellIs" dxfId="67" priority="314" operator="lessThanOrEqual">
      <formula>F18</formula>
    </cfRule>
  </conditionalFormatting>
  <conditionalFormatting sqref="T19">
    <cfRule type="cellIs" dxfId="66" priority="319" operator="lessThanOrEqual">
      <formula>F19</formula>
    </cfRule>
  </conditionalFormatting>
  <conditionalFormatting sqref="T22">
    <cfRule type="cellIs" dxfId="65" priority="324" operator="lessThanOrEqual">
      <formula>F22</formula>
    </cfRule>
  </conditionalFormatting>
  <conditionalFormatting sqref="T26">
    <cfRule type="cellIs" dxfId="64" priority="330" operator="lessThanOrEqual">
      <formula>F26</formula>
    </cfRule>
  </conditionalFormatting>
  <conditionalFormatting sqref="T28">
    <cfRule type="cellIs" dxfId="63" priority="336" operator="lessThanOrEqual">
      <formula>F28</formula>
    </cfRule>
  </conditionalFormatting>
  <conditionalFormatting sqref="T35">
    <cfRule type="cellIs" dxfId="62" priority="341" operator="lessThanOrEqual">
      <formula>F35</formula>
    </cfRule>
  </conditionalFormatting>
  <conditionalFormatting sqref="T36">
    <cfRule type="cellIs" dxfId="61" priority="346" operator="lessThanOrEqual">
      <formula>F36</formula>
    </cfRule>
  </conditionalFormatting>
  <conditionalFormatting sqref="T40">
    <cfRule type="cellIs" dxfId="60" priority="351" operator="lessThanOrEqual">
      <formula>F40</formula>
    </cfRule>
  </conditionalFormatting>
  <conditionalFormatting sqref="T41">
    <cfRule type="cellIs" dxfId="59" priority="356" operator="lessThanOrEqual">
      <formula>F41</formula>
    </cfRule>
  </conditionalFormatting>
  <conditionalFormatting sqref="T42">
    <cfRule type="cellIs" dxfId="58" priority="361" operator="lessThanOrEqual">
      <formula>F42</formula>
    </cfRule>
  </conditionalFormatting>
  <conditionalFormatting sqref="T7">
    <cfRule type="cellIs" dxfId="57" priority="285" operator="lessThanOrEqual">
      <formula>F7</formula>
    </cfRule>
  </conditionalFormatting>
  <conditionalFormatting sqref="T9">
    <cfRule type="cellIs" dxfId="56" priority="291" operator="lessThanOrEqual">
      <formula>F9</formula>
    </cfRule>
  </conditionalFormatting>
  <conditionalFormatting sqref="U10">
    <cfRule type="cellIs" dxfId="55" priority="296" operator="lessThanOrEqual">
      <formula>G10</formula>
    </cfRule>
  </conditionalFormatting>
  <conditionalFormatting sqref="U14">
    <cfRule type="cellIs" dxfId="54" priority="302" operator="lessThanOrEqual">
      <formula>G14</formula>
    </cfRule>
  </conditionalFormatting>
  <conditionalFormatting sqref="U15">
    <cfRule type="cellIs" dxfId="53" priority="308" operator="lessThanOrEqual">
      <formula>G15</formula>
    </cfRule>
  </conditionalFormatting>
  <conditionalFormatting sqref="U18">
    <cfRule type="cellIs" dxfId="52" priority="313" operator="lessThanOrEqual">
      <formula>G18</formula>
    </cfRule>
  </conditionalFormatting>
  <conditionalFormatting sqref="U19">
    <cfRule type="cellIs" dxfId="51" priority="318" operator="lessThanOrEqual">
      <formula>G19</formula>
    </cfRule>
  </conditionalFormatting>
  <conditionalFormatting sqref="U22">
    <cfRule type="cellIs" dxfId="50" priority="323" operator="lessThanOrEqual">
      <formula>G22</formula>
    </cfRule>
  </conditionalFormatting>
  <conditionalFormatting sqref="U26">
    <cfRule type="cellIs" dxfId="49" priority="329" operator="lessThanOrEqual">
      <formula>G26</formula>
    </cfRule>
  </conditionalFormatting>
  <conditionalFormatting sqref="U28">
    <cfRule type="cellIs" dxfId="48" priority="335" operator="lessThanOrEqual">
      <formula>G28</formula>
    </cfRule>
  </conditionalFormatting>
  <conditionalFormatting sqref="U35">
    <cfRule type="cellIs" dxfId="47" priority="340" operator="lessThanOrEqual">
      <formula>G35</formula>
    </cfRule>
  </conditionalFormatting>
  <conditionalFormatting sqref="U36">
    <cfRule type="cellIs" dxfId="46" priority="345" operator="lessThanOrEqual">
      <formula>G36</formula>
    </cfRule>
  </conditionalFormatting>
  <conditionalFormatting sqref="U40">
    <cfRule type="cellIs" dxfId="45" priority="350" operator="lessThanOrEqual">
      <formula>G40</formula>
    </cfRule>
  </conditionalFormatting>
  <conditionalFormatting sqref="U41">
    <cfRule type="cellIs" dxfId="44" priority="355" operator="lessThanOrEqual">
      <formula>G41</formula>
    </cfRule>
  </conditionalFormatting>
  <conditionalFormatting sqref="U42">
    <cfRule type="cellIs" dxfId="43" priority="360" operator="lessThanOrEqual">
      <formula>G42</formula>
    </cfRule>
  </conditionalFormatting>
  <conditionalFormatting sqref="U7">
    <cfRule type="cellIs" dxfId="42" priority="284" operator="lessThanOrEqual">
      <formula>G7</formula>
    </cfRule>
  </conditionalFormatting>
  <conditionalFormatting sqref="U9">
    <cfRule type="cellIs" dxfId="41" priority="290" operator="lessThanOrEqual">
      <formula>G9</formula>
    </cfRule>
  </conditionalFormatting>
  <conditionalFormatting sqref="W10">
    <cfRule type="cellIs" dxfId="40" priority="380" operator="equal">
      <formula>0</formula>
    </cfRule>
    <cfRule type="cellIs" dxfId="39" priority="381" operator="lessThan">
      <formula>E10</formula>
    </cfRule>
  </conditionalFormatting>
  <conditionalFormatting sqref="W11">
    <cfRule type="cellIs" dxfId="38" priority="386" operator="equal">
      <formula>0</formula>
    </cfRule>
    <cfRule type="cellIs" dxfId="37" priority="387" operator="lessThan">
      <formula>E11</formula>
    </cfRule>
  </conditionalFormatting>
  <conditionalFormatting sqref="W14">
    <cfRule type="cellIs" dxfId="36" priority="392" operator="equal">
      <formula>0</formula>
    </cfRule>
    <cfRule type="cellIs" dxfId="35" priority="393" operator="lessThan">
      <formula>E14</formula>
    </cfRule>
  </conditionalFormatting>
  <conditionalFormatting sqref="W35">
    <cfRule type="cellIs" dxfId="34" priority="398" operator="equal">
      <formula>0</formula>
    </cfRule>
    <cfRule type="cellIs" dxfId="33" priority="399" operator="lessThan">
      <formula>E35</formula>
    </cfRule>
  </conditionalFormatting>
  <conditionalFormatting sqref="W7">
    <cfRule type="cellIs" dxfId="32" priority="362" operator="equal">
      <formula>0</formula>
    </cfRule>
    <cfRule type="cellIs" dxfId="31" priority="363" operator="lessThan">
      <formula>E7</formula>
    </cfRule>
  </conditionalFormatting>
  <conditionalFormatting sqref="W8">
    <cfRule type="cellIs" dxfId="30" priority="368" operator="equal">
      <formula>0</formula>
    </cfRule>
    <cfRule type="cellIs" dxfId="29" priority="369" operator="lessThan">
      <formula>E8</formula>
    </cfRule>
  </conditionalFormatting>
  <conditionalFormatting sqref="W9">
    <cfRule type="cellIs" dxfId="28" priority="374" operator="equal">
      <formula>0</formula>
    </cfRule>
    <cfRule type="cellIs" dxfId="27" priority="375" operator="lessThan">
      <formula>E9</formula>
    </cfRule>
  </conditionalFormatting>
  <conditionalFormatting sqref="X10">
    <cfRule type="expression" dxfId="26" priority="382">
      <formula>AND(X10&gt;0,X10&lt;100)</formula>
    </cfRule>
    <cfRule type="cellIs" dxfId="25" priority="383" operator="greaterThan">
      <formula>W10</formula>
    </cfRule>
  </conditionalFormatting>
  <conditionalFormatting sqref="X11">
    <cfRule type="expression" dxfId="24" priority="388">
      <formula>AND(X11&gt;0,X11&lt;50)</formula>
    </cfRule>
    <cfRule type="cellIs" dxfId="23" priority="389" operator="greaterThan">
      <formula>W11</formula>
    </cfRule>
  </conditionalFormatting>
  <conditionalFormatting sqref="X14">
    <cfRule type="expression" dxfId="22" priority="394">
      <formula>AND(X14&gt;0,X14&lt;20)</formula>
    </cfRule>
    <cfRule type="cellIs" dxfId="21" priority="395" operator="greaterThan">
      <formula>W14</formula>
    </cfRule>
  </conditionalFormatting>
  <conditionalFormatting sqref="X35">
    <cfRule type="cellIs" dxfId="20" priority="400" operator="greaterThan">
      <formula>W35</formula>
    </cfRule>
  </conditionalFormatting>
  <conditionalFormatting sqref="X7">
    <cfRule type="expression" dxfId="19" priority="364">
      <formula>AND(X7&gt;0,X7&lt;5)</formula>
    </cfRule>
    <cfRule type="cellIs" dxfId="18" priority="365" operator="greaterThan">
      <formula>W7</formula>
    </cfRule>
  </conditionalFormatting>
  <conditionalFormatting sqref="X8">
    <cfRule type="expression" dxfId="17" priority="370">
      <formula>AND(X8&gt;0,X8&lt;50)</formula>
    </cfRule>
    <cfRule type="cellIs" dxfId="16" priority="371" operator="greaterThan">
      <formula>W8</formula>
    </cfRule>
  </conditionalFormatting>
  <conditionalFormatting sqref="X9">
    <cfRule type="expression" dxfId="15" priority="376">
      <formula>AND(X9&gt;0,X9&lt;50)</formula>
    </cfRule>
    <cfRule type="cellIs" dxfId="14" priority="377" operator="greaterThan">
      <formula>W9</formula>
    </cfRule>
  </conditionalFormatting>
  <conditionalFormatting sqref="Y10">
    <cfRule type="cellIs" dxfId="13" priority="385" operator="lessThanOrEqual">
      <formula>F10</formula>
    </cfRule>
  </conditionalFormatting>
  <conditionalFormatting sqref="Y11">
    <cfRule type="cellIs" dxfId="12" priority="391" operator="lessThanOrEqual">
      <formula>F11</formula>
    </cfRule>
  </conditionalFormatting>
  <conditionalFormatting sqref="Y14">
    <cfRule type="cellIs" dxfId="11" priority="397" operator="lessThanOrEqual">
      <formula>F14</formula>
    </cfRule>
  </conditionalFormatting>
  <conditionalFormatting sqref="Y35">
    <cfRule type="cellIs" dxfId="10" priority="402" operator="lessThanOrEqual">
      <formula>F35</formula>
    </cfRule>
  </conditionalFormatting>
  <conditionalFormatting sqref="Y7">
    <cfRule type="cellIs" dxfId="9" priority="367" operator="lessThanOrEqual">
      <formula>F7</formula>
    </cfRule>
  </conditionalFormatting>
  <conditionalFormatting sqref="Y8">
    <cfRule type="cellIs" dxfId="8" priority="373" operator="lessThanOrEqual">
      <formula>F8</formula>
    </cfRule>
  </conditionalFormatting>
  <conditionalFormatting sqref="Y9">
    <cfRule type="cellIs" dxfId="7" priority="379" operator="lessThanOrEqual">
      <formula>F9</formula>
    </cfRule>
  </conditionalFormatting>
  <conditionalFormatting sqref="Z10">
    <cfRule type="cellIs" dxfId="6" priority="384" operator="lessThanOrEqual">
      <formula>G10</formula>
    </cfRule>
  </conditionalFormatting>
  <conditionalFormatting sqref="Z11">
    <cfRule type="cellIs" dxfId="5" priority="390" operator="lessThanOrEqual">
      <formula>G11</formula>
    </cfRule>
  </conditionalFormatting>
  <conditionalFormatting sqref="Z14">
    <cfRule type="cellIs" dxfId="4" priority="396" operator="lessThanOrEqual">
      <formula>G14</formula>
    </cfRule>
  </conditionalFormatting>
  <conditionalFormatting sqref="Z35">
    <cfRule type="cellIs" dxfId="3" priority="401" operator="lessThanOrEqual">
      <formula>G35</formula>
    </cfRule>
  </conditionalFormatting>
  <conditionalFormatting sqref="Z7">
    <cfRule type="cellIs" dxfId="2" priority="366" operator="lessThanOrEqual">
      <formula>G7</formula>
    </cfRule>
  </conditionalFormatting>
  <conditionalFormatting sqref="Z8">
    <cfRule type="cellIs" dxfId="1" priority="372" operator="lessThanOrEqual">
      <formula>G8</formula>
    </cfRule>
  </conditionalFormatting>
  <conditionalFormatting sqref="Z9">
    <cfRule type="cellIs" dxfId="0" priority="378" operator="lessThanOrEqual">
      <formula>G9</formula>
    </cfRule>
  </conditionalFormatting>
  <hyperlinks>
    <hyperlink ref="Q7" r:id="rId1" xr:uid="{00000000-0004-0000-0000-000000000000}"/>
    <hyperlink ref="V7" r:id="rId2" xr:uid="{00000000-0004-0000-0000-000001000000}"/>
    <hyperlink ref="AA7" r:id="rId3" xr:uid="{00000000-0004-0000-0000-000002000000}"/>
    <hyperlink ref="AF7" r:id="rId4" xr:uid="{00000000-0004-0000-0000-000003000000}"/>
    <hyperlink ref="AK7" r:id="rId5" xr:uid="{00000000-0004-0000-0000-000004000000}"/>
    <hyperlink ref="Q8" r:id="rId6" xr:uid="{00000000-0004-0000-0000-000005000000}"/>
    <hyperlink ref="AA8" r:id="rId7" xr:uid="{00000000-0004-0000-0000-000006000000}"/>
    <hyperlink ref="AF8" r:id="rId8" xr:uid="{00000000-0004-0000-0000-000007000000}"/>
    <hyperlink ref="AK8" r:id="rId9" xr:uid="{00000000-0004-0000-0000-000008000000}"/>
    <hyperlink ref="AU8" r:id="rId10" xr:uid="{00000000-0004-0000-0000-000009000000}"/>
    <hyperlink ref="Q9" r:id="rId11" xr:uid="{00000000-0004-0000-0000-00000A000000}"/>
    <hyperlink ref="V9" r:id="rId12" xr:uid="{00000000-0004-0000-0000-00000B000000}"/>
    <hyperlink ref="AA9" r:id="rId13" xr:uid="{00000000-0004-0000-0000-00000C000000}"/>
    <hyperlink ref="AF9" r:id="rId14" xr:uid="{00000000-0004-0000-0000-00000D000000}"/>
    <hyperlink ref="AK9" r:id="rId15" xr:uid="{00000000-0004-0000-0000-00000E000000}"/>
    <hyperlink ref="AP9" r:id="rId16" xr:uid="{00000000-0004-0000-0000-00000F000000}"/>
    <hyperlink ref="AU9" r:id="rId17" xr:uid="{00000000-0004-0000-0000-000010000000}"/>
    <hyperlink ref="Q10" r:id="rId18" xr:uid="{00000000-0004-0000-0000-000011000000}"/>
    <hyperlink ref="V10" r:id="rId19" xr:uid="{00000000-0004-0000-0000-000012000000}"/>
    <hyperlink ref="AA10" r:id="rId20" xr:uid="{00000000-0004-0000-0000-000013000000}"/>
    <hyperlink ref="AF10" r:id="rId21" xr:uid="{00000000-0004-0000-0000-000014000000}"/>
    <hyperlink ref="AK10" r:id="rId22" xr:uid="{00000000-0004-0000-0000-000015000000}"/>
    <hyperlink ref="AP10" r:id="rId23" xr:uid="{00000000-0004-0000-0000-000016000000}"/>
    <hyperlink ref="AU10" r:id="rId24" xr:uid="{00000000-0004-0000-0000-000017000000}"/>
    <hyperlink ref="Q11" r:id="rId25" xr:uid="{00000000-0004-0000-0000-000018000000}"/>
    <hyperlink ref="AA11" r:id="rId26" xr:uid="{00000000-0004-0000-0000-000019000000}"/>
    <hyperlink ref="AF11" r:id="rId27" xr:uid="{00000000-0004-0000-0000-00001A000000}"/>
    <hyperlink ref="Q12" r:id="rId28" xr:uid="{00000000-0004-0000-0000-00001B000000}"/>
    <hyperlink ref="AF12" r:id="rId29" xr:uid="{00000000-0004-0000-0000-00001C000000}"/>
    <hyperlink ref="AK12" r:id="rId30" xr:uid="{00000000-0004-0000-0000-00001D000000}"/>
    <hyperlink ref="Q13" r:id="rId31" xr:uid="{00000000-0004-0000-0000-00001E000000}"/>
    <hyperlink ref="AF13" r:id="rId32" xr:uid="{00000000-0004-0000-0000-00001F000000}"/>
    <hyperlink ref="AK13" r:id="rId33" xr:uid="{00000000-0004-0000-0000-000020000000}"/>
    <hyperlink ref="D14" r:id="rId34" xr:uid="{00000000-0004-0000-0000-000021000000}"/>
    <hyperlink ref="Q14" r:id="rId35" xr:uid="{00000000-0004-0000-0000-000022000000}"/>
    <hyperlink ref="V14" r:id="rId36" xr:uid="{00000000-0004-0000-0000-000023000000}"/>
    <hyperlink ref="AA14" r:id="rId37" xr:uid="{00000000-0004-0000-0000-000024000000}"/>
    <hyperlink ref="AF14" r:id="rId38" xr:uid="{00000000-0004-0000-0000-000025000000}"/>
    <hyperlink ref="AK14" r:id="rId39" xr:uid="{00000000-0004-0000-0000-000026000000}"/>
    <hyperlink ref="AP14" r:id="rId40" xr:uid="{00000000-0004-0000-0000-000027000000}"/>
    <hyperlink ref="AU14" r:id="rId41" xr:uid="{00000000-0004-0000-0000-000028000000}"/>
    <hyperlink ref="Q15" r:id="rId42" xr:uid="{00000000-0004-0000-0000-000029000000}"/>
    <hyperlink ref="V15" r:id="rId43" xr:uid="{00000000-0004-0000-0000-00002A000000}"/>
    <hyperlink ref="AF15" r:id="rId44" xr:uid="{00000000-0004-0000-0000-00002B000000}"/>
    <hyperlink ref="AK15" r:id="rId45" xr:uid="{00000000-0004-0000-0000-00002C000000}"/>
    <hyperlink ref="AP15" r:id="rId46" xr:uid="{00000000-0004-0000-0000-00002D000000}"/>
    <hyperlink ref="D18" r:id="rId47" xr:uid="{00000000-0004-0000-0000-00002E000000}"/>
    <hyperlink ref="Q18" r:id="rId48" xr:uid="{00000000-0004-0000-0000-00002F000000}"/>
    <hyperlink ref="V18" r:id="rId49" xr:uid="{00000000-0004-0000-0000-000030000000}"/>
    <hyperlink ref="AF18" r:id="rId50" xr:uid="{00000000-0004-0000-0000-000031000000}"/>
    <hyperlink ref="AK18" r:id="rId51" xr:uid="{00000000-0004-0000-0000-000032000000}"/>
    <hyperlink ref="AU18" r:id="rId52" xr:uid="{00000000-0004-0000-0000-000033000000}"/>
    <hyperlink ref="D19" r:id="rId53" xr:uid="{00000000-0004-0000-0000-000034000000}"/>
    <hyperlink ref="Q19" r:id="rId54" xr:uid="{00000000-0004-0000-0000-000035000000}"/>
    <hyperlink ref="V19" r:id="rId55" xr:uid="{00000000-0004-0000-0000-000036000000}"/>
    <hyperlink ref="AF19" r:id="rId56" xr:uid="{00000000-0004-0000-0000-000037000000}"/>
    <hyperlink ref="AK19" r:id="rId57" xr:uid="{00000000-0004-0000-0000-000038000000}"/>
    <hyperlink ref="AU19" r:id="rId58" xr:uid="{00000000-0004-0000-0000-000039000000}"/>
    <hyperlink ref="D22" r:id="rId59" xr:uid="{00000000-0004-0000-0000-00003A000000}"/>
    <hyperlink ref="Q22" r:id="rId60" xr:uid="{00000000-0004-0000-0000-00003B000000}"/>
    <hyperlink ref="V22" r:id="rId61" xr:uid="{00000000-0004-0000-0000-00003C000000}"/>
    <hyperlink ref="AF22" r:id="rId62" xr:uid="{00000000-0004-0000-0000-00003D000000}"/>
    <hyperlink ref="AK22" r:id="rId63" xr:uid="{00000000-0004-0000-0000-00003E000000}"/>
    <hyperlink ref="AU22" r:id="rId64" xr:uid="{00000000-0004-0000-0000-00003F000000}"/>
    <hyperlink ref="Q26" r:id="rId65" xr:uid="{00000000-0004-0000-0000-000040000000}"/>
    <hyperlink ref="V26" r:id="rId66" xr:uid="{00000000-0004-0000-0000-000041000000}"/>
    <hyperlink ref="AF26" r:id="rId67" xr:uid="{00000000-0004-0000-0000-000042000000}"/>
    <hyperlink ref="AK26" r:id="rId68" xr:uid="{00000000-0004-0000-0000-000043000000}"/>
    <hyperlink ref="Q27" r:id="rId69" xr:uid="{00000000-0004-0000-0000-000044000000}"/>
    <hyperlink ref="AF27" r:id="rId70" xr:uid="{00000000-0004-0000-0000-000045000000}"/>
    <hyperlink ref="Q28" r:id="rId71" xr:uid="{00000000-0004-0000-0000-000046000000}"/>
    <hyperlink ref="V28" r:id="rId72" xr:uid="{00000000-0004-0000-0000-000047000000}"/>
    <hyperlink ref="AF28" r:id="rId73" xr:uid="{00000000-0004-0000-0000-000048000000}"/>
    <hyperlink ref="AK28" r:id="rId74" xr:uid="{00000000-0004-0000-0000-000049000000}"/>
    <hyperlink ref="AP28" r:id="rId75" xr:uid="{00000000-0004-0000-0000-00004A000000}"/>
    <hyperlink ref="AU28" r:id="rId76" xr:uid="{00000000-0004-0000-0000-00004B000000}"/>
    <hyperlink ref="Q30" r:id="rId77" xr:uid="{00000000-0004-0000-0000-00004C000000}"/>
    <hyperlink ref="AF30" r:id="rId78" xr:uid="{00000000-0004-0000-0000-00004D000000}"/>
    <hyperlink ref="Q31" r:id="rId79" xr:uid="{00000000-0004-0000-0000-00004E000000}"/>
    <hyperlink ref="Q32" r:id="rId80" xr:uid="{00000000-0004-0000-0000-00004F000000}"/>
    <hyperlink ref="Q33" r:id="rId81" xr:uid="{00000000-0004-0000-0000-000050000000}"/>
    <hyperlink ref="AF33" r:id="rId82" xr:uid="{00000000-0004-0000-0000-000051000000}"/>
    <hyperlink ref="D34" r:id="rId83" xr:uid="{00000000-0004-0000-0000-000052000000}"/>
    <hyperlink ref="Q34" r:id="rId84" xr:uid="{00000000-0004-0000-0000-000053000000}"/>
    <hyperlink ref="D35" r:id="rId85" xr:uid="{00000000-0004-0000-0000-000054000000}"/>
    <hyperlink ref="Q35" r:id="rId86" xr:uid="{00000000-0004-0000-0000-000055000000}"/>
    <hyperlink ref="V35" r:id="rId87" xr:uid="{00000000-0004-0000-0000-000056000000}"/>
    <hyperlink ref="AA35" r:id="rId88" xr:uid="{00000000-0004-0000-0000-000057000000}"/>
    <hyperlink ref="AF35" r:id="rId89" xr:uid="{00000000-0004-0000-0000-000058000000}"/>
    <hyperlink ref="AK35" r:id="rId90" xr:uid="{00000000-0004-0000-0000-000059000000}"/>
    <hyperlink ref="AP35" r:id="rId91" xr:uid="{00000000-0004-0000-0000-00005A000000}"/>
    <hyperlink ref="D36" r:id="rId92" xr:uid="{00000000-0004-0000-0000-00005B000000}"/>
    <hyperlink ref="Q36" r:id="rId93" xr:uid="{00000000-0004-0000-0000-00005C000000}"/>
    <hyperlink ref="V36" r:id="rId94" xr:uid="{00000000-0004-0000-0000-00005D000000}"/>
    <hyperlink ref="AF36" r:id="rId95" xr:uid="{00000000-0004-0000-0000-00005E000000}"/>
    <hyperlink ref="AK36" r:id="rId96" xr:uid="{00000000-0004-0000-0000-00005F000000}"/>
    <hyperlink ref="Q37" r:id="rId97" xr:uid="{00000000-0004-0000-0000-000060000000}"/>
    <hyperlink ref="AF37" r:id="rId98" xr:uid="{00000000-0004-0000-0000-000061000000}"/>
    <hyperlink ref="D38" r:id="rId99" xr:uid="{00000000-0004-0000-0000-000062000000}"/>
    <hyperlink ref="D39" r:id="rId100" xr:uid="{00000000-0004-0000-0000-000063000000}"/>
    <hyperlink ref="Q39" r:id="rId101" xr:uid="{00000000-0004-0000-0000-000064000000}"/>
    <hyperlink ref="AF39" r:id="rId102" xr:uid="{00000000-0004-0000-0000-000065000000}"/>
    <hyperlink ref="AK39" r:id="rId103" xr:uid="{00000000-0004-0000-0000-000066000000}"/>
    <hyperlink ref="D40" r:id="rId104" xr:uid="{00000000-0004-0000-0000-000067000000}"/>
    <hyperlink ref="Q40" r:id="rId105" xr:uid="{00000000-0004-0000-0000-000068000000}"/>
    <hyperlink ref="V40" r:id="rId106" xr:uid="{00000000-0004-0000-0000-000069000000}"/>
    <hyperlink ref="AF40" r:id="rId107" xr:uid="{00000000-0004-0000-0000-00006A000000}"/>
    <hyperlink ref="AK40" r:id="rId108" xr:uid="{00000000-0004-0000-0000-00006B000000}"/>
    <hyperlink ref="AU40" r:id="rId109" xr:uid="{00000000-0004-0000-0000-00006C000000}"/>
    <hyperlink ref="D41" r:id="rId110" xr:uid="{00000000-0004-0000-0000-00006D000000}"/>
    <hyperlink ref="Q41" r:id="rId111" xr:uid="{00000000-0004-0000-0000-00006E000000}"/>
    <hyperlink ref="V41" r:id="rId112" xr:uid="{00000000-0004-0000-0000-00006F000000}"/>
    <hyperlink ref="AF41" r:id="rId113" xr:uid="{00000000-0004-0000-0000-000070000000}"/>
    <hyperlink ref="AK41" r:id="rId114" xr:uid="{00000000-0004-0000-0000-000071000000}"/>
    <hyperlink ref="D42" r:id="rId115" xr:uid="{00000000-0004-0000-0000-000072000000}"/>
    <hyperlink ref="Q42" r:id="rId116" xr:uid="{00000000-0004-0000-0000-000073000000}"/>
    <hyperlink ref="V42" r:id="rId117" xr:uid="{00000000-0004-0000-0000-000074000000}"/>
    <hyperlink ref="AK42" r:id="rId118" xr:uid="{00000000-0004-0000-0000-000075000000}"/>
  </hyperlinks>
  <pageMargins left="0.7" right="0.7" top="0.75" bottom="0.75" header="0.3" footer="0.3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dac.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2021-05-15T14:27:00Z</dcterms:created>
  <dcterms:modified xsi:type="dcterms:W3CDTF">2021-05-15T14:29:14Z</dcterms:modified>
</cp:coreProperties>
</file>