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henk/Documents/GitHub/electronic-projects/dac-pcm1702-v1/kicad-psu-v2/"/>
    </mc:Choice>
  </mc:AlternateContent>
  <xr:revisionPtr revIDLastSave="0" documentId="13_ncr:20001_{91C72FF3-B593-B04D-ABE7-B45368279A30}" xr6:coauthVersionLast="47" xr6:coauthVersionMax="47" xr10:uidLastSave="{00000000-0000-0000-0000-000000000000}"/>
  <bookViews>
    <workbookView xWindow="240" yWindow="460" windowWidth="28560" windowHeight="14360" xr2:uid="{00000000-000D-0000-FFFF-FFFF00000000}"/>
  </bookViews>
  <sheets>
    <sheet name="dac-psu. " sheetId="1" r:id="rId1"/>
  </sheets>
  <definedNames>
    <definedName name="arrow_part_data">'dac-psu. '!$H$5:$L$39</definedName>
    <definedName name="BoardQty">'dac-psu. '!$G$1</definedName>
    <definedName name="digikey_part_data">'dac-psu. '!$M$5:$Q$39</definedName>
    <definedName name="farnell_part_data">'dac-psu. '!$R$5:$V$39</definedName>
    <definedName name="global_part_data">'dac-psu. '!$A$5:$G$39</definedName>
    <definedName name="lcsc_part_data">'dac-psu. '!$W$5:$AA$39</definedName>
    <definedName name="mouser_part_data">'dac-psu. '!$AB$5:$AF$39</definedName>
    <definedName name="newark_part_data">'dac-psu. '!$AG$5:$AK$39</definedName>
    <definedName name="PURCHASE_DESCRIPTION">'dac-psu. '!$G$42</definedName>
    <definedName name="rs_part_data">'dac-psu. '!$AL$5:$AP$39</definedName>
    <definedName name="tme_part_data">'dac-psu. '!$AQ$5:$AU$39</definedName>
    <definedName name="TotalCost">'dac-psu. '!$G$3</definedName>
    <definedName name="USD_GBP">'dac-psu. '!$C$42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75" i="1" l="1" a="1"/>
  <c r="X75" i="1" s="1"/>
  <c r="AR74" i="1" a="1"/>
  <c r="AR74" i="1" s="1"/>
  <c r="AM74" i="1" a="1"/>
  <c r="AM74" i="1" s="1"/>
  <c r="AH74" i="1" a="1"/>
  <c r="AH74" i="1" s="1"/>
  <c r="AC74" i="1" a="1"/>
  <c r="AC74" i="1" s="1"/>
  <c r="X74" i="1" a="1"/>
  <c r="X74" i="1" s="1"/>
  <c r="S74" i="1" a="1"/>
  <c r="S74" i="1" s="1"/>
  <c r="N74" i="1" a="1"/>
  <c r="N74" i="1" s="1"/>
  <c r="I74" i="1" a="1"/>
  <c r="I74" i="1" s="1"/>
  <c r="AR73" i="1" a="1"/>
  <c r="AR73" i="1" s="1"/>
  <c r="AM73" i="1" a="1"/>
  <c r="AM73" i="1" s="1"/>
  <c r="AH73" i="1" a="1"/>
  <c r="AH73" i="1" s="1"/>
  <c r="AC73" i="1" a="1"/>
  <c r="AC73" i="1" s="1"/>
  <c r="X73" i="1" a="1"/>
  <c r="X73" i="1" s="1"/>
  <c r="S73" i="1" a="1"/>
  <c r="S73" i="1" s="1"/>
  <c r="N73" i="1" a="1"/>
  <c r="N73" i="1" s="1"/>
  <c r="I73" i="1" a="1"/>
  <c r="I73" i="1" s="1"/>
  <c r="AR72" i="1" a="1"/>
  <c r="AR72" i="1" s="1"/>
  <c r="AM72" i="1" a="1"/>
  <c r="AM72" i="1" s="1"/>
  <c r="AH72" i="1" a="1"/>
  <c r="AH72" i="1" s="1"/>
  <c r="AC72" i="1" a="1"/>
  <c r="AC72" i="1" s="1"/>
  <c r="X72" i="1" a="1"/>
  <c r="X72" i="1" s="1"/>
  <c r="S72" i="1" a="1"/>
  <c r="S72" i="1" s="1"/>
  <c r="N72" i="1" a="1"/>
  <c r="N72" i="1" s="1"/>
  <c r="I72" i="1" a="1"/>
  <c r="I72" i="1" s="1"/>
  <c r="AR71" i="1" a="1"/>
  <c r="AR71" i="1" s="1"/>
  <c r="AM71" i="1" a="1"/>
  <c r="AM71" i="1" s="1"/>
  <c r="AH71" i="1" a="1"/>
  <c r="AH71" i="1" s="1"/>
  <c r="AC71" i="1" a="1"/>
  <c r="AC71" i="1" s="1"/>
  <c r="X71" i="1" a="1"/>
  <c r="X71" i="1" s="1"/>
  <c r="S71" i="1" a="1"/>
  <c r="S71" i="1" s="1"/>
  <c r="N71" i="1" a="1"/>
  <c r="N71" i="1" s="1"/>
  <c r="I71" i="1" a="1"/>
  <c r="I71" i="1" s="1"/>
  <c r="AR70" i="1" a="1"/>
  <c r="AR70" i="1" s="1"/>
  <c r="AM70" i="1" a="1"/>
  <c r="AM70" i="1" s="1"/>
  <c r="AH70" i="1" a="1"/>
  <c r="AH70" i="1" s="1"/>
  <c r="AC70" i="1" a="1"/>
  <c r="AC70" i="1" s="1"/>
  <c r="X70" i="1" a="1"/>
  <c r="X70" i="1" s="1"/>
  <c r="S70" i="1" a="1"/>
  <c r="S70" i="1" s="1"/>
  <c r="N70" i="1" a="1"/>
  <c r="N70" i="1" s="1"/>
  <c r="I70" i="1" a="1"/>
  <c r="I70" i="1" s="1"/>
  <c r="AR69" i="1" a="1"/>
  <c r="AR69" i="1" s="1"/>
  <c r="AM69" i="1" a="1"/>
  <c r="AM69" i="1" s="1"/>
  <c r="AH69" i="1" a="1"/>
  <c r="AH69" i="1" s="1"/>
  <c r="AC69" i="1" a="1"/>
  <c r="AC69" i="1" s="1"/>
  <c r="X69" i="1" a="1"/>
  <c r="X69" i="1" s="1"/>
  <c r="S69" i="1" a="1"/>
  <c r="S69" i="1" s="1"/>
  <c r="N69" i="1" a="1"/>
  <c r="N69" i="1" s="1"/>
  <c r="I69" i="1" a="1"/>
  <c r="I69" i="1" s="1"/>
  <c r="AR68" i="1" a="1"/>
  <c r="AR68" i="1" s="1"/>
  <c r="AM68" i="1" a="1"/>
  <c r="AM68" i="1" s="1"/>
  <c r="AH68" i="1" a="1"/>
  <c r="AH68" i="1" s="1"/>
  <c r="AC68" i="1" a="1"/>
  <c r="AC68" i="1" s="1"/>
  <c r="X68" i="1" a="1"/>
  <c r="X68" i="1" s="1"/>
  <c r="S68" i="1" a="1"/>
  <c r="S68" i="1" s="1"/>
  <c r="N68" i="1" a="1"/>
  <c r="N68" i="1" s="1"/>
  <c r="I68" i="1" a="1"/>
  <c r="I68" i="1" s="1"/>
  <c r="AR67" i="1" a="1"/>
  <c r="AR67" i="1" s="1"/>
  <c r="AM67" i="1" a="1"/>
  <c r="AM67" i="1" s="1"/>
  <c r="AH67" i="1" a="1"/>
  <c r="AH67" i="1" s="1"/>
  <c r="AC67" i="1" a="1"/>
  <c r="AC67" i="1" s="1"/>
  <c r="X67" i="1" a="1"/>
  <c r="X67" i="1" s="1"/>
  <c r="S67" i="1" a="1"/>
  <c r="S67" i="1" s="1"/>
  <c r="N67" i="1" a="1"/>
  <c r="N67" i="1" s="1"/>
  <c r="I67" i="1" a="1"/>
  <c r="I67" i="1" s="1"/>
  <c r="AR66" i="1" a="1"/>
  <c r="AR66" i="1" s="1"/>
  <c r="AM66" i="1" a="1"/>
  <c r="AM66" i="1" s="1"/>
  <c r="AH66" i="1" a="1"/>
  <c r="AH66" i="1" s="1"/>
  <c r="AC66" i="1" a="1"/>
  <c r="AC66" i="1" s="1"/>
  <c r="X66" i="1" a="1"/>
  <c r="X66" i="1" s="1"/>
  <c r="S66" i="1" a="1"/>
  <c r="S66" i="1" s="1"/>
  <c r="N66" i="1" a="1"/>
  <c r="N66" i="1" s="1"/>
  <c r="I66" i="1" a="1"/>
  <c r="I66" i="1" s="1"/>
  <c r="AR65" i="1" a="1"/>
  <c r="AR65" i="1" s="1"/>
  <c r="AM65" i="1" a="1"/>
  <c r="AM65" i="1" s="1"/>
  <c r="AH65" i="1" a="1"/>
  <c r="AH65" i="1" s="1"/>
  <c r="AC65" i="1" a="1"/>
  <c r="AC65" i="1" s="1"/>
  <c r="X65" i="1" a="1"/>
  <c r="X65" i="1" s="1"/>
  <c r="S65" i="1" a="1"/>
  <c r="S65" i="1" s="1"/>
  <c r="N65" i="1" a="1"/>
  <c r="N65" i="1" s="1"/>
  <c r="I65" i="1" a="1"/>
  <c r="I65" i="1" s="1"/>
  <c r="AR64" i="1" a="1"/>
  <c r="AR64" i="1" s="1"/>
  <c r="AM64" i="1" a="1"/>
  <c r="AM64" i="1" s="1"/>
  <c r="AH64" i="1" a="1"/>
  <c r="AH64" i="1" s="1"/>
  <c r="AC64" i="1" a="1"/>
  <c r="AC64" i="1" s="1"/>
  <c r="X64" i="1" a="1"/>
  <c r="X64" i="1" s="1"/>
  <c r="S64" i="1" a="1"/>
  <c r="S64" i="1" s="1"/>
  <c r="N64" i="1" a="1"/>
  <c r="N64" i="1" s="1"/>
  <c r="I64" i="1" a="1"/>
  <c r="I64" i="1" s="1"/>
  <c r="AR63" i="1" a="1"/>
  <c r="AR63" i="1" s="1"/>
  <c r="AM63" i="1" a="1"/>
  <c r="AM63" i="1" s="1"/>
  <c r="AH63" i="1" a="1"/>
  <c r="AH63" i="1" s="1"/>
  <c r="AC63" i="1" a="1"/>
  <c r="AC63" i="1" s="1"/>
  <c r="X63" i="1" a="1"/>
  <c r="X63" i="1" s="1"/>
  <c r="S63" i="1" a="1"/>
  <c r="S63" i="1" s="1"/>
  <c r="N63" i="1" a="1"/>
  <c r="N63" i="1" s="1"/>
  <c r="I63" i="1" a="1"/>
  <c r="I63" i="1" s="1"/>
  <c r="AR62" i="1" a="1"/>
  <c r="AR62" i="1" s="1"/>
  <c r="AM62" i="1" a="1"/>
  <c r="AM62" i="1" s="1"/>
  <c r="AH62" i="1" a="1"/>
  <c r="AH62" i="1" s="1"/>
  <c r="AC62" i="1" a="1"/>
  <c r="AC62" i="1" s="1"/>
  <c r="X62" i="1" a="1"/>
  <c r="X62" i="1" s="1"/>
  <c r="S62" i="1" a="1"/>
  <c r="S62" i="1" s="1"/>
  <c r="N62" i="1" a="1"/>
  <c r="N62" i="1" s="1"/>
  <c r="I62" i="1" a="1"/>
  <c r="I62" i="1" s="1"/>
  <c r="AR61" i="1" a="1"/>
  <c r="AR61" i="1" s="1"/>
  <c r="AM61" i="1" a="1"/>
  <c r="AM61" i="1" s="1"/>
  <c r="AH61" i="1" a="1"/>
  <c r="AH61" i="1" s="1"/>
  <c r="AC61" i="1" a="1"/>
  <c r="AC61" i="1" s="1"/>
  <c r="X61" i="1" a="1"/>
  <c r="X61" i="1" s="1"/>
  <c r="S61" i="1" a="1"/>
  <c r="S61" i="1" s="1"/>
  <c r="N61" i="1" a="1"/>
  <c r="N61" i="1" s="1"/>
  <c r="I61" i="1" a="1"/>
  <c r="I61" i="1" s="1"/>
  <c r="AR60" i="1" a="1"/>
  <c r="AR60" i="1" s="1"/>
  <c r="AM60" i="1" a="1"/>
  <c r="AM60" i="1" s="1"/>
  <c r="AH60" i="1" a="1"/>
  <c r="AH60" i="1" s="1"/>
  <c r="AC60" i="1" a="1"/>
  <c r="AC60" i="1" s="1"/>
  <c r="X60" i="1" a="1"/>
  <c r="X60" i="1" s="1"/>
  <c r="S60" i="1" a="1"/>
  <c r="S60" i="1" s="1"/>
  <c r="N60" i="1" a="1"/>
  <c r="N60" i="1" s="1"/>
  <c r="I60" i="1" a="1"/>
  <c r="I60" i="1" s="1"/>
  <c r="AR59" i="1" a="1"/>
  <c r="AR59" i="1" s="1"/>
  <c r="AM59" i="1" a="1"/>
  <c r="AM59" i="1" s="1"/>
  <c r="AH59" i="1" a="1"/>
  <c r="AH59" i="1" s="1"/>
  <c r="AC59" i="1" a="1"/>
  <c r="AC59" i="1" s="1"/>
  <c r="X59" i="1" a="1"/>
  <c r="X59" i="1" s="1"/>
  <c r="S59" i="1" a="1"/>
  <c r="S59" i="1" s="1"/>
  <c r="N59" i="1" a="1"/>
  <c r="N59" i="1" s="1"/>
  <c r="I59" i="1" a="1"/>
  <c r="I59" i="1" s="1"/>
  <c r="AR58" i="1" a="1"/>
  <c r="AR58" i="1" s="1"/>
  <c r="AM58" i="1" a="1"/>
  <c r="AM58" i="1" s="1"/>
  <c r="AH58" i="1" a="1"/>
  <c r="AH58" i="1" s="1"/>
  <c r="AC58" i="1" a="1"/>
  <c r="AC58" i="1" s="1"/>
  <c r="X58" i="1" a="1"/>
  <c r="X58" i="1" s="1"/>
  <c r="S58" i="1" a="1"/>
  <c r="S58" i="1" s="1"/>
  <c r="N58" i="1" a="1"/>
  <c r="N58" i="1" s="1"/>
  <c r="I58" i="1" a="1"/>
  <c r="I58" i="1" s="1"/>
  <c r="AR57" i="1" a="1"/>
  <c r="AR57" i="1" s="1"/>
  <c r="AM57" i="1" a="1"/>
  <c r="AM57" i="1" s="1"/>
  <c r="AH57" i="1" a="1"/>
  <c r="AH57" i="1" s="1"/>
  <c r="AC57" i="1" a="1"/>
  <c r="AC57" i="1" s="1"/>
  <c r="X57" i="1" a="1"/>
  <c r="X57" i="1" s="1"/>
  <c r="S57" i="1" a="1"/>
  <c r="S57" i="1" s="1"/>
  <c r="N57" i="1" a="1"/>
  <c r="N57" i="1" s="1"/>
  <c r="I57" i="1" a="1"/>
  <c r="I57" i="1" s="1"/>
  <c r="AR56" i="1" a="1"/>
  <c r="AR56" i="1" s="1"/>
  <c r="AM56" i="1" a="1"/>
  <c r="AM56" i="1" s="1"/>
  <c r="AH56" i="1" a="1"/>
  <c r="AH56" i="1" s="1"/>
  <c r="AC56" i="1" a="1"/>
  <c r="AC56" i="1" s="1"/>
  <c r="X56" i="1" a="1"/>
  <c r="X56" i="1" s="1"/>
  <c r="S56" i="1" a="1"/>
  <c r="S56" i="1" s="1"/>
  <c r="N56" i="1" a="1"/>
  <c r="N56" i="1" s="1"/>
  <c r="I56" i="1" a="1"/>
  <c r="I56" i="1" s="1"/>
  <c r="AR55" i="1" a="1"/>
  <c r="AR55" i="1" s="1"/>
  <c r="AM55" i="1" a="1"/>
  <c r="AM55" i="1" s="1"/>
  <c r="AH55" i="1" a="1"/>
  <c r="AH55" i="1" s="1"/>
  <c r="AC55" i="1" a="1"/>
  <c r="AC55" i="1" s="1"/>
  <c r="X55" i="1" a="1"/>
  <c r="X55" i="1" s="1"/>
  <c r="S55" i="1" a="1"/>
  <c r="S55" i="1" s="1"/>
  <c r="N55" i="1" a="1"/>
  <c r="N55" i="1" s="1"/>
  <c r="I55" i="1" a="1"/>
  <c r="I55" i="1" s="1"/>
  <c r="AR54" i="1" a="1"/>
  <c r="AR54" i="1" s="1"/>
  <c r="AM54" i="1" a="1"/>
  <c r="AM54" i="1" s="1"/>
  <c r="AH54" i="1" a="1"/>
  <c r="AH54" i="1" s="1"/>
  <c r="AC54" i="1" a="1"/>
  <c r="AC54" i="1" s="1"/>
  <c r="X54" i="1" a="1"/>
  <c r="X54" i="1" s="1"/>
  <c r="S54" i="1" a="1"/>
  <c r="S54" i="1" s="1"/>
  <c r="N54" i="1" a="1"/>
  <c r="N54" i="1" s="1"/>
  <c r="I54" i="1" a="1"/>
  <c r="I54" i="1" s="1"/>
  <c r="AR53" i="1" a="1"/>
  <c r="AR53" i="1" s="1"/>
  <c r="AM53" i="1" a="1"/>
  <c r="AM53" i="1" s="1"/>
  <c r="AH53" i="1" a="1"/>
  <c r="AH53" i="1" s="1"/>
  <c r="AC53" i="1" a="1"/>
  <c r="AC53" i="1" s="1"/>
  <c r="X53" i="1" a="1"/>
  <c r="X53" i="1" s="1"/>
  <c r="S53" i="1" a="1"/>
  <c r="S53" i="1" s="1"/>
  <c r="N53" i="1" a="1"/>
  <c r="N53" i="1" s="1"/>
  <c r="I53" i="1" a="1"/>
  <c r="I53" i="1" s="1"/>
  <c r="AR52" i="1" a="1"/>
  <c r="AR52" i="1" s="1"/>
  <c r="AM52" i="1" a="1"/>
  <c r="AM52" i="1" s="1"/>
  <c r="AH52" i="1" a="1"/>
  <c r="AH52" i="1" s="1"/>
  <c r="AC52" i="1" a="1"/>
  <c r="AC52" i="1" s="1"/>
  <c r="X52" i="1" a="1"/>
  <c r="X52" i="1" s="1"/>
  <c r="S52" i="1" a="1"/>
  <c r="S52" i="1" s="1"/>
  <c r="N52" i="1" a="1"/>
  <c r="N52" i="1" s="1"/>
  <c r="I52" i="1" a="1"/>
  <c r="I52" i="1" s="1"/>
  <c r="AR51" i="1" a="1"/>
  <c r="AR51" i="1" s="1"/>
  <c r="AM51" i="1" a="1"/>
  <c r="AM51" i="1" s="1"/>
  <c r="AH51" i="1" a="1"/>
  <c r="AH51" i="1" s="1"/>
  <c r="AC51" i="1" a="1"/>
  <c r="AC51" i="1" s="1"/>
  <c r="X51" i="1" a="1"/>
  <c r="X51" i="1" s="1"/>
  <c r="S51" i="1" a="1"/>
  <c r="S51" i="1" s="1"/>
  <c r="N51" i="1" a="1"/>
  <c r="N51" i="1" s="1"/>
  <c r="I51" i="1" a="1"/>
  <c r="I51" i="1" s="1"/>
  <c r="AR50" i="1" a="1"/>
  <c r="AR50" i="1" s="1"/>
  <c r="AM50" i="1" a="1"/>
  <c r="AM50" i="1" s="1"/>
  <c r="AH50" i="1" a="1"/>
  <c r="AH50" i="1" s="1"/>
  <c r="AC50" i="1" a="1"/>
  <c r="AC50" i="1" s="1"/>
  <c r="X50" i="1" a="1"/>
  <c r="X50" i="1" s="1"/>
  <c r="S50" i="1" a="1"/>
  <c r="S50" i="1" s="1"/>
  <c r="N50" i="1" a="1"/>
  <c r="N50" i="1" s="1"/>
  <c r="I50" i="1" a="1"/>
  <c r="I50" i="1" s="1"/>
  <c r="AR49" i="1" a="1"/>
  <c r="AR49" i="1" s="1"/>
  <c r="AM49" i="1" a="1"/>
  <c r="AM49" i="1" s="1"/>
  <c r="AH49" i="1" a="1"/>
  <c r="AH49" i="1" s="1"/>
  <c r="AC49" i="1" a="1"/>
  <c r="AC49" i="1" s="1"/>
  <c r="X49" i="1" a="1"/>
  <c r="X49" i="1" s="1"/>
  <c r="S49" i="1" a="1"/>
  <c r="S49" i="1" s="1"/>
  <c r="N49" i="1" a="1"/>
  <c r="N49" i="1" s="1"/>
  <c r="I49" i="1" a="1"/>
  <c r="I49" i="1" s="1"/>
  <c r="AR48" i="1" a="1"/>
  <c r="AR48" i="1" s="1"/>
  <c r="AM48" i="1" a="1"/>
  <c r="AM48" i="1" s="1"/>
  <c r="AH48" i="1" a="1"/>
  <c r="AH48" i="1" s="1"/>
  <c r="AC48" i="1" a="1"/>
  <c r="AC48" i="1" s="1"/>
  <c r="X48" i="1" a="1"/>
  <c r="X48" i="1" s="1"/>
  <c r="S48" i="1" a="1"/>
  <c r="S48" i="1" s="1"/>
  <c r="N48" i="1" a="1"/>
  <c r="N48" i="1" s="1"/>
  <c r="I48" i="1" a="1"/>
  <c r="I48" i="1" s="1"/>
  <c r="AR47" i="1" a="1"/>
  <c r="AR47" i="1" s="1"/>
  <c r="AM47" i="1" a="1"/>
  <c r="AM47" i="1" s="1"/>
  <c r="AH47" i="1" a="1"/>
  <c r="AH47" i="1" s="1"/>
  <c r="AC47" i="1" a="1"/>
  <c r="AC47" i="1" s="1"/>
  <c r="X47" i="1" a="1"/>
  <c r="X47" i="1" s="1"/>
  <c r="S47" i="1" a="1"/>
  <c r="S47" i="1" s="1"/>
  <c r="N47" i="1" a="1"/>
  <c r="N47" i="1" s="1"/>
  <c r="I47" i="1" a="1"/>
  <c r="I47" i="1" s="1"/>
  <c r="AR46" i="1" a="1"/>
  <c r="AR46" i="1" s="1"/>
  <c r="AM46" i="1" a="1"/>
  <c r="AM46" i="1" s="1"/>
  <c r="AH46" i="1" a="1"/>
  <c r="AH46" i="1" s="1"/>
  <c r="AC46" i="1" a="1"/>
  <c r="AC46" i="1" s="1"/>
  <c r="X46" i="1" a="1"/>
  <c r="X46" i="1" s="1"/>
  <c r="S46" i="1" a="1"/>
  <c r="S46" i="1" s="1"/>
  <c r="N46" i="1" a="1"/>
  <c r="N46" i="1" s="1"/>
  <c r="I46" i="1" a="1"/>
  <c r="I46" i="1" s="1"/>
  <c r="AR45" i="1" a="1"/>
  <c r="AR45" i="1" s="1"/>
  <c r="AM45" i="1" a="1"/>
  <c r="AM45" i="1" s="1"/>
  <c r="AH45" i="1" a="1"/>
  <c r="AH45" i="1" s="1"/>
  <c r="AC45" i="1" a="1"/>
  <c r="AC45" i="1" s="1"/>
  <c r="X45" i="1" a="1"/>
  <c r="X45" i="1" s="1"/>
  <c r="S45" i="1" a="1"/>
  <c r="S45" i="1" s="1"/>
  <c r="N45" i="1" a="1"/>
  <c r="N45" i="1" s="1"/>
  <c r="I45" i="1" a="1"/>
  <c r="I45" i="1" s="1"/>
  <c r="AR44" i="1" a="1"/>
  <c r="AR44" i="1" s="1"/>
  <c r="AM44" i="1" a="1"/>
  <c r="AM44" i="1" s="1"/>
  <c r="AH44" i="1" a="1"/>
  <c r="AH44" i="1" s="1"/>
  <c r="AC44" i="1" a="1"/>
  <c r="AC44" i="1" s="1"/>
  <c r="X44" i="1" a="1"/>
  <c r="X44" i="1" s="1"/>
  <c r="S44" i="1" a="1"/>
  <c r="S44" i="1" s="1"/>
  <c r="N44" i="1" a="1"/>
  <c r="N44" i="1" s="1"/>
  <c r="I44" i="1" a="1"/>
  <c r="I44" i="1" s="1"/>
  <c r="AR43" i="1" a="1"/>
  <c r="AR43" i="1" s="1"/>
  <c r="AM43" i="1" a="1"/>
  <c r="AM43" i="1" s="1"/>
  <c r="AH43" i="1" a="1"/>
  <c r="AH43" i="1" s="1"/>
  <c r="AC43" i="1" a="1"/>
  <c r="AC43" i="1" s="1"/>
  <c r="X43" i="1" a="1"/>
  <c r="X43" i="1" s="1"/>
  <c r="S43" i="1" a="1"/>
  <c r="S43" i="1" s="1"/>
  <c r="N43" i="1" a="1"/>
  <c r="N43" i="1" s="1"/>
  <c r="I43" i="1" a="1"/>
  <c r="I43" i="1" s="1"/>
  <c r="AR42" i="1" a="1"/>
  <c r="AR42" i="1" s="1"/>
  <c r="AM42" i="1" a="1"/>
  <c r="AM42" i="1" s="1"/>
  <c r="AH42" i="1" a="1"/>
  <c r="AH42" i="1" s="1"/>
  <c r="AC42" i="1" a="1"/>
  <c r="AC42" i="1" s="1"/>
  <c r="X42" i="1"/>
  <c r="S42" i="1" a="1"/>
  <c r="S42" i="1"/>
  <c r="N42" i="1" a="1"/>
  <c r="N42" i="1"/>
  <c r="I42" i="1" a="1"/>
  <c r="I42" i="1"/>
  <c r="AT41" i="1"/>
  <c r="AR41" i="1"/>
  <c r="AO41" i="1"/>
  <c r="AM41" i="1"/>
  <c r="AJ41" i="1"/>
  <c r="AH41" i="1"/>
  <c r="AE41" i="1"/>
  <c r="AC41" i="1"/>
  <c r="Z41" i="1"/>
  <c r="X41" i="1"/>
  <c r="U41" i="1"/>
  <c r="S41" i="1"/>
  <c r="P41" i="1"/>
  <c r="N41" i="1"/>
  <c r="K41" i="1"/>
  <c r="I41" i="1"/>
  <c r="E39" i="1"/>
  <c r="E38" i="1"/>
  <c r="AD38" i="1" s="1"/>
  <c r="AE38" i="1" s="1"/>
  <c r="E37" i="1"/>
  <c r="AS36" i="1"/>
  <c r="AT36" i="1" s="1"/>
  <c r="AN36" i="1"/>
  <c r="AO36" i="1" s="1"/>
  <c r="AI36" i="1"/>
  <c r="AJ36" i="1" s="1"/>
  <c r="AD36" i="1"/>
  <c r="AE36" i="1" s="1"/>
  <c r="Y36" i="1"/>
  <c r="Z36" i="1" s="1"/>
  <c r="T36" i="1"/>
  <c r="U36" i="1" s="1"/>
  <c r="O36" i="1"/>
  <c r="P36" i="1" s="1"/>
  <c r="E36" i="1"/>
  <c r="E35" i="1"/>
  <c r="AD34" i="1"/>
  <c r="AE34" i="1" s="1"/>
  <c r="O34" i="1"/>
  <c r="P34" i="1" s="1"/>
  <c r="E34" i="1"/>
  <c r="E33" i="1"/>
  <c r="E32" i="1"/>
  <c r="O32" i="1" s="1"/>
  <c r="P32" i="1" s="1"/>
  <c r="E31" i="1"/>
  <c r="AI31" i="1" s="1"/>
  <c r="AJ31" i="1" s="1"/>
  <c r="E30" i="1"/>
  <c r="O30" i="1" s="1"/>
  <c r="P30" i="1" s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AD17" i="1" s="1"/>
  <c r="AE17" i="1" s="1"/>
  <c r="E16" i="1"/>
  <c r="AO15" i="1"/>
  <c r="AN15" i="1"/>
  <c r="AI15" i="1"/>
  <c r="AJ15" i="1" s="1"/>
  <c r="T15" i="1"/>
  <c r="U15" i="1" s="1"/>
  <c r="O15" i="1"/>
  <c r="P15" i="1" s="1"/>
  <c r="E15" i="1"/>
  <c r="E14" i="1"/>
  <c r="T14" i="1" s="1"/>
  <c r="U14" i="1" s="1"/>
  <c r="E13" i="1"/>
  <c r="AD13" i="1" s="1"/>
  <c r="AE13" i="1" s="1"/>
  <c r="AN12" i="1"/>
  <c r="AD12" i="1"/>
  <c r="AE12" i="1" s="1"/>
  <c r="E12" i="1"/>
  <c r="AI12" i="1" s="1"/>
  <c r="AJ12" i="1" s="1"/>
  <c r="AS11" i="1"/>
  <c r="AT11" i="1" s="1"/>
  <c r="AI11" i="1"/>
  <c r="AJ11" i="1" s="1"/>
  <c r="AD11" i="1"/>
  <c r="AE11" i="1" s="1"/>
  <c r="E11" i="1"/>
  <c r="T11" i="1" s="1"/>
  <c r="U11" i="1" s="1"/>
  <c r="AD10" i="1"/>
  <c r="AE10" i="1" s="1"/>
  <c r="E10" i="1"/>
  <c r="Y10" i="1" s="1"/>
  <c r="Z10" i="1" s="1"/>
  <c r="E9" i="1"/>
  <c r="AD9" i="1" s="1"/>
  <c r="AE9" i="1" s="1"/>
  <c r="AD8" i="1"/>
  <c r="AE8" i="1" s="1"/>
  <c r="T8" i="1"/>
  <c r="U8" i="1" s="1"/>
  <c r="O8" i="1"/>
  <c r="P8" i="1" s="1"/>
  <c r="E8" i="1"/>
  <c r="AI8" i="1" s="1"/>
  <c r="AJ8" i="1" s="1"/>
  <c r="E7" i="1"/>
  <c r="T7" i="1" s="1"/>
  <c r="U7" i="1" s="1"/>
  <c r="K3" i="1"/>
  <c r="G41" i="1"/>
  <c r="F23" i="1"/>
  <c r="F25" i="1"/>
  <c r="F27" i="1"/>
  <c r="F36" i="1"/>
  <c r="F24" i="1"/>
  <c r="F34" i="1"/>
  <c r="F32" i="1"/>
  <c r="F20" i="1"/>
  <c r="F16" i="1"/>
  <c r="F8" i="1"/>
  <c r="F22" i="1"/>
  <c r="F26" i="1"/>
  <c r="F19" i="1"/>
  <c r="F28" i="1"/>
  <c r="F21" i="1"/>
  <c r="F18" i="1"/>
  <c r="O38" i="1" l="1"/>
  <c r="AI10" i="1"/>
  <c r="AJ10" i="1" s="1"/>
  <c r="AN11" i="1"/>
  <c r="AO11" i="1" s="1"/>
  <c r="AO12" i="1"/>
  <c r="O9" i="1"/>
  <c r="AI13" i="1"/>
  <c r="AJ13" i="1" s="1"/>
  <c r="O11" i="1"/>
  <c r="O12" i="1"/>
  <c r="AI7" i="1"/>
  <c r="AJ7" i="1" s="1"/>
  <c r="AN7" i="1"/>
  <c r="AO7" i="1" s="1"/>
  <c r="O10" i="1"/>
  <c r="P10" i="1" s="1"/>
  <c r="T12" i="1"/>
  <c r="U12" i="1" s="1"/>
  <c r="T17" i="1"/>
  <c r="U17" i="1" s="1"/>
  <c r="G18" i="1"/>
  <c r="G26" i="1"/>
  <c r="G8" i="1"/>
  <c r="G16" i="1"/>
  <c r="G24" i="1"/>
  <c r="G36" i="1"/>
  <c r="G27" i="1"/>
  <c r="G25" i="1"/>
  <c r="G21" i="1"/>
  <c r="G19" i="1"/>
  <c r="G23" i="1"/>
  <c r="AI14" i="1"/>
  <c r="AJ14" i="1" s="1"/>
  <c r="G22" i="1"/>
  <c r="AN29" i="1"/>
  <c r="AO29" i="1" s="1"/>
  <c r="AD29" i="1"/>
  <c r="AE29" i="1" s="1"/>
  <c r="O29" i="1"/>
  <c r="AD14" i="1"/>
  <c r="AE14" i="1" s="1"/>
  <c r="G28" i="1"/>
  <c r="AD33" i="1"/>
  <c r="AE33" i="1" s="1"/>
  <c r="O33" i="1"/>
  <c r="AD35" i="1"/>
  <c r="AE35" i="1" s="1"/>
  <c r="O35" i="1"/>
  <c r="AN37" i="1"/>
  <c r="AO37" i="1" s="1"/>
  <c r="AD37" i="1"/>
  <c r="AE37" i="1" s="1"/>
  <c r="O37" i="1"/>
  <c r="AD30" i="1"/>
  <c r="AD39" i="1"/>
  <c r="AE39" i="1" s="1"/>
  <c r="AS39" i="1"/>
  <c r="AT39" i="1" s="1"/>
  <c r="T39" i="1"/>
  <c r="U39" i="1" s="1"/>
  <c r="AN39" i="1"/>
  <c r="AO39" i="1" s="1"/>
  <c r="O39" i="1"/>
  <c r="AI39" i="1"/>
  <c r="AJ39" i="1" s="1"/>
  <c r="AJ3" i="1" s="1"/>
  <c r="T10" i="1"/>
  <c r="O13" i="1"/>
  <c r="AS14" i="1"/>
  <c r="AT14" i="1" s="1"/>
  <c r="AD31" i="1"/>
  <c r="AE31" i="1" s="1"/>
  <c r="T31" i="1"/>
  <c r="U31" i="1" s="1"/>
  <c r="AN31" i="1"/>
  <c r="AO31" i="1" s="1"/>
  <c r="O31" i="1"/>
  <c r="AS10" i="1"/>
  <c r="AT10" i="1" s="1"/>
  <c r="AT3" i="1" s="1"/>
  <c r="O7" i="1"/>
  <c r="O14" i="1"/>
  <c r="AS15" i="1"/>
  <c r="AT15" i="1" s="1"/>
  <c r="Y15" i="1"/>
  <c r="Z15" i="1" s="1"/>
  <c r="Z3" i="1" s="1"/>
  <c r="AD15" i="1"/>
  <c r="G20" i="1"/>
  <c r="G32" i="1"/>
  <c r="G34" i="1"/>
  <c r="O17" i="1"/>
  <c r="AI17" i="1"/>
  <c r="AJ17" i="1" s="1"/>
  <c r="F38" i="1"/>
  <c r="F9" i="1"/>
  <c r="F11" i="1"/>
  <c r="F12" i="1"/>
  <c r="F7" i="1"/>
  <c r="F17" i="1"/>
  <c r="F37" i="1"/>
  <c r="F33" i="1"/>
  <c r="F14" i="1"/>
  <c r="F39" i="1"/>
  <c r="F10" i="1"/>
  <c r="F30" i="1"/>
  <c r="F31" i="1"/>
  <c r="F15" i="1"/>
  <c r="F29" i="1"/>
  <c r="F13" i="1"/>
  <c r="F35" i="1"/>
  <c r="G12" i="1" l="1"/>
  <c r="G11" i="1"/>
  <c r="G9" i="1"/>
  <c r="G38" i="1"/>
  <c r="P12" i="1"/>
  <c r="P11" i="1"/>
  <c r="P9" i="1"/>
  <c r="AO3" i="1"/>
  <c r="P38" i="1"/>
  <c r="G35" i="1"/>
  <c r="G13" i="1"/>
  <c r="G29" i="1"/>
  <c r="G15" i="1"/>
  <c r="G31" i="1"/>
  <c r="G30" i="1"/>
  <c r="G10" i="1"/>
  <c r="G39" i="1"/>
  <c r="G14" i="1"/>
  <c r="G33" i="1"/>
  <c r="G37" i="1"/>
  <c r="G17" i="1"/>
  <c r="G7" i="1"/>
  <c r="AE3" i="1"/>
  <c r="P35" i="1"/>
  <c r="P13" i="1"/>
  <c r="P29" i="1"/>
  <c r="AE15" i="1"/>
  <c r="P31" i="1"/>
  <c r="AE30" i="1"/>
  <c r="U10" i="1"/>
  <c r="U3" i="1" s="1"/>
  <c r="P39" i="1"/>
  <c r="P14" i="1"/>
  <c r="P33" i="1"/>
  <c r="P37" i="1"/>
  <c r="P17" i="1"/>
  <c r="P7" i="1"/>
  <c r="G3" i="1" l="1"/>
  <c r="G2" i="1" s="1"/>
  <c r="P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8"/>
            <color rgb="FF000000"/>
            <rFont val="Tahoma"/>
            <family val="2"/>
          </rPr>
          <t>Use the minimum extend price across distributors not taking account available quantities.</t>
        </r>
      </text>
    </comment>
    <comment ref="L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 shapeId="0" xr:uid="{00000000-0006-0000-0000-000003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 shapeId="0" xr:uid="{00000000-0006-0000-0000-000004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 shapeId="0" xr:uid="{00000000-0006-0000-0000-000005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 shapeId="0" xr:uid="{00000000-0006-0000-0000-000006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 shapeId="0" xr:uid="{00000000-0006-0000-0000-000007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 shapeId="0" xr:uid="{00000000-0006-0000-0000-000008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U3" authorId="0" shapeId="0" xr:uid="{00000000-0006-0000-0000-000009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A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B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C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 shapeId="0" xr:uid="{00000000-0006-0000-0000-00000D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 shapeId="0" xr:uid="{00000000-0006-0000-0000-00000E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 shapeId="0" xr:uid="{00000000-0006-0000-0000-00000F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 shapeId="0" xr:uid="{00000000-0006-0000-0000-000010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 shapeId="0" xr:uid="{00000000-0006-0000-0000-000011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 shapeId="0" xr:uid="{00000000-0006-0000-0000-000012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 shapeId="0" xr:uid="{00000000-0006-0000-0000-000013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 shapeId="0" xr:uid="{00000000-0006-0000-0000-000014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 shapeId="0" xr:uid="{00000000-0006-0000-0000-000015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 shapeId="0" xr:uid="{00000000-0006-0000-0000-000016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 shapeId="0" xr:uid="{00000000-0006-0000-0000-000017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 shapeId="0" xr:uid="{00000000-0006-0000-0000-000018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 shapeId="0" xr:uid="{00000000-0006-0000-0000-000019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 shapeId="0" xr:uid="{00000000-0006-0000-0000-00001A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 shapeId="0" xr:uid="{00000000-0006-0000-0000-00001B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 shapeId="0" xr:uid="{00000000-0006-0000-0000-00001C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 shapeId="0" xr:uid="{00000000-0006-0000-0000-00001D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 shapeId="0" xr:uid="{00000000-0006-0000-0000-00001E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 shapeId="0" xr:uid="{00000000-0006-0000-0000-00001F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 shapeId="0" xr:uid="{00000000-0006-0000-0000-000020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 shapeId="0" xr:uid="{00000000-0006-0000-0000-000021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 shapeId="0" xr:uid="{00000000-0006-0000-0000-000022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 shapeId="0" xr:uid="{00000000-0006-0000-0000-000023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 shapeId="0" xr:uid="{00000000-0006-0000-0000-000024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 shapeId="0" xr:uid="{00000000-0006-0000-0000-000025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 shapeId="0" xr:uid="{00000000-0006-0000-0000-000026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 shapeId="0" xr:uid="{00000000-0006-0000-0000-000027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 shapeId="0" xr:uid="{00000000-0006-0000-0000-000028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 shapeId="0" xr:uid="{00000000-0006-0000-0000-000029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 shapeId="0" xr:uid="{00000000-0006-0000-0000-00002A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 shapeId="0" xr:uid="{00000000-0006-0000-0000-00002B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6" authorId="0" shapeId="0" xr:uid="{00000000-0006-0000-0000-00002C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6" authorId="0" shapeId="0" xr:uid="{00000000-0006-0000-0000-00002D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 shapeId="0" xr:uid="{00000000-0006-0000-0000-00002E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 shapeId="0" xr:uid="{00000000-0006-0000-0000-00002F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 shapeId="0" xr:uid="{00000000-0006-0000-0000-000030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 shapeId="0" xr:uid="{00000000-0006-0000-0000-000031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 shapeId="0" xr:uid="{00000000-0006-0000-0000-000032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 shapeId="0" xr:uid="{00000000-0006-0000-0000-000033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Q6" authorId="0" shapeId="0" xr:uid="{00000000-0006-0000-0000-000034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R6" authorId="0" shapeId="0" xr:uid="{00000000-0006-0000-0000-000035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S6" authorId="0" shapeId="0" xr:uid="{00000000-0006-0000-0000-000036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T6" authorId="0" shapeId="0" xr:uid="{00000000-0006-0000-0000-000037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U6" authorId="0" shapeId="0" xr:uid="{00000000-0006-0000-0000-000038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7" authorId="0" shapeId="0" xr:uid="{00000000-0006-0000-0000-00003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$0.61      $0.61
    10   $0.43      $4.30
    50   $0.33     $16.27
   100   $0.28     $28.34
   500   $0.21    $104.96
  1000   $0.18    $178.43
  2500   $0.17    $419.82
  5000   $0.16    $787.20</t>
        </r>
      </text>
    </comment>
    <comment ref="R7" authorId="0" shapeId="0" xr:uid="{00000000-0006-0000-0000-00003A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7" authorId="0" shapeId="0" xr:uid="{00000000-0006-0000-0000-00003B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£0.35      £3.51
   100   £0.27     £26.60
   500   £0.20     £99.00
  1000   £0.17    £168.00
  2000   £0.16    £316.00</t>
        </r>
      </text>
    </comment>
    <comment ref="AG7" authorId="0" shapeId="0" xr:uid="{00000000-0006-0000-0000-00003C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7" authorId="0" shapeId="0" xr:uid="{00000000-0006-0000-0000-00003D000000}">
      <text>
        <r>
          <rPr>
            <sz val="8"/>
            <color indexed="81"/>
            <rFont val="Tahoma"/>
            <family val="2"/>
          </rPr>
          <t>Qty/Price Breaks (USD):
  Qty  -  Unit$  -  Ext$
================
  4000   $0.21    $836.00</t>
        </r>
      </text>
    </comment>
    <comment ref="AN7" authorId="0" shapeId="0" xr:uid="{00000000-0006-0000-0000-00003E000000}">
      <text>
        <r>
          <rPr>
            <sz val="8"/>
            <color indexed="81"/>
            <rFont val="Tahoma"/>
            <family val="2"/>
          </rPr>
          <t>Qty/Price Breaks (GBP):
  Qty  -  Unit£  -  Ext£
================
    25   £0.42     £10.50
   125   £0.21     £26.75
   500   £0.20     £98.00
  1250   £0.19    £232.50</t>
        </r>
      </text>
    </comment>
    <comment ref="O8" authorId="0" shapeId="0" xr:uid="{00000000-0006-0000-0000-00003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$0.89      $0.89
    10   $0.68      $6.79
    50   $0.56     $28.22
   100   $0.49     $48.61
   500   $0.38    $188.16
  1000   $0.32    $324.06
  2500   $0.30    $757.87
  5000   $0.29  $1,437.35</t>
        </r>
      </text>
    </comment>
    <comment ref="R8" authorId="0" shapeId="0" xr:uid="{00000000-0006-0000-0000-000040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8" authorId="0" shapeId="0" xr:uid="{00000000-0006-0000-0000-000041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£0.84      £0.84
    50   £0.49     £24.45
   100   £0.45     £45.10
   250   £0.42    £104.75
   500   £0.39    £195.50
  1000   £0.39    £390.00
  5000   £0.39  £1,940.00</t>
        </r>
      </text>
    </comment>
    <comment ref="AB8" authorId="0" shapeId="0" xr:uid="{00000000-0006-0000-0000-000042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8" authorId="0" shapeId="0" xr:uid="{00000000-0006-0000-0000-00004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$0.78      $0.78
    10   $0.59      $5.91
    50   $0.59     $29.55
   100   $0.42     $42.20
  1000   $0.33    $327.00
 10000   $0.33  $3,270.00</t>
        </r>
      </text>
    </comment>
    <comment ref="AG8" authorId="0" shapeId="0" xr:uid="{00000000-0006-0000-0000-000044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8" authorId="0" shapeId="0" xr:uid="{00000000-0006-0000-0000-00004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$1.11      $1.11
    10   $0.85      $8.49
    25   $0.78     $19.45
    50   $0.70     $35.25
   100   $0.61     $60.80
   500   $0.51    $254.00</t>
        </r>
      </text>
    </comment>
    <comment ref="O9" authorId="0" shapeId="0" xr:uid="{00000000-0006-0000-0000-00004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$5.17      $5.17
    10   $4.65     $46.50
    50   $4.03    $201.49
   100   $3.51    $351.32
   500   $2.89  $1,446.61
  1000   $2.69  $2,686.57
  2500   $2.63  $6,587.25
  5000   $2.62 $13,088.40</t>
        </r>
      </text>
    </comment>
    <comment ref="AD9" authorId="0" shapeId="0" xr:uid="{00000000-0006-0000-0000-00004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$4.43      $4.43
    10   $4.29     $42.90
    50   $3.84    $192.00
   100   $3.35    $335.00
  1000   $2.55  $2,550.00
 10000   $2.48 $24,800.00</t>
        </r>
      </text>
    </comment>
    <comment ref="O10" authorId="0" shapeId="0" xr:uid="{00000000-0006-0000-0000-00004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$0.43
    50   $0.02      $1.17
   100   $0.02      $1.92
   500   $0.01      $6.84
  1000   $0.01     $10.75
  4000   $0.01     $35.96</t>
        </r>
      </text>
    </comment>
    <comment ref="T10" authorId="0" shapeId="0" xr:uid="{00000000-0006-0000-0000-000049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£0.28
   100   £0.02      £2.06
   150   £0.02      £3.09
   500   £0.02      £8.15
  1000   £0.01     £13.50
  2000   £0.01     £23.20
  4000   £0.01     £37.20
 20000   £0.01    £124.00</t>
        </r>
      </text>
    </comment>
    <comment ref="Y10" authorId="0" shapeId="0" xr:uid="{00000000-0006-0000-0000-00004A000000}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$0.40
   500   $0.01      $3.00
  1500   $0.01      $8.40
  5000   $0.01     $26.50
 25000   $0.01    $127.50
 50000   $0.00    $250.00</t>
        </r>
      </text>
    </comment>
    <comment ref="AD10" authorId="0" shapeId="0" xr:uid="{00000000-0006-0000-0000-00004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$0.05      $0.48
    50   $0.05      $2.40
   100   $0.02      $2.20
  1000   $0.01     $12.00
 10000   $0.01     $70.00</t>
        </r>
      </text>
    </comment>
    <comment ref="AI10" authorId="0" shapeId="0" xr:uid="{00000000-0006-0000-0000-00004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25   $0.05      $1.35
    50   $0.03      $1.45
   100   $0.02      $2.40
   250   $0.02      $5.00
   500   $0.02      $8.00
  4000   $0.00     $20.00</t>
        </r>
      </text>
    </comment>
    <comment ref="AS10" authorId="0" shapeId="0" xr:uid="{00000000-0006-0000-0000-00004D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£1.45
   300   £0.01      £2.96
  1000   £0.01      £6.09
  4000   £0.00     £18.60
 20000   £0.00     £89.80</t>
        </r>
      </text>
    </comment>
    <comment ref="M11" authorId="0" shapeId="0" xr:uid="{00000000-0006-0000-0000-00004E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1" authorId="0" shapeId="0" xr:uid="{00000000-0006-0000-0000-00004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$2.42
    50   $0.16      $8.05
   100   $0.14     $13.68
   500   $0.10     $48.30
  1000   $0.08     $84.52
  2000   $0.08    $161.00</t>
        </r>
      </text>
    </comment>
    <comment ref="R11" authorId="0" shapeId="0" xr:uid="{00000000-0006-0000-0000-000050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1" authorId="0" shapeId="0" xr:uid="{00000000-0006-0000-0000-000051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£0.25      £1.23
    50   £0.15      £7.35
   150   £0.15     £22.05
   250   £0.12     £30.75
   500   £0.10     £52.50
  1000   £0.10    £103.00
  2000   £0.10    £204.00</t>
        </r>
      </text>
    </comment>
    <comment ref="AD11" authorId="0" shapeId="0" xr:uid="{00000000-0006-0000-0000-00005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$1.27      $1.27
    10   $0.90      $9.00
    50   $0.90     $45.00
   100   $0.57     $56.80
  1000   $0.47    $466.00
 10000   $0.46  $4,550.00</t>
        </r>
      </text>
    </comment>
    <comment ref="AG11" authorId="0" shapeId="0" xr:uid="{00000000-0006-0000-0000-000053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1" authorId="0" shapeId="0" xr:uid="{00000000-0006-0000-0000-000054000000}">
      <text>
        <r>
          <rPr>
            <sz val="8"/>
            <color indexed="81"/>
            <rFont val="Tahoma"/>
            <family val="2"/>
          </rPr>
          <t>Qty/Price Breaks (USD):
  Qty  -  Unit$  -  Ext$
================
     5   $1.59      $7.95
    10   $1.13     $11.30
    25   $0.99     $24.65
    50   $0.85     $42.45
   100   $0.71     $71.00
  2000   $0.31    $616.00
  4000   $0.30  $1,216.00
  8000   $0.30  $2,400.00
 12000   $0.30  $3,552.00</t>
        </r>
      </text>
    </comment>
    <comment ref="AN11" authorId="0" shapeId="0" xr:uid="{00000000-0006-0000-0000-000055000000}">
      <text>
        <r>
          <rPr>
            <sz val="8"/>
            <color indexed="81"/>
            <rFont val="Tahoma"/>
            <family val="2"/>
          </rPr>
          <t>Qty/Price Breaks (GBP):
  Qty  -  Unit£  -  Ext£
================
    25   £0.18      £4.38
   250   £0.08     £19.75
  1250   £0.06     £70.00</t>
        </r>
      </text>
    </comment>
    <comment ref="AS11" authorId="0" shapeId="0" xr:uid="{00000000-0006-0000-0000-000056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£0.20      £1.99
   100   £0.10     £10.14
  1000   £0.06     £64.97
  2000   £0.06    £113.84
  6000   £0.05    £329.04</t>
        </r>
      </text>
    </comment>
    <comment ref="O12" authorId="0" shapeId="0" xr:uid="{00000000-0006-0000-0000-00005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$2.10      $2.10
    10   $1.70     $16.97
    50   $1.48     $74.05
   100   $1.30    $129.59
   500   $0.99    $493.68</t>
        </r>
      </text>
    </comment>
    <comment ref="T12" authorId="0" shapeId="0" xr:uid="{00000000-0006-0000-0000-000058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£2.03      £2.03
    10   £1.36     £13.60
    50   £1.12     £56.00
   100   £0.98     £97.90
   200   £0.96    £191.80
   500   £0.94    £470.00</t>
        </r>
      </text>
    </comment>
    <comment ref="AD12" authorId="0" shapeId="0" xr:uid="{00000000-0006-0000-0000-00005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$2.10      $2.10
    10   $1.49     $14.90
    50   $1.49     $74.50
   100   $1.30    $130.00
  1000   $0.99    $987.00
 10000   $0.99  $9,870.00</t>
        </r>
      </text>
    </comment>
    <comment ref="AI12" authorId="0" shapeId="0" xr:uid="{00000000-0006-0000-0000-00005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$2.52      $2.52
    10   $2.09     $20.90
    25   $1.90     $47.50
    50   $1.73     $86.50
   100   $1.55    $155.00
   500   $0.82    $412.50</t>
        </r>
      </text>
    </comment>
    <comment ref="AN12" authorId="0" shapeId="0" xr:uid="{00000000-0006-0000-0000-00005B000000}">
      <text>
        <r>
          <rPr>
            <sz val="8"/>
            <color indexed="81"/>
            <rFont val="Tahoma"/>
            <family val="2"/>
          </rPr>
          <t>Qty/Price Breaks (GBP):
  Qty  -  Unit£  -  Ext£
================
   500   £0.64    £319.00
  1500   £0.56    £840.00</t>
        </r>
      </text>
    </comment>
    <comment ref="O13" authorId="0" shapeId="0" xr:uid="{00000000-0006-0000-0000-00005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$0.69      $0.69
    10   $0.51      $5.12
    50   $0.41     $20.47
   100   $0.35     $35.09
   500   $0.28    $138.88
  1000   $0.23    $233.90
  2000   $0.22    $438.58</t>
        </r>
      </text>
    </comment>
    <comment ref="AD13" authorId="0" shapeId="0" xr:uid="{00000000-0006-0000-0000-00005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$0.73      $0.73
    10   $0.54      $5.35
    50   $0.54     $26.75
   100   $0.37     $36.60
  1000   $0.24    $244.00
 10000   $0.22  $2,220.00</t>
        </r>
      </text>
    </comment>
    <comment ref="AG13" authorId="0" shapeId="0" xr:uid="{00000000-0006-0000-0000-00005E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3" authorId="0" shapeId="0" xr:uid="{00000000-0006-0000-0000-00005F000000}">
      <text>
        <r>
          <rPr>
            <sz val="8"/>
            <color indexed="81"/>
            <rFont val="Tahoma"/>
            <family val="2"/>
          </rPr>
          <t>Qty/Price Breaks (USD):
  Qty  -  Unit$  -  Ext$
================
  2000   $0.29    $580.00</t>
        </r>
      </text>
    </comment>
    <comment ref="M14" authorId="0" shapeId="0" xr:uid="{00000000-0006-0000-0000-000060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4" authorId="0" shapeId="0" xr:uid="{00000000-0006-0000-0000-00006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$0.33      $3.29
   100   $0.22     $22.39
   500   $0.17     $83.95
  1800   $0.13    $226.67
  3600   $0.12    $415.55
  5400   $0.11    $585.58
 12600   $0.11  $1,338.25</t>
        </r>
      </text>
    </comment>
    <comment ref="R14" authorId="0" shapeId="0" xr:uid="{00000000-0006-0000-0000-000062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4" authorId="0" shapeId="0" xr:uid="{00000000-0006-0000-0000-000063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£0.43      £2.13
    10   £0.30      £2.95
   100   £0.18     £17.60
   150   £0.18     £26.40
   500   £0.16     £79.50
  1000   £0.10    £105.00</t>
        </r>
      </text>
    </comment>
    <comment ref="AB14" authorId="0" shapeId="0" xr:uid="{00000000-0006-0000-0000-000064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14" authorId="0" shapeId="0" xr:uid="{00000000-0006-0000-0000-00006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$0.40      $0.40
    10   $0.33      $3.29
    50   $0.33     $16.45
   100   $0.22     $22.40
  1000   $0.13    $126.00
 10000   $0.10  $1,010.00</t>
        </r>
      </text>
    </comment>
    <comment ref="AG14" authorId="0" shapeId="0" xr:uid="{00000000-0006-0000-0000-000066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4" authorId="0" shapeId="0" xr:uid="{00000000-0006-0000-0000-000067000000}">
      <text>
        <r>
          <rPr>
            <sz val="8"/>
            <color indexed="81"/>
            <rFont val="Tahoma"/>
            <family val="2"/>
          </rPr>
          <t>Qty/Price Breaks (USD):
  Qty  -  Unit$  -  Ext$
================
     5   $0.46      $2.32
    10   $0.33      $3.28
    25   $0.30      $7.40
    50   $0.26     $13.15
   100   $0.23     $23.10
   250   $0.21     $52.75
   500   $0.19     $95.00
  1000   $0.15    $150.00
  7200   $0.14  $1,008.00
 14400   $0.14  $1,958.40
 21600   $0.13  $2,829.60
 36000   $0.13  $4,608.00
 72000   $0.13  $9,072.00</t>
        </r>
      </text>
    </comment>
    <comment ref="AS14" authorId="0" shapeId="0" xr:uid="{00000000-0006-0000-0000-000068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£0.10      £1.02
   100   £0.09      £9.18
   500   £0.08     £40.50
  1800   £0.07    £130.99</t>
        </r>
      </text>
    </comment>
    <comment ref="M15" authorId="0" shapeId="0" xr:uid="{00000000-0006-0000-0000-000069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5" authorId="0" shapeId="0" xr:uid="{00000000-0006-0000-0000-00006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$1.59
   100   $0.09      $8.65
   500   $0.05     $26.62
  1000   $0.04     $36.30
  3000   $0.03     $92.55
  6000   $0.03    $166.98
 15000   $0.02    $363.00
 30000   $0.02    $653.40
 75000   $0.02  $1,452.00</t>
        </r>
      </text>
    </comment>
    <comment ref="T15" authorId="0" shapeId="0" xr:uid="{00000000-0006-0000-0000-00006B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£0.18      £0.88
    10   £0.15      £1.50
   100   £0.06      £6.21
   150   £0.06      £9.32
   500   £0.05     £23.15
  1000   £0.02     £23.80</t>
        </r>
      </text>
    </comment>
    <comment ref="Y15" authorId="0" shapeId="0" xr:uid="{00000000-0006-0000-0000-00006C000000}">
      <text>
        <r>
          <rPr>
            <sz val="8"/>
            <color indexed="81"/>
            <rFont val="Tahoma"/>
            <family val="2"/>
          </rPr>
          <t>Qty/Price Breaks (USD):
  Qty  -  Unit$  -  Ext$
================
    20   $0.03      $0.57
   200   $0.02      $4.40
   600   $0.02     $12.24
  2000   $0.02     $36.80
 10000   $0.02    $174.00
 20000   $0.02    $346.00</t>
        </r>
      </text>
    </comment>
    <comment ref="AB15" authorId="0" shapeId="0" xr:uid="{00000000-0006-0000-0000-00006D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15" authorId="0" shapeId="0" xr:uid="{00000000-0006-0000-0000-00006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$1.59
    50   $0.16      $7.95
   100   $0.09      $8.70
  1000   $0.04     $37.00
 10000   $0.02    $240.00</t>
        </r>
      </text>
    </comment>
    <comment ref="AI15" authorId="0" shapeId="0" xr:uid="{00000000-0006-0000-0000-00006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$1.62
    25   $0.13      $3.20
    50   $0.09      $4.65
   100   $0.06      $5.90
   250   $0.05     $13.25
   500   $0.05     $23.00
  1000   $0.04     $40.00
  3000   $0.01     $33.00</t>
        </r>
      </text>
    </comment>
    <comment ref="AN15" authorId="0" shapeId="0" xr:uid="{00000000-0006-0000-0000-000070000000}">
      <text>
        <r>
          <rPr>
            <sz val="8"/>
            <color indexed="81"/>
            <rFont val="Tahoma"/>
            <family val="2"/>
          </rPr>
          <t>Qty/Price Breaks (GBP):
  Qty  -  Unit£  -  Ext£
================
   200   £0.05      £9.40
  1000   £0.04     £43.00
  2000   £0.04     £82.00
  5000   £0.04    £200.00
 10000   £0.04    £400.00</t>
        </r>
      </text>
    </comment>
    <comment ref="AQ15" authorId="0" shapeId="0" xr:uid="{00000000-0006-0000-0000-000071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S15" authorId="0" shapeId="0" xr:uid="{00000000-0006-0000-0000-000072000000}">
      <text>
        <r>
          <rPr>
            <sz val="8"/>
            <color indexed="81"/>
            <rFont val="Tahoma"/>
            <family val="2"/>
          </rPr>
          <t>Qty/Price Breaks (GBP):
  Qty  -  Unit£  -  Ext£
================
    25   £0.02      £0.61
   100   £0.01      £1.34
   500   £0.01      £5.40
  1000   £0.01     £10.10
  3000   £0.01     £27.30</t>
        </r>
      </text>
    </comment>
    <comment ref="O17" authorId="0" shapeId="0" xr:uid="{00000000-0006-0000-0000-00007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$1.52      $1.52
    10   $1.44     $14.43
    25   $1.40     $35.12
    50   $1.37     $68.35
   100   $1.29    $129.10
   250   $1.22    $303.77
   500   $1.14    $569.56
  1000   $1.06  $1,063.19
  5000   $1.03  $5,126.10</t>
        </r>
      </text>
    </comment>
    <comment ref="T17" authorId="0" shapeId="0" xr:uid="{00000000-0006-0000-0000-000074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£1.42      £1.42
    10   £1.36     £13.60
    25   £1.32     £33.00
    50   £1.29     £64.50
   100   £1.22    £122.00
   250   £1.15    £287.50
   500   £1.08    £540.00
  1000   £1.01  £1,010.00</t>
        </r>
      </text>
    </comment>
    <comment ref="AD17" authorId="0" shapeId="0" xr:uid="{00000000-0006-0000-0000-00007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10   $1.39     $13.90
    50   $1.32     $66.00
   100   $1.25    $125.00
  1000   $1.03  $1,030.00
 10000   $1.00  $9,950.00</t>
        </r>
      </text>
    </comment>
    <comment ref="AI17" authorId="0" shapeId="0" xr:uid="{00000000-0006-0000-0000-00007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$2.77      $2.77
    10   $2.65     $26.50
    25   $2.58     $64.50
    50   $2.51    $125.50
   100   $2.39    $239.00
   250   $2.25    $562.50
   500   $2.11  $1,055.00
  1000   $1.97  $1,970.00</t>
        </r>
      </text>
    </comment>
    <comment ref="O29" authorId="0" shapeId="0" xr:uid="{00000000-0006-0000-0000-00007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100   $0.02      $2.27
  1000   $0.01     $10.20
  2500   $0.01     $22.15
  5000   $0.01     $36.60
 10000   $0.01     $63.50
 25000   $0.01    $139.50
 50000   $0.01    $262.00</t>
        </r>
      </text>
    </comment>
    <comment ref="AD29" authorId="0" shapeId="0" xr:uid="{00000000-0006-0000-0000-00007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$0.05      $0.46
    50   $0.05      $2.30
   100   $0.02      $1.50
  1000   $0.01     $11.00
 10000   $0.01     $70.00</t>
        </r>
      </text>
    </comment>
    <comment ref="AN29" authorId="0" shapeId="0" xr:uid="{00000000-0006-0000-0000-000079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£25.00</t>
        </r>
      </text>
    </comment>
    <comment ref="O30" authorId="0" shapeId="0" xr:uid="{00000000-0006-0000-0000-00007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$0.31      $0.31
    10   $0.26      $2.60
    25   $0.19      $4.73
    50   $0.14      $6.86
   100   $0.10     $10.17
   250   $0.08     $19.50
   500   $0.06     $30.73
  1000   $0.04     $42.55
  2500   $0.04     $97.52
  5000   $0.04    $177.30
 12500   $0.03    $413.75
 25000   $0.03    $786.00</t>
        </r>
      </text>
    </comment>
    <comment ref="AB30" authorId="0" shapeId="0" xr:uid="{00000000-0006-0000-0000-00007B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30" authorId="0" shapeId="0" xr:uid="{00000000-0006-0000-0000-00007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$0.22      $2.23
    50   $0.22     $11.15
   100   $0.07      $7.30
  1000   $0.05     $51.00
 10000   $0.04    $360.00</t>
        </r>
      </text>
    </comment>
    <comment ref="O31" authorId="0" shapeId="0" xr:uid="{00000000-0006-0000-0000-00007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$0.12      $1.21
   100   $0.05      $4.65
  1000   $0.02     $20.46
  2500   $0.02     $44.18
  5000   $0.02     $90.00
 10000   $0.02    $168.00
 25000   $0.02    $408.00</t>
        </r>
      </text>
    </comment>
    <comment ref="T31" authorId="0" shapeId="0" xr:uid="{00000000-0006-0000-0000-00007E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£0.12      £1.17
   100   £0.06      £5.63
   150   £0.06      £8.44
   500   £0.05     £26.50
  1000   £0.03     £27.70
  2500   £0.03     £64.00</t>
        </r>
      </text>
    </comment>
    <comment ref="AD31" authorId="0" shapeId="0" xr:uid="{00000000-0006-0000-0000-00007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$0.12      $1.21
    50   $0.12      $6.05
   100   $0.05      $4.60
  1000   $0.02     $20.00
 10000   $0.02    $160.00</t>
        </r>
      </text>
    </comment>
    <comment ref="AI31" authorId="0" shapeId="0" xr:uid="{00000000-0006-0000-0000-000080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$0.15      $1.51
    25   $0.12      $3.00
    50   $0.09      $4.45
   100   $0.06      $5.80
  5000   $0.02     $85.00
 10000   $0.02    $160.00</t>
        </r>
      </text>
    </comment>
    <comment ref="AN31" authorId="0" shapeId="0" xr:uid="{00000000-0006-0000-0000-000081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£0.02     £75.00</t>
        </r>
      </text>
    </comment>
    <comment ref="O32" authorId="0" shapeId="0" xr:uid="{00000000-0006-0000-0000-00008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$0.58
   100   $0.02      $2.36
  1000   $0.01     $10.60
  2500   $0.01     $23.00
  5000   $0.01     $38.00
 10000   $0.01     $66.00
 25000   $0.01    $145.00
 50000   $0.01    $272.00</t>
        </r>
      </text>
    </comment>
    <comment ref="O33" authorId="0" shapeId="0" xr:uid="{00000000-0006-0000-0000-00008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100   $0.02      $2.27
  1000   $0.01     $10.20
  2500   $0.01     $22.15
  5000   $0.01     $36.60
 10000   $0.01     $63.50
 25000   $0.01    $139.50
 50000   $0.01    $256.00</t>
        </r>
      </text>
    </comment>
    <comment ref="AD33" authorId="0" shapeId="0" xr:uid="{00000000-0006-0000-0000-00008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$0.05      $0.46
    50   $0.05      $2.30
   100   $0.02      $1.50
  1000   $0.01     $11.00
 10000   $0.01     $70.00</t>
        </r>
      </text>
    </comment>
    <comment ref="O34" authorId="0" shapeId="0" xr:uid="{00000000-0006-0000-0000-00008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100   $0.02      $2.27
  1000   $0.01     $10.20
  2500   $0.01     $22.15
  5000   $0.01     $36.60
 10000   $0.01     $63.50
 25000   $0.01    $139.50
 50000   $0.01    $262.00</t>
        </r>
      </text>
    </comment>
    <comment ref="AD34" authorId="0" shapeId="0" xr:uid="{00000000-0006-0000-0000-00008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$0.05      $0.46
    50   $0.05      $2.30
   100   $0.02      $1.50
  1000   $0.01     $11.00
 10000   $0.01     $70.00</t>
        </r>
      </text>
    </comment>
    <comment ref="O35" authorId="0" shapeId="0" xr:uid="{00000000-0006-0000-0000-00008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100   $0.02      $2.27
  1000   $0.01     $10.20
  2500   $0.01     $22.15
  5000   $0.01     $36.60
 10000   $0.01     $63.50
 25000   $0.01    $139.50
 50000   $0.01    $262.00</t>
        </r>
      </text>
    </comment>
    <comment ref="AB35" authorId="0" shapeId="0" xr:uid="{00000000-0006-0000-0000-000088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35" authorId="0" shapeId="0" xr:uid="{00000000-0006-0000-0000-00008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$0.05      $0.46
    50   $0.05      $2.30
   100   $0.02      $1.50
  1000   $0.01     $11.00
 10000   $0.01     $70.00</t>
        </r>
      </text>
    </comment>
    <comment ref="O36" authorId="0" shapeId="0" xr:uid="{00000000-0006-0000-0000-00008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$0.52      $5.25
    25   $0.49     $12.32
   100   $0.40     $40.23
   250   $0.37     $93.41
   500   $0.32    $159.00
  1000   $0.26    $262.50</t>
        </r>
      </text>
    </comment>
    <comment ref="T36" authorId="0" shapeId="0" xr:uid="{00000000-0006-0000-0000-00008B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£25.49     £25.49
     3  £17.69     £53.07
     5   £0.64      £3.21
    10   £0.52      £5.21
   100   £0.30     £30.00
   500   £0.28    £142.50
  1000   £0.20    £195.00</t>
        </r>
      </text>
    </comment>
    <comment ref="Y36" authorId="0" shapeId="0" xr:uid="{00000000-0006-0000-0000-00008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$0.23      $2.29
    30   $0.22      $6.52
   100   $0.21     $20.60
   500   $0.20    $100.50
  1000   $0.20    $198.50</t>
        </r>
      </text>
    </comment>
    <comment ref="AD36" authorId="0" shapeId="0" xr:uid="{00000000-0006-0000-0000-00008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$0.49      $4.93
    50   $0.49     $24.65
   100   $0.40     $40.30
  1000   $0.25    $254.00
 10000   $0.23  $2,300.00</t>
        </r>
      </text>
    </comment>
    <comment ref="AI36" authorId="0" shapeId="0" xr:uid="{00000000-0006-0000-0000-00008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$0.44      $4.45
   100   $0.32     $31.70
   500   $0.26    $130.00
  1000   $0.20    $200.00
  2500   $0.19    $472.50</t>
        </r>
      </text>
    </comment>
    <comment ref="AN36" authorId="0" shapeId="0" xr:uid="{00000000-0006-0000-0000-00008F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£0.41      £4.07
    50   £0.38     £19.10
   100   £0.36     £36.20
   250   £0.34     £85.50
   500   £0.32    £162.50</t>
        </r>
      </text>
    </comment>
    <comment ref="AS36" authorId="0" shapeId="0" xr:uid="{00000000-0006-0000-0000-000090000000}">
      <text>
        <r>
          <rPr>
            <sz val="8"/>
            <color indexed="81"/>
            <rFont val="Tahoma"/>
            <family val="2"/>
          </rPr>
          <t>Qty/Price Breaks (GBP):
  Qty  -  Unit£  -  Ext£
================
     3   £0.20      £0.60
    10   £0.17      £1.73
    50   £0.15      £7.54
   250   £0.13     £32.05
  1000   £0.11    £110.00</t>
        </r>
      </text>
    </comment>
    <comment ref="O37" authorId="0" shapeId="0" xr:uid="{00000000-0006-0000-0000-00009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$6.71      $6.71
    10   $6.06     $60.62
    25   $5.78    $144.50
   100   $5.02    $501.89
   250   $4.79  $1,198.33
   500   $4.37  $2,185.19
  1000   $3.99  $3,990.00</t>
        </r>
      </text>
    </comment>
    <comment ref="AD37" authorId="0" shapeId="0" xr:uid="{00000000-0006-0000-0000-00009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$6.71      $6.71
    10   $6.07     $60.70
    50   $5.78    $289.00
   100   $5.01    $501.00
  1000   $4.79  $4,790.00
 10000   $4.79 $47,900.00</t>
        </r>
      </text>
    </comment>
    <comment ref="AN37" authorId="0" shapeId="0" xr:uid="{00000000-0006-0000-0000-000093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£4.69      £4.69
     5   £4.17     £20.85
    10   £3.76     £37.60</t>
        </r>
      </text>
    </comment>
    <comment ref="O38" authorId="0" shapeId="0" xr:uid="{00000000-0006-0000-0000-00009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$7.80      $7.80
    10   $7.04     $70.42
    25   $6.71    $167.86
   100   $5.83    $583.02
   250   $5.57  $1,392.04
   500   $5.08  $2,538.44
  1000   $4.64  $4,635.00</t>
        </r>
      </text>
    </comment>
    <comment ref="AD38" authorId="0" shapeId="0" xr:uid="{00000000-0006-0000-0000-00009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$7.80      $7.80
    10   $7.05     $70.50
    50   $6.72    $336.00
   100   $5.83    $583.00
  1000   $4.72  $4,720.00
 10000   $4.72 $47,200.00</t>
        </r>
      </text>
    </comment>
    <comment ref="O39" authorId="0" shapeId="0" xr:uid="{00000000-0006-0000-0000-00009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$1.84      $1.84
    10   $1.66     $16.57
    25   $1.56     $39.09
   100   $1.33    $133.21
   250   $1.25    $312.70
   500   $1.09    $547.22
  1000   $0.99    $985.30</t>
        </r>
      </text>
    </comment>
    <comment ref="T39" authorId="0" shapeId="0" xr:uid="{00000000-0006-0000-0000-000097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£1.72      £1.72
    10   £1.30     £13.00
    50   £1.17     £58.50
   100   £1.03    £103.00
   250   £0.90    £224.75
   500   £0.88    £440.50
  1000   £0.86    £863.00
  2500   £0.84  £2,112.50</t>
        </r>
      </text>
    </comment>
    <comment ref="AD39" authorId="0" shapeId="0" xr:uid="{00000000-0006-0000-0000-00009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$1.84      $1.84
    10   $1.66     $16.60
    50   $1.57     $78.50
   100   $1.33    $133.00
  1000   $0.91    $906.00
 10000   $0.82  $8,250.00</t>
        </r>
      </text>
    </comment>
    <comment ref="AI39" authorId="0" shapeId="0" xr:uid="{00000000-0006-0000-0000-00009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$2.16      $2.16
    10   $2.00     $20.00
    25   $1.87     $46.75
    50   $1.78     $89.00
   100   $1.68    $168.00
   250   $1.59    $397.50</t>
        </r>
      </text>
    </comment>
    <comment ref="AN39" authorId="0" shapeId="0" xr:uid="{00000000-0006-0000-0000-00009A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£1.32      £6.60
    45   £1.13     £50.85</t>
        </r>
      </text>
    </comment>
    <comment ref="AS39" authorId="0" shapeId="0" xr:uid="{00000000-0006-0000-0000-00009B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£1.18      £1.18
     3   £1.06      £3.18
    10   £0.94      £9.40
    45   £0.84     £37.80</t>
        </r>
      </text>
    </comment>
    <comment ref="F41" authorId="0" shapeId="0" xr:uid="{00000000-0006-0000-0000-00009C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41" authorId="0" shapeId="0" xr:uid="{00000000-0006-0000-0000-00009D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41" authorId="0" shapeId="0" xr:uid="{00000000-0006-0000-0000-00009E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41" authorId="0" shapeId="0" xr:uid="{00000000-0006-0000-0000-00009F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41" authorId="0" shapeId="0" xr:uid="{00000000-0006-0000-0000-0000A0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41" authorId="0" shapeId="0" xr:uid="{00000000-0006-0000-0000-0000A1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41" authorId="0" shapeId="0" xr:uid="{00000000-0006-0000-0000-0000A2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41" authorId="0" shapeId="0" xr:uid="{00000000-0006-0000-0000-0000A3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R41" authorId="0" shapeId="0" xr:uid="{00000000-0006-0000-0000-0000A4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42" authorId="0" shapeId="0" xr:uid="{00000000-0006-0000-0000-0000A500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X42" authorId="0" shapeId="0" xr:uid="{00000000-0006-0000-0000-0000A6000000}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<sst xmlns="http://schemas.openxmlformats.org/spreadsheetml/2006/main" count="290" uniqueCount="216">
  <si>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</si>
  <si>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</si>
  <si>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</si>
  <si>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</si>
  <si>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</si>
  <si>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</si>
  <si>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</si>
  <si>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</si>
  <si>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C10</t>
  </si>
  <si>
    <t>2.2nF/2kV</t>
  </si>
  <si>
    <t>C_Rect_L18.0mm_W5.0mm_P15.00mm_FKS3_FKP3</t>
  </si>
  <si>
    <t>B32672L8222J000</t>
  </si>
  <si>
    <t>C21</t>
  </si>
  <si>
    <t>1000uF/35V</t>
  </si>
  <si>
    <t>CP_Radial_D12.5mm_P5.00mm</t>
  </si>
  <si>
    <t>35YXF1000MEFC12.5X25</t>
  </si>
  <si>
    <t>C5,C6</t>
  </si>
  <si>
    <t>22000uF/25VDC</t>
  </si>
  <si>
    <t>CP_Radial_D35.0mm_P10.00mm_SnapIn</t>
  </si>
  <si>
    <t>LGY1E223MELB45</t>
  </si>
  <si>
    <t>C1-C4</t>
  </si>
  <si>
    <t>10nF</t>
  </si>
  <si>
    <t>C_0805_2012Metric_Pad1.18x1.45mm_HandSolder</t>
  </si>
  <si>
    <t>CL21B102KBANNNC</t>
  </si>
  <si>
    <t>C11-C14</t>
  </si>
  <si>
    <t>4.7uF/25V</t>
  </si>
  <si>
    <t>C_1206_3216Metric_Pad1.33x1.80mm_HandSolder</t>
  </si>
  <si>
    <t>C1206C475K3RACTU</t>
  </si>
  <si>
    <t>C17-C20</t>
  </si>
  <si>
    <t>47uF</t>
  </si>
  <si>
    <t>CP_EIA-7343-31_Kemet-D_Pad2.25x2.55mm_HandSolder</t>
  </si>
  <si>
    <t>T521D476M025ATE065</t>
  </si>
  <si>
    <t>C7-C9,C15,C16,C22-C27</t>
  </si>
  <si>
    <t>10uF/25V</t>
  </si>
  <si>
    <t>CP_EIA-3528-21_Kemet-B_Pad1.50x2.35mm_HandSolder</t>
  </si>
  <si>
    <t>TCJB106M025R0100</t>
  </si>
  <si>
    <t>D1-D4</t>
  </si>
  <si>
    <t>BYG20D</t>
  </si>
  <si>
    <t>D_SMA_Handsoldering</t>
  </si>
  <si>
    <t>BYG20D-E3/TR</t>
  </si>
  <si>
    <t>D5-D10</t>
  </si>
  <si>
    <t>1N4148W</t>
  </si>
  <si>
    <t>D_SOD-123</t>
  </si>
  <si>
    <t>1N4148W-7-F</t>
  </si>
  <si>
    <t>H1-H4</t>
  </si>
  <si>
    <t>MountingHole</t>
  </si>
  <si>
    <t>MountingHole_3.2mm_M3</t>
  </si>
  <si>
    <t>HS1-HS3</t>
  </si>
  <si>
    <t>Heatsink</t>
  </si>
  <si>
    <t>Heatsink_Fischer_SK104-STC-STIC_35x13mm_2xDrill2.5mm</t>
  </si>
  <si>
    <t>637-15ABPE</t>
  </si>
  <si>
    <t>J1,J3</t>
  </si>
  <si>
    <t>AC</t>
  </si>
  <si>
    <t>Pin_D1.3mm_L11.0mm</t>
  </si>
  <si>
    <t>J10</t>
  </si>
  <si>
    <t>LED</t>
  </si>
  <si>
    <t>Pin_D1.0mm_L10.0mm</t>
  </si>
  <si>
    <t>J14</t>
  </si>
  <si>
    <t>EARTH</t>
  </si>
  <si>
    <t>J15</t>
  </si>
  <si>
    <t>+17V</t>
  </si>
  <si>
    <t>J16</t>
  </si>
  <si>
    <t>-17V</t>
  </si>
  <si>
    <t>J2</t>
  </si>
  <si>
    <t>GND</t>
  </si>
  <si>
    <t>J4</t>
  </si>
  <si>
    <t>+15V</t>
  </si>
  <si>
    <t>J5,J8,J11,J13</t>
  </si>
  <si>
    <t>J6</t>
  </si>
  <si>
    <t>-15V</t>
  </si>
  <si>
    <t>J7,J12</t>
  </si>
  <si>
    <t>+5V</t>
  </si>
  <si>
    <t>J9</t>
  </si>
  <si>
    <t>-5V</t>
  </si>
  <si>
    <t>R1,R2</t>
  </si>
  <si>
    <t>150k</t>
  </si>
  <si>
    <t>R_0603_1608Metric_Pad0.98x0.95mm_HandSolder</t>
  </si>
  <si>
    <t>RT0603FRE07150KL</t>
  </si>
  <si>
    <t>R12</t>
  </si>
  <si>
    <t>100R/2W</t>
  </si>
  <si>
    <t>R_Axial_DIN0411_L9.9mm_D3.6mm_P15.24mm_Horizontal</t>
  </si>
  <si>
    <t>FMP200JR-52-100R</t>
  </si>
  <si>
    <t>R3,R4</t>
  </si>
  <si>
    <t>49.9k</t>
  </si>
  <si>
    <t>MCT06030C4992FP500</t>
  </si>
  <si>
    <t>R5</t>
  </si>
  <si>
    <t>750R</t>
  </si>
  <si>
    <t>RNCP0603FTD750R</t>
  </si>
  <si>
    <t>R6</t>
  </si>
  <si>
    <t>249R</t>
  </si>
  <si>
    <t>RT0603FRE07249RL</t>
  </si>
  <si>
    <t>R7,R10,R11</t>
  </si>
  <si>
    <t>240R</t>
  </si>
  <si>
    <t>RT0603FRE07240RL</t>
  </si>
  <si>
    <t>R8,R9</t>
  </si>
  <si>
    <t>910R</t>
  </si>
  <si>
    <t>RT0603FRE07910RL</t>
  </si>
  <si>
    <t>U1,U6</t>
  </si>
  <si>
    <t>LM317_TO-220</t>
  </si>
  <si>
    <t>TO-220-3_Vertical</t>
  </si>
  <si>
    <t>LM317T</t>
  </si>
  <si>
    <t>U2,U4</t>
  </si>
  <si>
    <t>LT3045xMSE</t>
  </si>
  <si>
    <t>MSOP-12-1EP_3x4mm_P0.65mm_EP1.65x2.85mm</t>
  </si>
  <si>
    <t>LT3045EMSE#PBF</t>
  </si>
  <si>
    <t>U3,U5</t>
  </si>
  <si>
    <t>LT3094xMSE</t>
  </si>
  <si>
    <t>LT3094IMSE#PBF</t>
  </si>
  <si>
    <t>U7</t>
  </si>
  <si>
    <t>LM337_TO220</t>
  </si>
  <si>
    <t>LM337T/NOPB</t>
  </si>
  <si>
    <t>Total Purchase:</t>
  </si>
  <si>
    <t>Purchase description:</t>
  </si>
  <si>
    <t>Used currency rates:</t>
  </si>
  <si>
    <t>USD($)/GBP(£):</t>
  </si>
  <si>
    <t>Prj:</t>
  </si>
  <si>
    <t>DAC Power Supply Unit</t>
  </si>
  <si>
    <t>Co.:</t>
  </si>
  <si>
    <t>Prj date:</t>
  </si>
  <si>
    <t>2021 May 15, Saturday 15:15:21</t>
  </si>
  <si>
    <t>Board Qty:</t>
  </si>
  <si>
    <t>Total Cost:</t>
  </si>
  <si>
    <t>Unit Cost:</t>
  </si>
  <si>
    <t>$ date:</t>
  </si>
  <si>
    <t>2021-05-15 15:15:52</t>
  </si>
  <si>
    <t>Arrow</t>
  </si>
  <si>
    <t>Avail</t>
  </si>
  <si>
    <t>Purch</t>
  </si>
  <si>
    <t>Cat#</t>
  </si>
  <si>
    <t>Digi-Key</t>
  </si>
  <si>
    <t>495-3222-ND</t>
  </si>
  <si>
    <t>1189-1871-ND</t>
  </si>
  <si>
    <t>493-8621-ND</t>
  </si>
  <si>
    <t>1276-1020-1-ND</t>
  </si>
  <si>
    <t>399-8204-1-ND</t>
  </si>
  <si>
    <t>NonStk</t>
  </si>
  <si>
    <t>399-16618-1-ND</t>
  </si>
  <si>
    <t>478-8057-1-ND</t>
  </si>
  <si>
    <t>BYG20D-E3/GICT-ND</t>
  </si>
  <si>
    <t>1N4148W-FDICT-ND</t>
  </si>
  <si>
    <t>345-1112-ND</t>
  </si>
  <si>
    <t>YAG5940CT-ND</t>
  </si>
  <si>
    <t>100ZCT-ND</t>
  </si>
  <si>
    <t>749-1660-1-ND</t>
  </si>
  <si>
    <t>RNCP0603FTD750RCT-ND</t>
  </si>
  <si>
    <t>13-RT0603FRE07249RLCT-ND</t>
  </si>
  <si>
    <t>13-RT0603FRE07240RLCT-ND</t>
  </si>
  <si>
    <t>13-RT0603FRE07910RLCT-ND</t>
  </si>
  <si>
    <t>497-1575-5-ND</t>
  </si>
  <si>
    <t>LT3045EMSE#PBF-ND</t>
  </si>
  <si>
    <t>LT3094IMSE#PBF-ND</t>
  </si>
  <si>
    <t>LM337TNS/NOPB-ND</t>
  </si>
  <si>
    <t>Farnell</t>
  </si>
  <si>
    <t>2469019</t>
  </si>
  <si>
    <t>1144630</t>
  </si>
  <si>
    <t>3013466</t>
  </si>
  <si>
    <t>1288211</t>
  </si>
  <si>
    <t>2835716</t>
  </si>
  <si>
    <t>1336509</t>
  </si>
  <si>
    <t>1776392</t>
  </si>
  <si>
    <t>1187456</t>
  </si>
  <si>
    <t>2614451</t>
  </si>
  <si>
    <t>1523978</t>
  </si>
  <si>
    <t>3122705</t>
  </si>
  <si>
    <t>LCSC</t>
  </si>
  <si>
    <t>C51210</t>
  </si>
  <si>
    <t>C83528</t>
  </si>
  <si>
    <t>C361026</t>
  </si>
  <si>
    <t>Mouser</t>
  </si>
  <si>
    <t>232XF1000MEFC125X25</t>
  </si>
  <si>
    <t>647LGY1E223MELB45</t>
  </si>
  <si>
    <t>187CL21B102KBANNNC</t>
  </si>
  <si>
    <t>80C1206C475K3R</t>
  </si>
  <si>
    <t>80T521D476M025ATE65</t>
  </si>
  <si>
    <t>581TCJB106M025R</t>
  </si>
  <si>
    <t>625BYG20DE3</t>
  </si>
  <si>
    <t>6211N4148WF</t>
  </si>
  <si>
    <t>56763715ABPE</t>
  </si>
  <si>
    <t>603RT0603FRE07150KL</t>
  </si>
  <si>
    <t>603FMP200JR52100R</t>
  </si>
  <si>
    <t>594MCT06030C4992FP5</t>
  </si>
  <si>
    <t>603RT0603FRE07249RL</t>
  </si>
  <si>
    <t>603RT0603FRE07240RL</t>
  </si>
  <si>
    <t>603RT0603FRE07910RL</t>
  </si>
  <si>
    <t>511LM317T</t>
  </si>
  <si>
    <t>584LT3045EMSE#PBF</t>
  </si>
  <si>
    <t>584LT3094IMSE#PBF</t>
  </si>
  <si>
    <t>926LM337T/NOPB</t>
  </si>
  <si>
    <t>Newark</t>
  </si>
  <si>
    <t>29M0468</t>
  </si>
  <si>
    <t>39T8918</t>
  </si>
  <si>
    <t>82AC9409</t>
  </si>
  <si>
    <t>25M8812</t>
  </si>
  <si>
    <t>48AC3620</t>
  </si>
  <si>
    <t>96AC4254</t>
  </si>
  <si>
    <t>34M5269</t>
  </si>
  <si>
    <t>52R3924</t>
  </si>
  <si>
    <t>83K8262</t>
  </si>
  <si>
    <t>96Y9437</t>
  </si>
  <si>
    <t>34X0662</t>
  </si>
  <si>
    <t>28AH3322</t>
  </si>
  <si>
    <t>RS Components</t>
  </si>
  <si>
    <t>8829244</t>
  </si>
  <si>
    <t>6911221</t>
  </si>
  <si>
    <t>1735996</t>
  </si>
  <si>
    <t>7384728</t>
  </si>
  <si>
    <t>1985472</t>
  </si>
  <si>
    <t>1885614</t>
  </si>
  <si>
    <t>7140792</t>
  </si>
  <si>
    <t>1757437</t>
  </si>
  <si>
    <t>1977252</t>
  </si>
  <si>
    <t>TME</t>
  </si>
  <si>
    <t>C1206C475K3RAC</t>
  </si>
  <si>
    <t>BYG20DE3/TR</t>
  </si>
  <si>
    <t>1N4148W7F</t>
  </si>
  <si>
    <t>KiCost® v.1.1.4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</si>
</sst>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  <font>
      <sz val="8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563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.com/click/track?ai=8078&amp;sig=04c5924&amp;sid=2401&amp;ppid=88184214&amp;vpid=462295132&amp;ct=offers" TargetMode="External"/><Relationship Id="rId21" Type="http://schemas.openxmlformats.org/officeDocument/2006/relationships/hyperlink" Target="https://octopart.com/click/track?c=1&amp;ai=8078&amp;sig=0c3038f&amp;sid=2402&amp;ppid=9138376&amp;vpid=40094327&amp;ct=offers" TargetMode="External"/><Relationship Id="rId42" Type="http://schemas.openxmlformats.org/officeDocument/2006/relationships/hyperlink" Target="https://octopart.com/click/track?c=1&amp;ai=8078&amp;sig=09b5153&amp;sid=2401&amp;ppid=55386411&amp;vpid=187740178&amp;ct=offers" TargetMode="External"/><Relationship Id="rId47" Type="http://schemas.openxmlformats.org/officeDocument/2006/relationships/hyperlink" Target="https://octopart.com/click/track?ai=8078&amp;sig=0c07414&amp;sid=819&amp;ppid=5349879&amp;vpid=209551464&amp;ct=offers" TargetMode="External"/><Relationship Id="rId63" Type="http://schemas.openxmlformats.org/officeDocument/2006/relationships/hyperlink" Target="https://octopart.com/click/track?ai=8078&amp;sig=094c308&amp;sid=459&amp;ppid=1394862&amp;vpid=634569229&amp;ct=offers" TargetMode="External"/><Relationship Id="rId68" Type="http://schemas.openxmlformats.org/officeDocument/2006/relationships/hyperlink" Target="https://octopart.com/click/track?ai=8078&amp;sig=09e8eb8&amp;sid=459&amp;ppid=55399324&amp;vpid=188071716&amp;ct=offers" TargetMode="External"/><Relationship Id="rId84" Type="http://schemas.openxmlformats.org/officeDocument/2006/relationships/hyperlink" Target="https://octopart.com/click/track?ai=8078&amp;sig=0b57f3b&amp;sid=819&amp;ppid=24813738&amp;vpid=575366398&amp;ct=offers" TargetMode="External"/><Relationship Id="rId89" Type="http://schemas.openxmlformats.org/officeDocument/2006/relationships/vmlDrawing" Target="../drawings/vmlDrawing1.vml"/><Relationship Id="rId16" Type="http://schemas.openxmlformats.org/officeDocument/2006/relationships/hyperlink" Target="https://octopart.com/click/track?ai=8078&amp;sig=00bb4d6&amp;sid=2402&amp;ppid=9299369&amp;vpid=511545733&amp;ct=offers" TargetMode="External"/><Relationship Id="rId11" Type="http://schemas.openxmlformats.org/officeDocument/2006/relationships/hyperlink" Target="https://octopart.com/click/track?ai=8078&amp;sig=0877e6b&amp;sid=2401&amp;ppid=19711267&amp;vpid=451575582&amp;ct=offers" TargetMode="External"/><Relationship Id="rId32" Type="http://schemas.openxmlformats.org/officeDocument/2006/relationships/hyperlink" Target="https://octopart.com/click/track?c=1&amp;ai=8078&amp;sig=04a61dc&amp;sid=2402&amp;ppid=22565215&amp;vpid=634293936&amp;ct=offers" TargetMode="External"/><Relationship Id="rId37" Type="http://schemas.openxmlformats.org/officeDocument/2006/relationships/hyperlink" Target="https://octopart.com/click/track?ai=8078&amp;sig=0869e43&amp;sid=1532&amp;ppid=55504258&amp;vpid=709239754&amp;ct=offers" TargetMode="External"/><Relationship Id="rId53" Type="http://schemas.openxmlformats.org/officeDocument/2006/relationships/hyperlink" Target="https://octopart.com/click/track?ai=8078&amp;sig=003aabc&amp;sid=459&amp;ppid=19028491&amp;vpid=34209064&amp;ct=offers" TargetMode="External"/><Relationship Id="rId58" Type="http://schemas.openxmlformats.org/officeDocument/2006/relationships/hyperlink" Target="https://octopart.com/click/track?ai=8078&amp;sig=0aeed90&amp;sid=2402&amp;ppid=43041688&amp;vpid=271767774&amp;ct=offers" TargetMode="External"/><Relationship Id="rId74" Type="http://schemas.openxmlformats.org/officeDocument/2006/relationships/hyperlink" Target="https://octopart.com/click/track?ai=8078&amp;sig=0cb58ae&amp;sid=1532&amp;ppid=55399324&amp;vpid=709201796&amp;ct=offers" TargetMode="External"/><Relationship Id="rId79" Type="http://schemas.openxmlformats.org/officeDocument/2006/relationships/hyperlink" Target="https://www.analog.com/media/en/technical-documentation/data-sheets/LT3094.pdf" TargetMode="External"/><Relationship Id="rId5" Type="http://schemas.openxmlformats.org/officeDocument/2006/relationships/hyperlink" Target="https://www.digikey.ch/product-detail/de/rubycon/35YXF1000MEFC12-5X25/1189-1871-ND/3564114" TargetMode="External"/><Relationship Id="rId90" Type="http://schemas.openxmlformats.org/officeDocument/2006/relationships/comments" Target="../comments1.xml"/><Relationship Id="rId14" Type="http://schemas.openxmlformats.org/officeDocument/2006/relationships/hyperlink" Target="https://octopart.com/click/track?ai=8078&amp;sig=01941ba&amp;sid=27971&amp;ppid=9299369&amp;vpid=478449047&amp;ct=offers" TargetMode="External"/><Relationship Id="rId22" Type="http://schemas.openxmlformats.org/officeDocument/2006/relationships/hyperlink" Target="https://octopart.com/click/track?ai=8078&amp;sig=0b91159&amp;sid=10022&amp;ppid=9138376&amp;vpid=199040249&amp;ct=offers" TargetMode="External"/><Relationship Id="rId27" Type="http://schemas.openxmlformats.org/officeDocument/2006/relationships/hyperlink" Target="https://octopart.com/click/track?ai=8078&amp;sig=091eefa&amp;sid=2402&amp;ppid=88184214&amp;vpid=477460016&amp;ct=offers" TargetMode="External"/><Relationship Id="rId30" Type="http://schemas.openxmlformats.org/officeDocument/2006/relationships/hyperlink" Target="https://octopart.com/click/track?ai=8078&amp;sig=059b88b&amp;sid=459&amp;ppid=22565215&amp;vpid=68511856&amp;ct=offers" TargetMode="External"/><Relationship Id="rId35" Type="http://schemas.openxmlformats.org/officeDocument/2006/relationships/hyperlink" Target="https://octopart.com/click/track?c=1&amp;ai=8078&amp;sig=0e5c04c&amp;sid=2401&amp;ppid=55504258&amp;vpid=187882933&amp;ct=offers" TargetMode="External"/><Relationship Id="rId43" Type="http://schemas.openxmlformats.org/officeDocument/2006/relationships/hyperlink" Target="https://octopart.com/click/track?ai=8078&amp;sig=0c52f9d&amp;sid=2402&amp;ppid=55386411&amp;vpid=609432768&amp;ct=offers" TargetMode="External"/><Relationship Id="rId48" Type="http://schemas.openxmlformats.org/officeDocument/2006/relationships/hyperlink" Target="https://octopart.com/click/track?ai=8078&amp;sig=0ea6e1c&amp;sid=2401&amp;ppid=5349879&amp;vpid=183008179&amp;ct=offers" TargetMode="External"/><Relationship Id="rId56" Type="http://schemas.openxmlformats.org/officeDocument/2006/relationships/hyperlink" Target="https://octopart.com/click/track?ai=8078&amp;sig=07963c5&amp;sid=11744&amp;ppid=43041688&amp;vpid=270801822&amp;ct=offers" TargetMode="External"/><Relationship Id="rId64" Type="http://schemas.openxmlformats.org/officeDocument/2006/relationships/hyperlink" Target="https://octopart.com/click/track?ai=8078&amp;sig=0422d76&amp;sid=2401&amp;ppid=1394862&amp;vpid=165628184&amp;ct=offers" TargetMode="External"/><Relationship Id="rId69" Type="http://schemas.openxmlformats.org/officeDocument/2006/relationships/hyperlink" Target="https://octopart.com/click/track?c=1&amp;ai=8078&amp;sig=029c7b9&amp;sid=819&amp;ppid=55399324&amp;vpid=716167068&amp;ct=offers" TargetMode="External"/><Relationship Id="rId77" Type="http://schemas.openxmlformats.org/officeDocument/2006/relationships/hyperlink" Target="https://octopart.com/click/track?ai=8078&amp;sig=01e5814&amp;sid=2401&amp;ppid=75559485&amp;vpid=457794156&amp;ct=offers" TargetMode="External"/><Relationship Id="rId8" Type="http://schemas.openxmlformats.org/officeDocument/2006/relationships/hyperlink" Target="https://octopart.com/click/track?c=1&amp;ai=8078&amp;sig=0a800cc&amp;sid=2401&amp;ppid=19941866&amp;vpid=586381615&amp;ct=offers" TargetMode="External"/><Relationship Id="rId51" Type="http://schemas.openxmlformats.org/officeDocument/2006/relationships/hyperlink" Target="https://octopart.com/click/track?ai=8078&amp;sig=0fe7066&amp;sid=2401&amp;ppid=39990114&amp;vpid=115837058&amp;ct=offers" TargetMode="External"/><Relationship Id="rId72" Type="http://schemas.openxmlformats.org/officeDocument/2006/relationships/hyperlink" Target="https://octopart.com/click/track?ai=8078&amp;sig=0651886&amp;sid=2402&amp;ppid=55399324&amp;vpid=283508226&amp;ct=offers" TargetMode="External"/><Relationship Id="rId80" Type="http://schemas.openxmlformats.org/officeDocument/2006/relationships/hyperlink" Target="https://octopart.com/click/track?ai=8078&amp;sig=03d193f&amp;sid=459&amp;ppid=95403594&amp;vpid=650441567&amp;ct=offers" TargetMode="External"/><Relationship Id="rId85" Type="http://schemas.openxmlformats.org/officeDocument/2006/relationships/hyperlink" Target="https://octopart.com/click/track?ai=8078&amp;sig=0639070&amp;sid=2401&amp;ppid=24813738&amp;vpid=57204664&amp;ct=offers" TargetMode="External"/><Relationship Id="rId3" Type="http://schemas.openxmlformats.org/officeDocument/2006/relationships/hyperlink" Target="https://octopart.com/click/track?c=1&amp;ai=8078&amp;sig=0f65ffb&amp;sid=2402&amp;ppid=19038922&amp;vpid=436887673&amp;ct=offers" TargetMode="External"/><Relationship Id="rId12" Type="http://schemas.openxmlformats.org/officeDocument/2006/relationships/hyperlink" Target="https://octopart.com/click/track?ai=8078&amp;sig=0799db1&amp;sid=459&amp;ppid=9299369&amp;vpid=72525966&amp;ct=offers" TargetMode="External"/><Relationship Id="rId17" Type="http://schemas.openxmlformats.org/officeDocument/2006/relationships/hyperlink" Target="https://octopart.com/click/track?ai=8078&amp;sig=0f7fd1f&amp;sid=1532&amp;ppid=9299369&amp;vpid=709157390&amp;ct=offers" TargetMode="External"/><Relationship Id="rId25" Type="http://schemas.openxmlformats.org/officeDocument/2006/relationships/hyperlink" Target="https://octopart.com/click/track?ai=8078&amp;sig=033713a&amp;sid=11744&amp;ppid=88184214&amp;vpid=464568226&amp;ct=offers" TargetMode="External"/><Relationship Id="rId33" Type="http://schemas.openxmlformats.org/officeDocument/2006/relationships/hyperlink" Target="https://octopart.com/click/track?c=1&amp;ai=8078&amp;sig=0aa3dbb&amp;sid=459&amp;ppid=55504258&amp;vpid=158973371&amp;ct=offers" TargetMode="External"/><Relationship Id="rId38" Type="http://schemas.openxmlformats.org/officeDocument/2006/relationships/hyperlink" Target="http://www.vishay.com/docs/88503/1n4001.pdf" TargetMode="External"/><Relationship Id="rId46" Type="http://schemas.openxmlformats.org/officeDocument/2006/relationships/hyperlink" Target="https://octopart.com/click/track?ai=8078&amp;sig=03a0fa3&amp;sid=459&amp;ppid=5349879&amp;vpid=41067734&amp;ct=offers" TargetMode="External"/><Relationship Id="rId59" Type="http://schemas.openxmlformats.org/officeDocument/2006/relationships/hyperlink" Target="https://octopart.com/click/track?ai=8078&amp;sig=0c791d0&amp;sid=10022&amp;ppid=43041688&amp;vpid=580054380&amp;ct=offers" TargetMode="External"/><Relationship Id="rId67" Type="http://schemas.openxmlformats.org/officeDocument/2006/relationships/hyperlink" Target="http://www.ti.com/lit/ds/symlink/lm317.pdf" TargetMode="External"/><Relationship Id="rId20" Type="http://schemas.openxmlformats.org/officeDocument/2006/relationships/hyperlink" Target="https://octopart.com/click/track?ai=8078&amp;sig=09d24e9&amp;sid=2401&amp;ppid=9138376&amp;vpid=44737057&amp;ct=offers" TargetMode="External"/><Relationship Id="rId41" Type="http://schemas.openxmlformats.org/officeDocument/2006/relationships/hyperlink" Target="https://octopart.com/click/track?ai=8078&amp;sig=0349c17&amp;sid=27971&amp;ppid=55386411&amp;vpid=445982004&amp;ct=offers" TargetMode="External"/><Relationship Id="rId54" Type="http://schemas.openxmlformats.org/officeDocument/2006/relationships/hyperlink" Target="https://octopart.com/click/track?c=1&amp;ai=8078&amp;sig=0da94c5&amp;sid=2401&amp;ppid=19028491&amp;vpid=248138202&amp;ct=offers" TargetMode="External"/><Relationship Id="rId62" Type="http://schemas.openxmlformats.org/officeDocument/2006/relationships/hyperlink" Target="https://octopart.com/click/track?ai=8078&amp;sig=0fe4504&amp;sid=2401&amp;ppid=1402477&amp;vpid=448116981&amp;ct=offers" TargetMode="External"/><Relationship Id="rId70" Type="http://schemas.openxmlformats.org/officeDocument/2006/relationships/hyperlink" Target="https://octopart.com/click/track?ai=8078&amp;sig=047ade0&amp;sid=27971&amp;ppid=55399324&amp;vpid=524148385&amp;ct=offers" TargetMode="External"/><Relationship Id="rId75" Type="http://schemas.openxmlformats.org/officeDocument/2006/relationships/hyperlink" Target="https://www.analog.com/media/en/technical-documentation/data-sheets/3045fa.pdf" TargetMode="External"/><Relationship Id="rId83" Type="http://schemas.openxmlformats.org/officeDocument/2006/relationships/hyperlink" Target="https://octopart.com/click/track?ai=8078&amp;sig=0edaec9&amp;sid=459&amp;ppid=24813738&amp;vpid=57503680&amp;ct=offers" TargetMode="External"/><Relationship Id="rId88" Type="http://schemas.openxmlformats.org/officeDocument/2006/relationships/hyperlink" Target="https://octopart.com/click/track?ai=8078&amp;sig=099a422&amp;sid=1532&amp;ppid=24813738&amp;vpid=709227162&amp;ct=offers" TargetMode="External"/><Relationship Id="rId1" Type="http://schemas.openxmlformats.org/officeDocument/2006/relationships/hyperlink" Target="https://octopart.com/click/track?ai=8078&amp;sig=05d2bd4&amp;sid=459&amp;ppid=19038922&amp;vpid=33591588&amp;ct=offers" TargetMode="External"/><Relationship Id="rId6" Type="http://schemas.openxmlformats.org/officeDocument/2006/relationships/hyperlink" Target="https://octopart.com/click/track?ai=8078&amp;sig=052df84&amp;sid=459&amp;ppid=19941866&amp;vpid=57844285&amp;ct=offers" TargetMode="External"/><Relationship Id="rId15" Type="http://schemas.openxmlformats.org/officeDocument/2006/relationships/hyperlink" Target="https://octopart.com/click/track?ai=8078&amp;sig=0e237f6&amp;sid=2401&amp;ppid=9299369&amp;vpid=659501522&amp;ct=offers" TargetMode="External"/><Relationship Id="rId23" Type="http://schemas.openxmlformats.org/officeDocument/2006/relationships/hyperlink" Target="https://octopart.com/click/track?ai=8078&amp;sig=0127246&amp;sid=1532&amp;ppid=9138376&amp;vpid=709038843&amp;ct=offers" TargetMode="External"/><Relationship Id="rId28" Type="http://schemas.openxmlformats.org/officeDocument/2006/relationships/hyperlink" Target="https://octopart.com/click/track?ai=8078&amp;sig=0e6d6c6&amp;sid=10022&amp;ppid=88184214&amp;vpid=480513525&amp;ct=offers" TargetMode="External"/><Relationship Id="rId36" Type="http://schemas.openxmlformats.org/officeDocument/2006/relationships/hyperlink" Target="https://octopart.com/click/track?c=1&amp;ai=8078&amp;sig=0d5532e&amp;sid=2402&amp;ppid=55504258&amp;vpid=190864921&amp;ct=offers" TargetMode="External"/><Relationship Id="rId49" Type="http://schemas.openxmlformats.org/officeDocument/2006/relationships/hyperlink" Target="https://octopart.com/click/track?ai=8078&amp;sig=04e69b3&amp;sid=2402&amp;ppid=5349879&amp;vpid=6715540&amp;ct=offers" TargetMode="External"/><Relationship Id="rId57" Type="http://schemas.openxmlformats.org/officeDocument/2006/relationships/hyperlink" Target="https://octopart.com/click/track?ai=8078&amp;sig=014f47b&amp;sid=2401&amp;ppid=43041688&amp;vpid=229703246&amp;ct=offers" TargetMode="External"/><Relationship Id="rId10" Type="http://schemas.openxmlformats.org/officeDocument/2006/relationships/hyperlink" Target="https://octopart.com/click/track?ai=8078&amp;sig=0d44322&amp;sid=459&amp;ppid=19711267&amp;vpid=71931392&amp;ct=offers" TargetMode="External"/><Relationship Id="rId31" Type="http://schemas.openxmlformats.org/officeDocument/2006/relationships/hyperlink" Target="https://octopart.com/click/track?ai=8078&amp;sig=01454a6&amp;sid=2401&amp;ppid=22565215&amp;vpid=50096213&amp;ct=offers" TargetMode="External"/><Relationship Id="rId44" Type="http://schemas.openxmlformats.org/officeDocument/2006/relationships/hyperlink" Target="https://octopart.com/click/track?ai=8078&amp;sig=0970248&amp;sid=10022&amp;ppid=55386411&amp;vpid=199007022&amp;ct=offers" TargetMode="External"/><Relationship Id="rId52" Type="http://schemas.openxmlformats.org/officeDocument/2006/relationships/hyperlink" Target="https://octopart.com/click/track?ai=8078&amp;sig=0818619&amp;sid=10022&amp;ppid=39990114&amp;vpid=656589876&amp;ct=offers" TargetMode="External"/><Relationship Id="rId60" Type="http://schemas.openxmlformats.org/officeDocument/2006/relationships/hyperlink" Target="https://octopart.com/click/track?ai=8078&amp;sig=000ba2d&amp;sid=459&amp;ppid=19220334&amp;vpid=34424841&amp;ct=offers" TargetMode="External"/><Relationship Id="rId65" Type="http://schemas.openxmlformats.org/officeDocument/2006/relationships/hyperlink" Target="https://octopart.com/click/track?ai=8078&amp;sig=0e5be45&amp;sid=459&amp;ppid=1262749&amp;vpid=634569737&amp;ct=offers" TargetMode="External"/><Relationship Id="rId73" Type="http://schemas.openxmlformats.org/officeDocument/2006/relationships/hyperlink" Target="https://octopart.com/click/track?ai=8078&amp;sig=099454a&amp;sid=10022&amp;ppid=55399324&amp;vpid=199117753&amp;ct=offers" TargetMode="External"/><Relationship Id="rId78" Type="http://schemas.openxmlformats.org/officeDocument/2006/relationships/hyperlink" Target="https://octopart.com/click/track?ai=8078&amp;sig=0a84af9&amp;sid=10022&amp;ppid=75559485&amp;vpid=590118852&amp;ct=offers" TargetMode="External"/><Relationship Id="rId81" Type="http://schemas.openxmlformats.org/officeDocument/2006/relationships/hyperlink" Target="https://octopart.com/click/track?ai=8078&amp;sig=00bf972&amp;sid=2401&amp;ppid=95403594&amp;vpid=499993944&amp;ct=offers" TargetMode="External"/><Relationship Id="rId86" Type="http://schemas.openxmlformats.org/officeDocument/2006/relationships/hyperlink" Target="https://octopart.com/click/track?ai=8078&amp;sig=0f76a19&amp;sid=2402&amp;ppid=24813738&amp;vpid=578992675&amp;ct=offers" TargetMode="External"/><Relationship Id="rId4" Type="http://schemas.openxmlformats.org/officeDocument/2006/relationships/hyperlink" Target="https://octopart.com/click/track?ai=8078&amp;sig=0a6a485&amp;sid=10022&amp;ppid=19038922&amp;vpid=230974424&amp;ct=offers" TargetMode="External"/><Relationship Id="rId9" Type="http://schemas.openxmlformats.org/officeDocument/2006/relationships/hyperlink" Target="https://octopart.com/click/track?c=1&amp;ai=8078&amp;sig=0a9f2e4&amp;sid=2402&amp;ppid=19941866&amp;vpid=37407900&amp;ct=offers" TargetMode="External"/><Relationship Id="rId13" Type="http://schemas.openxmlformats.org/officeDocument/2006/relationships/hyperlink" Target="https://octopart.com/click/track?ai=8078&amp;sig=03081e6&amp;sid=11744&amp;ppid=9299369&amp;vpid=541618916&amp;ct=offers" TargetMode="External"/><Relationship Id="rId18" Type="http://schemas.openxmlformats.org/officeDocument/2006/relationships/hyperlink" Target="https://octopart.com/click/track?c=1&amp;ai=8078&amp;sig=0ae4296&amp;sid=459&amp;ppid=9138376&amp;vpid=51927723&amp;ct=offers" TargetMode="External"/><Relationship Id="rId39" Type="http://schemas.openxmlformats.org/officeDocument/2006/relationships/hyperlink" Target="https://octopart.com/click/track?c=1&amp;ai=8078&amp;sig=071bd38&amp;sid=459&amp;ppid=55386411&amp;vpid=188018374&amp;ct=offers" TargetMode="External"/><Relationship Id="rId34" Type="http://schemas.openxmlformats.org/officeDocument/2006/relationships/hyperlink" Target="https://octopart.com/click/track?c=1&amp;ai=8078&amp;sig=0459b1c&amp;sid=11744&amp;ppid=55504258&amp;vpid=188325045&amp;ct=offers" TargetMode="External"/><Relationship Id="rId50" Type="http://schemas.openxmlformats.org/officeDocument/2006/relationships/hyperlink" Target="https://octopart.com/click/track?ai=8078&amp;sig=0e8290f&amp;sid=459&amp;ppid=39990114&amp;vpid=482894958&amp;ct=offers" TargetMode="External"/><Relationship Id="rId55" Type="http://schemas.openxmlformats.org/officeDocument/2006/relationships/hyperlink" Target="https://octopart.com/click/track?ai=8078&amp;sig=0968145&amp;sid=459&amp;ppid=43041688&amp;vpid=657621108&amp;ct=offers" TargetMode="External"/><Relationship Id="rId76" Type="http://schemas.openxmlformats.org/officeDocument/2006/relationships/hyperlink" Target="https://octopart.com/click/track?ai=8078&amp;sig=0728f8a&amp;sid=459&amp;ppid=75559485&amp;vpid=650440618&amp;ct=offers" TargetMode="External"/><Relationship Id="rId7" Type="http://schemas.openxmlformats.org/officeDocument/2006/relationships/hyperlink" Target="https://octopart.com/click/track?c=1&amp;ai=8078&amp;sig=0642600&amp;sid=819&amp;ppid=19941866&amp;vpid=139428219&amp;ct=offers" TargetMode="External"/><Relationship Id="rId71" Type="http://schemas.openxmlformats.org/officeDocument/2006/relationships/hyperlink" Target="https://octopart.com/click/track?ai=8078&amp;sig=0038417&amp;sid=2401&amp;ppid=55399324&amp;vpid=187850910&amp;ct=offers" TargetMode="External"/><Relationship Id="rId2" Type="http://schemas.openxmlformats.org/officeDocument/2006/relationships/hyperlink" Target="https://octopart.com/click/track?c=1&amp;ai=8078&amp;sig=04bf659&amp;sid=819&amp;ppid=19038922&amp;vpid=203067017&amp;ct=offers" TargetMode="External"/><Relationship Id="rId29" Type="http://schemas.openxmlformats.org/officeDocument/2006/relationships/hyperlink" Target="https://www.digikey.ch/product-detail/de/TCJB106M025R0100/478-8057-1-ND/3900673" TargetMode="External"/><Relationship Id="rId24" Type="http://schemas.openxmlformats.org/officeDocument/2006/relationships/hyperlink" Target="https://octopart.com/click/track?ai=8078&amp;sig=024a8ee&amp;sid=459&amp;ppid=88184214&amp;vpid=456373433&amp;ct=offers" TargetMode="External"/><Relationship Id="rId40" Type="http://schemas.openxmlformats.org/officeDocument/2006/relationships/hyperlink" Target="https://octopart.com/click/track?c=1&amp;ai=8078&amp;sig=02a684e&amp;sid=819&amp;ppid=55386411&amp;vpid=606105427&amp;ct=offers" TargetMode="External"/><Relationship Id="rId45" Type="http://schemas.openxmlformats.org/officeDocument/2006/relationships/hyperlink" Target="https://octopart.com/click/track?ai=8078&amp;sig=0e6062f&amp;sid=1532&amp;ppid=55386411&amp;vpid=707843144&amp;ct=offers" TargetMode="External"/><Relationship Id="rId66" Type="http://schemas.openxmlformats.org/officeDocument/2006/relationships/hyperlink" Target="https://octopart.com/click/track?c=1&amp;ai=8078&amp;sig=0203741&amp;sid=2401&amp;ppid=1262749&amp;vpid=252241950&amp;ct=offers" TargetMode="External"/><Relationship Id="rId87" Type="http://schemas.openxmlformats.org/officeDocument/2006/relationships/hyperlink" Target="https://octopart.com/click/track?ai=8078&amp;sig=0f16671&amp;sid=10022&amp;ppid=24813738&amp;vpid=615094676&amp;ct=offers" TargetMode="External"/><Relationship Id="rId61" Type="http://schemas.openxmlformats.org/officeDocument/2006/relationships/hyperlink" Target="https://octopart.com/click/track?ai=8078&amp;sig=019279f&amp;sid=459&amp;ppid=1402477&amp;vpid=634569236&amp;ct=offers" TargetMode="External"/><Relationship Id="rId82" Type="http://schemas.openxmlformats.org/officeDocument/2006/relationships/hyperlink" Target="http://www.ti.com/lit/ds/symlink/lm337-n.pdf" TargetMode="External"/><Relationship Id="rId19" Type="http://schemas.openxmlformats.org/officeDocument/2006/relationships/hyperlink" Target="https://octopart.com/click/track?c=1&amp;ai=8078&amp;sig=0053017&amp;sid=819&amp;ppid=9138376&amp;vpid=138968525&amp;ct=off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5"/>
  <sheetViews>
    <sheetView tabSelected="1" workbookViewId="0">
      <pane xSplit="7" ySplit="6" topLeftCell="AF7" activePane="bottomRight" state="frozen"/>
      <selection pane="topRight" activeCell="H1" sqref="H1"/>
      <selection pane="bottomLeft" activeCell="A7" sqref="A7"/>
      <selection pane="bottomRight" activeCell="AK13" sqref="AK13"/>
    </sheetView>
  </sheetViews>
  <sheetFormatPr baseColWidth="10" defaultColWidth="8.83203125" defaultRowHeight="15" outlineLevelCol="2" x14ac:dyDescent="0.2"/>
  <cols>
    <col min="1" max="2" width="9.1640625"/>
    <col min="3" max="3" width="9.1640625" customWidth="1" outlineLevel="2"/>
    <col min="4" max="5" width="9.1640625" outlineLevel="1"/>
    <col min="6" max="6" width="9.1640625"/>
    <col min="7" max="7" width="15.6640625" customWidth="1"/>
    <col min="8" max="8" width="9.1640625" outlineLevel="1"/>
    <col min="9" max="10" width="9.1640625" outlineLevel="2"/>
    <col min="11" max="11" width="15.6640625" customWidth="1"/>
    <col min="12" max="12" width="15.6640625" customWidth="1" outlineLevel="2"/>
    <col min="13" max="13" width="9.1640625" outlineLevel="1"/>
    <col min="14" max="15" width="9.1640625" outlineLevel="2"/>
    <col min="16" max="16" width="15.6640625" customWidth="1"/>
    <col min="17" max="17" width="15.6640625" customWidth="1" outlineLevel="2"/>
    <col min="18" max="18" width="9.1640625" outlineLevel="1"/>
    <col min="19" max="20" width="9.1640625" outlineLevel="2"/>
    <col min="21" max="21" width="15.6640625" customWidth="1"/>
    <col min="22" max="22" width="15.6640625" customWidth="1" outlineLevel="2"/>
    <col min="23" max="23" width="9.1640625" outlineLevel="1"/>
    <col min="24" max="25" width="9.1640625" outlineLevel="2"/>
    <col min="26" max="26" width="15.6640625" customWidth="1"/>
    <col min="27" max="27" width="15.6640625" customWidth="1" outlineLevel="2"/>
    <col min="28" max="28" width="9.1640625" outlineLevel="1"/>
    <col min="29" max="30" width="9.1640625" outlineLevel="2"/>
    <col min="31" max="31" width="15.6640625" customWidth="1"/>
    <col min="32" max="32" width="15.6640625" customWidth="1" outlineLevel="2"/>
    <col min="33" max="33" width="9.1640625" outlineLevel="1"/>
    <col min="34" max="35" width="9.1640625" outlineLevel="2"/>
    <col min="36" max="36" width="15.6640625" customWidth="1"/>
    <col min="37" max="37" width="15.6640625" customWidth="1" outlineLevel="2"/>
    <col min="38" max="38" width="9.1640625" outlineLevel="1"/>
    <col min="39" max="40" width="9.1640625" outlineLevel="2"/>
    <col min="41" max="41" width="15.6640625" customWidth="1"/>
    <col min="42" max="42" width="15.6640625" customWidth="1" outlineLevel="2"/>
    <col min="43" max="43" width="9.1640625" outlineLevel="1"/>
    <col min="44" max="45" width="9.1640625" outlineLevel="2"/>
    <col min="46" max="46" width="15.6640625" customWidth="1"/>
    <col min="47" max="47" width="15.6640625" customWidth="1" outlineLevel="2"/>
  </cols>
  <sheetData>
    <row r="1" spans="1:47" ht="17" x14ac:dyDescent="0.2">
      <c r="A1" s="1" t="s">
        <v>115</v>
      </c>
      <c r="B1" s="2" t="s">
        <v>116</v>
      </c>
      <c r="F1" s="3" t="s">
        <v>120</v>
      </c>
      <c r="G1" s="3">
        <v>1</v>
      </c>
    </row>
    <row r="2" spans="1:47" ht="17" x14ac:dyDescent="0.2">
      <c r="A2" s="1" t="s">
        <v>117</v>
      </c>
      <c r="B2" s="2"/>
      <c r="F2" s="1" t="s">
        <v>122</v>
      </c>
      <c r="G2" s="4">
        <f ca="1">TotalCost/BoardQty</f>
        <v>54.605279940259493</v>
      </c>
    </row>
    <row r="3" spans="1:47" ht="17" x14ac:dyDescent="0.2">
      <c r="A3" s="1" t="s">
        <v>118</v>
      </c>
      <c r="B3" s="2" t="s">
        <v>119</v>
      </c>
      <c r="F3" s="1" t="s">
        <v>121</v>
      </c>
      <c r="G3" s="5">
        <f ca="1">SUM(G7:G39)</f>
        <v>54.605279940259493</v>
      </c>
      <c r="K3" s="5">
        <f>SUM(K7:K39)</f>
        <v>0</v>
      </c>
      <c r="L3" s="6">
        <v>0</v>
      </c>
      <c r="P3" s="5">
        <f>SUM(P7:P39)</f>
        <v>68.422000000000011</v>
      </c>
      <c r="Q3" s="6">
        <v>0</v>
      </c>
      <c r="U3" s="5">
        <f>SUM(U7:U39)</f>
        <v>97.637827125921731</v>
      </c>
      <c r="V3" s="6">
        <v>0</v>
      </c>
      <c r="Z3" s="5">
        <f>SUM(Z7:Z39)</f>
        <v>0.78339999999999999</v>
      </c>
      <c r="AA3" s="6">
        <v>0</v>
      </c>
      <c r="AE3" s="5">
        <f>SUM(AE7:AE39)</f>
        <v>70.795000000000002</v>
      </c>
      <c r="AF3" s="6">
        <v>0</v>
      </c>
      <c r="AJ3" s="5">
        <f>SUM(AJ7:AJ39)</f>
        <v>36.155000000000001</v>
      </c>
      <c r="AK3" s="6">
        <v>0</v>
      </c>
      <c r="AO3" s="5">
        <f>SUM(AO7:AO39)</f>
        <v>21.52200037337813</v>
      </c>
      <c r="AP3" s="6">
        <v>0</v>
      </c>
      <c r="AT3" s="5">
        <f>SUM(AT7:AT39)</f>
        <v>4.1470235694950048</v>
      </c>
      <c r="AU3" s="6">
        <v>0</v>
      </c>
    </row>
    <row r="4" spans="1:47" ht="17" x14ac:dyDescent="0.2">
      <c r="A4" s="1" t="s">
        <v>123</v>
      </c>
      <c r="B4" s="2" t="s">
        <v>124</v>
      </c>
    </row>
    <row r="5" spans="1:47" ht="19" x14ac:dyDescent="0.2">
      <c r="A5" s="13" t="s">
        <v>0</v>
      </c>
      <c r="B5" s="13"/>
      <c r="C5" s="13"/>
      <c r="D5" s="13"/>
      <c r="E5" s="13"/>
      <c r="F5" s="13"/>
      <c r="G5" s="13"/>
      <c r="H5" s="14" t="s">
        <v>125</v>
      </c>
      <c r="I5" s="14"/>
      <c r="J5" s="14"/>
      <c r="K5" s="14"/>
      <c r="L5" s="14"/>
      <c r="M5" s="15" t="s">
        <v>129</v>
      </c>
      <c r="N5" s="15"/>
      <c r="O5" s="15"/>
      <c r="P5" s="15"/>
      <c r="Q5" s="15"/>
      <c r="R5" s="16" t="s">
        <v>152</v>
      </c>
      <c r="S5" s="16"/>
      <c r="T5" s="16"/>
      <c r="U5" s="16"/>
      <c r="V5" s="16"/>
      <c r="W5" s="17" t="s">
        <v>164</v>
      </c>
      <c r="X5" s="17"/>
      <c r="Y5" s="17"/>
      <c r="Z5" s="17"/>
      <c r="AA5" s="17"/>
      <c r="AB5" s="18" t="s">
        <v>168</v>
      </c>
      <c r="AC5" s="18"/>
      <c r="AD5" s="18"/>
      <c r="AE5" s="18"/>
      <c r="AF5" s="18"/>
      <c r="AG5" s="19" t="s">
        <v>188</v>
      </c>
      <c r="AH5" s="19"/>
      <c r="AI5" s="19"/>
      <c r="AJ5" s="19"/>
      <c r="AK5" s="19"/>
      <c r="AL5" s="20" t="s">
        <v>201</v>
      </c>
      <c r="AM5" s="20"/>
      <c r="AN5" s="20"/>
      <c r="AO5" s="20"/>
      <c r="AP5" s="20"/>
      <c r="AQ5" s="21" t="s">
        <v>211</v>
      </c>
      <c r="AR5" s="21"/>
      <c r="AS5" s="21"/>
      <c r="AT5" s="21"/>
      <c r="AU5" s="21"/>
    </row>
    <row r="6" spans="1:47" ht="17" x14ac:dyDescent="0.2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126</v>
      </c>
      <c r="I6" s="7" t="s">
        <v>127</v>
      </c>
      <c r="J6" s="7" t="s">
        <v>6</v>
      </c>
      <c r="K6" s="7" t="s">
        <v>7</v>
      </c>
      <c r="L6" s="7" t="s">
        <v>128</v>
      </c>
      <c r="M6" s="7" t="s">
        <v>126</v>
      </c>
      <c r="N6" s="7" t="s">
        <v>127</v>
      </c>
      <c r="O6" s="7" t="s">
        <v>6</v>
      </c>
      <c r="P6" s="7" t="s">
        <v>7</v>
      </c>
      <c r="Q6" s="7" t="s">
        <v>128</v>
      </c>
      <c r="R6" s="7" t="s">
        <v>126</v>
      </c>
      <c r="S6" s="7" t="s">
        <v>127</v>
      </c>
      <c r="T6" s="7" t="s">
        <v>6</v>
      </c>
      <c r="U6" s="7" t="s">
        <v>7</v>
      </c>
      <c r="V6" s="7" t="s">
        <v>128</v>
      </c>
      <c r="W6" s="7" t="s">
        <v>126</v>
      </c>
      <c r="X6" s="7" t="s">
        <v>127</v>
      </c>
      <c r="Y6" s="7" t="s">
        <v>6</v>
      </c>
      <c r="Z6" s="7" t="s">
        <v>7</v>
      </c>
      <c r="AA6" s="7" t="s">
        <v>128</v>
      </c>
      <c r="AB6" s="7" t="s">
        <v>126</v>
      </c>
      <c r="AC6" s="7" t="s">
        <v>127</v>
      </c>
      <c r="AD6" s="7" t="s">
        <v>6</v>
      </c>
      <c r="AE6" s="7" t="s">
        <v>7</v>
      </c>
      <c r="AF6" s="7" t="s">
        <v>128</v>
      </c>
      <c r="AG6" s="7" t="s">
        <v>126</v>
      </c>
      <c r="AH6" s="7" t="s">
        <v>127</v>
      </c>
      <c r="AI6" s="7" t="s">
        <v>6</v>
      </c>
      <c r="AJ6" s="7" t="s">
        <v>7</v>
      </c>
      <c r="AK6" s="7" t="s">
        <v>128</v>
      </c>
      <c r="AL6" s="7" t="s">
        <v>126</v>
      </c>
      <c r="AM6" s="7" t="s">
        <v>127</v>
      </c>
      <c r="AN6" s="7" t="s">
        <v>6</v>
      </c>
      <c r="AO6" s="7" t="s">
        <v>7</v>
      </c>
      <c r="AP6" s="7" t="s">
        <v>128</v>
      </c>
      <c r="AQ6" s="7" t="s">
        <v>126</v>
      </c>
      <c r="AR6" s="7" t="s">
        <v>127</v>
      </c>
      <c r="AS6" s="7" t="s">
        <v>6</v>
      </c>
      <c r="AT6" s="7" t="s">
        <v>7</v>
      </c>
      <c r="AU6" s="7" t="s">
        <v>128</v>
      </c>
    </row>
    <row r="7" spans="1:47" x14ac:dyDescent="0.2">
      <c r="A7" s="8" t="s">
        <v>8</v>
      </c>
      <c r="B7" s="8" t="s">
        <v>9</v>
      </c>
      <c r="C7" s="8" t="s">
        <v>10</v>
      </c>
      <c r="D7" s="8" t="s">
        <v>11</v>
      </c>
      <c r="E7" s="8">
        <f>BoardQty*1</f>
        <v>1</v>
      </c>
      <c r="F7" s="9">
        <f t="shared" ref="F7:F39" ca="1" si="0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0.20899999999999999</v>
      </c>
      <c r="G7" s="9">
        <f t="shared" ref="G7:G39" ca="1" si="1">IFERROR(E7*F7,"")</f>
        <v>0.20899999999999999</v>
      </c>
      <c r="M7" s="8">
        <v>101</v>
      </c>
      <c r="O7" s="9">
        <f>IFERROR(LOOKUP(IF(N7="",E7,N7),{0,1,10,50,100,500,1000,2500,5000},{0,0.61,0.43,0.3254,0.2834,0.20992,0.17843,0.16793,0.15744}),"")</f>
        <v>0.61</v>
      </c>
      <c r="P7" s="9">
        <f t="shared" ref="P7:P15" si="2">IFERROR(IF(N7="",E7,N7)*O7,"")</f>
        <v>0.61</v>
      </c>
      <c r="Q7" s="10" t="s">
        <v>130</v>
      </c>
      <c r="R7" s="11" t="s">
        <v>135</v>
      </c>
      <c r="T7" s="9">
        <f>IFERROR(USD_GBP*LOOKUP(IF(S7="",E7,S7),{0,1,10,100,500,1000,2000},{0,0.351,0.351,0.266,0.198,0.168,0.158}),"")</f>
        <v>0.48711775413049546</v>
      </c>
      <c r="U7" s="9">
        <f>IFERROR(IF(S7="",E7,S7)*T7,"")</f>
        <v>0.48711775413049546</v>
      </c>
      <c r="V7" s="10" t="s">
        <v>153</v>
      </c>
      <c r="AG7" s="11" t="s">
        <v>135</v>
      </c>
      <c r="AI7" s="9">
        <f>IFERROR(LOOKUP(IF(AH7="",E7,AH7),{0,1,4000},{0,0.209,0.209}),"")</f>
        <v>0.20899999999999999</v>
      </c>
      <c r="AJ7" s="9">
        <f>IFERROR(IF(AH7="",E7,AH7)*AI7,"")</f>
        <v>0.20899999999999999</v>
      </c>
      <c r="AK7" s="10" t="s">
        <v>189</v>
      </c>
      <c r="AL7" s="8">
        <v>6022</v>
      </c>
      <c r="AN7" s="9">
        <f>IFERROR(USD_GBP*LOOKUP(IF(AM7="",E7,AM7),{0,1,25,125,500,1250},{0,0.42,0.42,0.214,0.196,0.186}),"")</f>
        <v>0.58287594511341334</v>
      </c>
      <c r="AO7" s="9">
        <f>IFERROR(IF(AM7="",E7,AM7)*AN7,"")</f>
        <v>0.58287594511341334</v>
      </c>
      <c r="AP7" s="10" t="s">
        <v>202</v>
      </c>
    </row>
    <row r="8" spans="1:47" x14ac:dyDescent="0.2">
      <c r="A8" s="8" t="s">
        <v>12</v>
      </c>
      <c r="B8" s="8" t="s">
        <v>13</v>
      </c>
      <c r="C8" s="8" t="s">
        <v>14</v>
      </c>
      <c r="D8" s="8" t="s">
        <v>15</v>
      </c>
      <c r="E8" s="8">
        <f>BoardQty*1</f>
        <v>1</v>
      </c>
      <c r="F8" s="9">
        <f t="shared" ca="1" si="0"/>
        <v>0.78</v>
      </c>
      <c r="G8" s="9">
        <f t="shared" ca="1" si="1"/>
        <v>0.78</v>
      </c>
      <c r="M8" s="8">
        <v>12234</v>
      </c>
      <c r="O8" s="9">
        <f>IFERROR(LOOKUP(IF(N8="",E8,N8),{0,1,10,50,100,500,1000,2500,5000},{0,0.89,0.679,0.5644,0.4861,0.37632,0.32406,0.30315,0.28747}),"")</f>
        <v>0.89</v>
      </c>
      <c r="P8" s="9">
        <f t="shared" si="2"/>
        <v>0.89</v>
      </c>
      <c r="Q8" s="10" t="s">
        <v>131</v>
      </c>
      <c r="R8" s="11" t="s">
        <v>135</v>
      </c>
      <c r="T8" s="9">
        <f>IFERROR(USD_GBP*LOOKUP(IF(S8="",E8,S8),{0,1,50,100,250,500,1000,5000},{0,0.839,0.489,0.451,0.419,0.391,0.39,0.388}),"")</f>
        <v>1.1643640903575092</v>
      </c>
      <c r="U8" s="9">
        <f>IFERROR(IF(S8="",E8,S8)*T8,"")</f>
        <v>1.1643640903575092</v>
      </c>
      <c r="V8" s="10" t="s">
        <v>154</v>
      </c>
      <c r="AB8" s="11" t="s">
        <v>135</v>
      </c>
      <c r="AD8" s="9">
        <f>IFERROR(LOOKUP(IF(AC8="",E8,AC8),{0,1,10,50,100,1000,10000},{0,0.78,0.591,0.591,0.422,0.327,0.327}),"")</f>
        <v>0.78</v>
      </c>
      <c r="AE8" s="9">
        <f t="shared" ref="AE8:AE15" si="3">IFERROR(IF(AC8="",E8,AC8)*AD8,"")</f>
        <v>0.78</v>
      </c>
      <c r="AF8" s="10" t="s">
        <v>169</v>
      </c>
      <c r="AG8" s="11" t="s">
        <v>135</v>
      </c>
      <c r="AI8" s="9">
        <f>IFERROR(LOOKUP(IF(AH8="",E8,AH8),{0,1,10,25,50,100,500},{0,1.11,0.849,0.778,0.705,0.608,0.508}),"")</f>
        <v>1.1100000000000001</v>
      </c>
      <c r="AJ8" s="9">
        <f>IFERROR(IF(AH8="",E8,AH8)*AI8,"")</f>
        <v>1.1100000000000001</v>
      </c>
      <c r="AK8" s="10" t="s">
        <v>190</v>
      </c>
    </row>
    <row r="9" spans="1:47" x14ac:dyDescent="0.2">
      <c r="A9" s="8" t="s">
        <v>16</v>
      </c>
      <c r="B9" s="8" t="s">
        <v>17</v>
      </c>
      <c r="C9" s="8" t="s">
        <v>18</v>
      </c>
      <c r="D9" s="8" t="s">
        <v>19</v>
      </c>
      <c r="E9" s="8">
        <f>BoardQty*2</f>
        <v>2</v>
      </c>
      <c r="F9" s="9">
        <f t="shared" ca="1" si="0"/>
        <v>4.43</v>
      </c>
      <c r="G9" s="9">
        <f t="shared" ca="1" si="1"/>
        <v>8.86</v>
      </c>
      <c r="M9" s="8">
        <v>78</v>
      </c>
      <c r="O9" s="9">
        <f>IFERROR(LOOKUP(IF(N9="",E9,N9),{0,1,10,50,100,500,1000,2500,5000},{0,5.17,4.65,4.0298,3.5132,2.89322,2.68657,2.6349,2.61768}),"")</f>
        <v>5.17</v>
      </c>
      <c r="P9" s="9">
        <f t="shared" si="2"/>
        <v>10.34</v>
      </c>
      <c r="Q9" s="10" t="s">
        <v>132</v>
      </c>
      <c r="AB9" s="8">
        <v>53</v>
      </c>
      <c r="AD9" s="9">
        <f>IFERROR(LOOKUP(IF(AC9="",E9,AC9),{0,1,10,50,100,1000,10000},{0,4.43,4.29,3.84,3.35,2.55,2.48}),"")</f>
        <v>4.43</v>
      </c>
      <c r="AE9" s="9">
        <f t="shared" si="3"/>
        <v>8.86</v>
      </c>
      <c r="AF9" s="10" t="s">
        <v>170</v>
      </c>
    </row>
    <row r="10" spans="1:47" x14ac:dyDescent="0.2">
      <c r="A10" s="8" t="s">
        <v>20</v>
      </c>
      <c r="B10" s="8" t="s">
        <v>21</v>
      </c>
      <c r="C10" s="8" t="s">
        <v>22</v>
      </c>
      <c r="D10" s="8" t="s">
        <v>23</v>
      </c>
      <c r="E10" s="8">
        <f>BoardQty*4</f>
        <v>4</v>
      </c>
      <c r="F10" s="9">
        <f t="shared" ca="1" si="0"/>
        <v>8.0000000000000002E-3</v>
      </c>
      <c r="G10" s="9">
        <f t="shared" ca="1" si="1"/>
        <v>3.2000000000000001E-2</v>
      </c>
      <c r="M10" s="8">
        <v>46715</v>
      </c>
      <c r="O10" s="9">
        <f>IFERROR(LOOKUP(IF(N10="",E10,N10),{0,1,10,50,100,500,1000,4000},{0,0.1,0.043,0.0234,0.0192,0.01368,0.01075,0.00899}),"")</f>
        <v>0.1</v>
      </c>
      <c r="P10" s="9">
        <f t="shared" si="2"/>
        <v>0.4</v>
      </c>
      <c r="Q10" s="10" t="s">
        <v>133</v>
      </c>
      <c r="R10" s="8">
        <v>36000</v>
      </c>
      <c r="T10" s="9">
        <f>IFERROR(USD_GBP*LOOKUP(IF(S10="",E10,S10),{0,1,10,100,150,500,1000,2000,4000,20000},{0,0.0281,0.0281,0.0206,0.0206,0.0163,0.0135,0.0116,0.0093,0.0062}),"")</f>
        <v>3.899717632782599E-2</v>
      </c>
      <c r="U10" s="9">
        <f>IFERROR(IF(S10="",E10,S10)*T10,"")</f>
        <v>0.15598870531130396</v>
      </c>
      <c r="V10" s="10" t="s">
        <v>155</v>
      </c>
      <c r="W10" s="8">
        <v>141500</v>
      </c>
      <c r="Y10" s="9">
        <f>IFERROR(LOOKUP(IF(X10="",E10,X10),{0,1,50,500,1500,5000,25000,50000},{0,0.008,0.008,0.006,0.0056,0.0053,0.0051,0.005}),"")</f>
        <v>8.0000000000000002E-3</v>
      </c>
      <c r="Z10" s="9">
        <f>IFERROR(IF(X10="",E10,X10)*Y10,"")</f>
        <v>3.2000000000000001E-2</v>
      </c>
      <c r="AA10" s="10" t="s">
        <v>165</v>
      </c>
      <c r="AB10" s="8">
        <v>219521</v>
      </c>
      <c r="AD10" s="9">
        <f>IFERROR(LOOKUP(IF(AC10="",E10,AC10),{0,1,10,50,100,1000,10000},{0,0.14,0.048,0.048,0.022,0.012,0.007}),"")</f>
        <v>0.14000000000000001</v>
      </c>
      <c r="AE10" s="9">
        <f t="shared" si="3"/>
        <v>0.56000000000000005</v>
      </c>
      <c r="AF10" s="10" t="s">
        <v>171</v>
      </c>
      <c r="AG10" s="8">
        <v>45298</v>
      </c>
      <c r="AI10" s="9">
        <f>IFERROR(LOOKUP(IF(AH10="",E10,AH10),{0,1,25,50,100,250,500,4000},{0,0.125,0.054,0.029,0.024,0.02,0.016,0.005}),"")</f>
        <v>0.125</v>
      </c>
      <c r="AJ10" s="9">
        <f t="shared" ref="AJ10:AJ15" si="4">IFERROR(IF(AH10="",E10,AH10)*AI10,"")</f>
        <v>0.5</v>
      </c>
      <c r="AK10" s="10" t="s">
        <v>191</v>
      </c>
      <c r="AQ10" s="8">
        <v>92800</v>
      </c>
      <c r="AS10" s="9">
        <f>IFERROR(USD_GBP*LOOKUP(IF(AR10="",E10,AR10),{0,1,100,300,1000,4000,20000},{0,0.01447,0.01447,0.00988,0.00609,0.00465,0.00449}),"")</f>
        <v>2.008146410902641E-2</v>
      </c>
      <c r="AT10" s="9">
        <f>IFERROR(IF(AR10="",E10,AR10)*AS10,"")</f>
        <v>8.0325856436105639E-2</v>
      </c>
      <c r="AU10" s="10" t="s">
        <v>23</v>
      </c>
    </row>
    <row r="11" spans="1:47" x14ac:dyDescent="0.2">
      <c r="A11" s="8" t="s">
        <v>24</v>
      </c>
      <c r="B11" s="8" t="s">
        <v>25</v>
      </c>
      <c r="C11" s="8" t="s">
        <v>26</v>
      </c>
      <c r="D11" s="8" t="s">
        <v>27</v>
      </c>
      <c r="E11" s="8">
        <f>BoardQty*4</f>
        <v>4</v>
      </c>
      <c r="F11" s="9">
        <f t="shared" ca="1" si="0"/>
        <v>0.24286497713058891</v>
      </c>
      <c r="G11" s="9">
        <f t="shared" ca="1" si="1"/>
        <v>0.97145990852235564</v>
      </c>
      <c r="M11" s="11" t="s">
        <v>135</v>
      </c>
      <c r="O11" s="9">
        <f>IFERROR(LOOKUP(IF(N11="",E11,N11),{0,1,10,50,100,500,1000,2000},{0,0.35,0.242,0.161,0.1368,0.0966,0.08452,0.0805}),"")</f>
        <v>0.35</v>
      </c>
      <c r="P11" s="9">
        <f t="shared" si="2"/>
        <v>1.4</v>
      </c>
      <c r="Q11" s="10" t="s">
        <v>134</v>
      </c>
      <c r="R11" s="11" t="s">
        <v>135</v>
      </c>
      <c r="T11" s="9">
        <f>IFERROR(USD_GBP*LOOKUP(IF(S11="",E11,S11),{0,1,5,50,150,250,500,1000,2000},{0,0.246,0.246,0.147,0.147,0.123,0.105,0.103,0.102}),"")</f>
        <v>0.34139876785214213</v>
      </c>
      <c r="U11" s="9">
        <f>IFERROR(IF(S11="",E11,S11)*T11,"")</f>
        <v>1.3655950714085685</v>
      </c>
      <c r="V11" s="10" t="s">
        <v>156</v>
      </c>
      <c r="AB11" s="8">
        <v>2858</v>
      </c>
      <c r="AD11" s="9">
        <f>IFERROR(LOOKUP(IF(AC11="",E11,AC11),{0,1,10,50,100,1000,10000},{0,1.27,0.9,0.9,0.568,0.466,0.455}),"")</f>
        <v>1.27</v>
      </c>
      <c r="AE11" s="9">
        <f t="shared" si="3"/>
        <v>5.08</v>
      </c>
      <c r="AF11" s="10" t="s">
        <v>172</v>
      </c>
      <c r="AG11" s="11" t="s">
        <v>135</v>
      </c>
      <c r="AI11" s="9">
        <f>IFERROR(LOOKUP(IF(AH11="",E11,AH11),{0,1,5,10,25,50,100,2000,4000,8000,12000},{0,1.59,1.59,1.13,0.986,0.849,0.71,0.308,0.304,0.3,0.296}),"")</f>
        <v>1.59</v>
      </c>
      <c r="AJ11" s="9">
        <f t="shared" si="4"/>
        <v>6.36</v>
      </c>
      <c r="AK11" s="10" t="s">
        <v>192</v>
      </c>
      <c r="AL11" s="8">
        <v>6150</v>
      </c>
      <c r="AN11" s="9">
        <f>IFERROR(USD_GBP*LOOKUP(IF(AM11="",E11,AM11),{0,1,25,250,1250},{0,0.175,0.175,0.079,0.056}),"")</f>
        <v>0.24286497713058891</v>
      </c>
      <c r="AO11" s="9">
        <f>IFERROR(IF(AM11="",E11,AM11)*AN11,"")</f>
        <v>0.97145990852235564</v>
      </c>
      <c r="AP11" s="10" t="s">
        <v>203</v>
      </c>
      <c r="AQ11" s="8">
        <v>1620</v>
      </c>
      <c r="AS11" s="9">
        <f>IFERROR(USD_GBP*LOOKUP(IF(AR11="",E11,AR11),{0,1,10,100,1000,2000,6000},{0,0.19925,0.19925,0.10136,0.06497,0.05692,0.05484}),"")</f>
        <v>0.27651912396154199</v>
      </c>
      <c r="AT11" s="9">
        <f>IFERROR(IF(AR11="",E11,AR11)*AS11,"")</f>
        <v>1.106076495846168</v>
      </c>
      <c r="AU11" s="10" t="s">
        <v>212</v>
      </c>
    </row>
    <row r="12" spans="1:47" x14ac:dyDescent="0.2">
      <c r="A12" s="8" t="s">
        <v>28</v>
      </c>
      <c r="B12" s="8" t="s">
        <v>29</v>
      </c>
      <c r="C12" s="8" t="s">
        <v>30</v>
      </c>
      <c r="D12" s="8" t="s">
        <v>31</v>
      </c>
      <c r="E12" s="8">
        <f>BoardQty*4</f>
        <v>4</v>
      </c>
      <c r="F12" s="9">
        <f t="shared" ca="1" si="0"/>
        <v>0.88541631662466136</v>
      </c>
      <c r="G12" s="9">
        <f t="shared" ca="1" si="1"/>
        <v>3.5416652664986454</v>
      </c>
      <c r="M12" s="8">
        <v>395</v>
      </c>
      <c r="O12" s="9">
        <f>IFERROR(LOOKUP(IF(N12="",E12,N12),{0,1,10,50,100,500},{0,2.1,1.697,1.481,1.2959,0.98736}),"")</f>
        <v>2.1</v>
      </c>
      <c r="P12" s="9">
        <f t="shared" si="2"/>
        <v>8.4</v>
      </c>
      <c r="Q12" s="10" t="s">
        <v>136</v>
      </c>
      <c r="R12" s="8">
        <v>612</v>
      </c>
      <c r="T12" s="9">
        <f>IFERROR(USD_GBP*LOOKUP(IF(S12="",E12,S12),{0,1,10,50,100,200,500},{0,2.03,1.36,1.12,0.979,0.959,0.94}),"")</f>
        <v>2.8172337347148311</v>
      </c>
      <c r="U12" s="9">
        <f>IFERROR(IF(S12="",E12,S12)*T12,"")</f>
        <v>11.268934938859324</v>
      </c>
      <c r="V12" s="10" t="s">
        <v>157</v>
      </c>
      <c r="AB12" s="8">
        <v>228</v>
      </c>
      <c r="AD12" s="9">
        <f>IFERROR(LOOKUP(IF(AC12="",E12,AC12),{0,1,10,50,100,1000,10000},{0,2.1,1.49,1.49,1.3,0.987,0.987}),"")</f>
        <v>2.1</v>
      </c>
      <c r="AE12" s="9">
        <f t="shared" si="3"/>
        <v>8.4</v>
      </c>
      <c r="AF12" s="10" t="s">
        <v>173</v>
      </c>
      <c r="AG12" s="8">
        <v>612</v>
      </c>
      <c r="AI12" s="9">
        <f>IFERROR(LOOKUP(IF(AH12="",E12,AH12),{0,1,10,25,50,100,500},{0,2.52,2.09,1.9,1.73,1.55,0.825}),"")</f>
        <v>2.52</v>
      </c>
      <c r="AJ12" s="9">
        <f t="shared" si="4"/>
        <v>10.08</v>
      </c>
      <c r="AK12" s="10" t="s">
        <v>193</v>
      </c>
      <c r="AL12" s="8">
        <v>60</v>
      </c>
      <c r="AN12" s="9">
        <f>IFERROR(USD_GBP*LOOKUP(IF(AM12="",E12,AM12),{0,1,500,1500},{0,0.638,0.638,0.56}),"")</f>
        <v>0.88541631662466136</v>
      </c>
      <c r="AO12" s="9">
        <f>IFERROR(IF(AM12="",E12,AM12)*AN12,"")</f>
        <v>3.5416652664986454</v>
      </c>
      <c r="AP12" s="10" t="s">
        <v>204</v>
      </c>
    </row>
    <row r="13" spans="1:47" x14ac:dyDescent="0.2">
      <c r="A13" s="8" t="s">
        <v>32</v>
      </c>
      <c r="B13" s="8" t="s">
        <v>33</v>
      </c>
      <c r="C13" s="8" t="s">
        <v>34</v>
      </c>
      <c r="D13" s="8" t="s">
        <v>35</v>
      </c>
      <c r="E13" s="8">
        <f>BoardQty*11</f>
        <v>11</v>
      </c>
      <c r="F13" s="9">
        <f t="shared" ca="1" si="0"/>
        <v>0.28999999999999998</v>
      </c>
      <c r="G13" s="9">
        <f t="shared" ca="1" si="1"/>
        <v>3.19</v>
      </c>
      <c r="M13" s="8">
        <v>6204</v>
      </c>
      <c r="O13" s="9">
        <f>IFERROR(LOOKUP(IF(N13="",E13,N13),{0,1,10,50,100,500,1000,2000},{0,0.69,0.512,0.4094,0.3509,0.27776,0.2339,0.21929}),"")</f>
        <v>0.51200000000000001</v>
      </c>
      <c r="P13" s="9">
        <f t="shared" si="2"/>
        <v>5.6319999999999997</v>
      </c>
      <c r="Q13" s="10" t="s">
        <v>137</v>
      </c>
      <c r="AB13" s="8">
        <v>2025</v>
      </c>
      <c r="AD13" s="9">
        <f>IFERROR(LOOKUP(IF(AC13="",E13,AC13),{0,1,10,50,100,1000,10000},{0,0.73,0.535,0.535,0.366,0.244,0.222}),"")</f>
        <v>0.53500000000000003</v>
      </c>
      <c r="AE13" s="9">
        <f t="shared" si="3"/>
        <v>5.8850000000000007</v>
      </c>
      <c r="AF13" s="10" t="s">
        <v>174</v>
      </c>
      <c r="AG13" s="11" t="s">
        <v>135</v>
      </c>
      <c r="AI13" s="9">
        <f>IFERROR(LOOKUP(IF(AH13="",E13,AH13),{0,1,2000},{0,0.29,0.29}),"")</f>
        <v>0.28999999999999998</v>
      </c>
      <c r="AJ13" s="9">
        <f t="shared" si="4"/>
        <v>3.19</v>
      </c>
      <c r="AK13" s="10" t="s">
        <v>194</v>
      </c>
    </row>
    <row r="14" spans="1:47" x14ac:dyDescent="0.2">
      <c r="A14" s="8" t="s">
        <v>36</v>
      </c>
      <c r="B14" s="8" t="s">
        <v>37</v>
      </c>
      <c r="C14" s="8" t="s">
        <v>38</v>
      </c>
      <c r="D14" s="8" t="s">
        <v>39</v>
      </c>
      <c r="E14" s="8">
        <f>BoardQty*4</f>
        <v>4</v>
      </c>
      <c r="F14" s="9">
        <f t="shared" ca="1" si="0"/>
        <v>0.14187478064034345</v>
      </c>
      <c r="G14" s="9">
        <f t="shared" ca="1" si="1"/>
        <v>0.5674991225613738</v>
      </c>
      <c r="M14" s="11" t="s">
        <v>135</v>
      </c>
      <c r="O14" s="9">
        <f>IFERROR(LOOKUP(IF(N14="",E14,N14),{0,1,10,100,500,1800,3600,5400,12600},{0,0.41,0.329,0.2239,0.1679,0.12593,0.11543,0.10844,0.10621}),"")</f>
        <v>0.41</v>
      </c>
      <c r="P14" s="9">
        <f t="shared" si="2"/>
        <v>1.64</v>
      </c>
      <c r="Q14" s="10" t="s">
        <v>138</v>
      </c>
      <c r="R14" s="11" t="s">
        <v>135</v>
      </c>
      <c r="T14" s="9">
        <f>IFERROR(USD_GBP*LOOKUP(IF(S14="",E14,S14),{0,1,5,10,100,150,500,1000},{0,0.426,0.426,0.295,0.176,0.176,0.159,0.105}),"")</f>
        <v>0.5912027443293193</v>
      </c>
      <c r="U14" s="9">
        <f>IFERROR(IF(S14="",E14,S14)*T14,"")</f>
        <v>2.3648109773172772</v>
      </c>
      <c r="V14" s="10" t="s">
        <v>158</v>
      </c>
      <c r="AB14" s="11" t="s">
        <v>135</v>
      </c>
      <c r="AD14" s="9">
        <f>IFERROR(LOOKUP(IF(AC14="",E14,AC14),{0,1,10,50,100,1000,10000},{0,0.4,0.329,0.329,0.224,0.126,0.101}),"")</f>
        <v>0.4</v>
      </c>
      <c r="AE14" s="9">
        <f t="shared" si="3"/>
        <v>1.6</v>
      </c>
      <c r="AF14" s="10" t="s">
        <v>175</v>
      </c>
      <c r="AG14" s="11" t="s">
        <v>135</v>
      </c>
      <c r="AI14" s="9">
        <f>IFERROR(LOOKUP(IF(AH14="",E14,AH14),{0,1,5,10,25,50,100,250,500,1000,7200,14400,21600,36000,72000},{0,0.465,0.465,0.328,0.296,0.263,0.231,0.211,0.19,0.15,0.14,0.136,0.131,0.128,0.126}),"")</f>
        <v>0.46500000000000002</v>
      </c>
      <c r="AJ14" s="9">
        <f t="shared" si="4"/>
        <v>1.86</v>
      </c>
      <c r="AK14" s="10" t="s">
        <v>195</v>
      </c>
      <c r="AQ14" s="8">
        <v>380</v>
      </c>
      <c r="AS14" s="9">
        <f>IFERROR(USD_GBP*LOOKUP(IF(AR14="",E14,AR14),{0,1,10,100,500,1800},{0,0.10223,0.10223,0.09183,0.081,0.07277}),"")</f>
        <v>0.14187478064034345</v>
      </c>
      <c r="AT14" s="9">
        <f>IFERROR(IF(AR14="",E14,AR14)*AS14,"")</f>
        <v>0.5674991225613738</v>
      </c>
      <c r="AU14" s="10" t="s">
        <v>213</v>
      </c>
    </row>
    <row r="15" spans="1:47" x14ac:dyDescent="0.2">
      <c r="A15" s="8" t="s">
        <v>40</v>
      </c>
      <c r="B15" s="8" t="s">
        <v>41</v>
      </c>
      <c r="C15" s="8" t="s">
        <v>42</v>
      </c>
      <c r="D15" s="8" t="s">
        <v>43</v>
      </c>
      <c r="E15" s="8">
        <f>BoardQty*6</f>
        <v>6</v>
      </c>
      <c r="F15" s="9">
        <f t="shared" ca="1" si="0"/>
        <v>2.8299999999999999E-2</v>
      </c>
      <c r="G15" s="9">
        <f t="shared" ca="1" si="1"/>
        <v>0.16980000000000001</v>
      </c>
      <c r="M15" s="11" t="s">
        <v>135</v>
      </c>
      <c r="O15" s="9">
        <f>IFERROR(LOOKUP(IF(N15="",E15,N15),{0,1,10,100,500,1000,3000,6000,15000,30000,75000},{0,0.17,0.159,0.0865,0.05324,0.0363,0.03085,0.02783,0.0242,0.02178,0.01936}),"")</f>
        <v>0.17</v>
      </c>
      <c r="P15" s="9">
        <f t="shared" si="2"/>
        <v>1.02</v>
      </c>
      <c r="Q15" s="10" t="s">
        <v>139</v>
      </c>
      <c r="R15" s="8">
        <v>99699</v>
      </c>
      <c r="T15" s="9">
        <f>IFERROR(USD_GBP*LOOKUP(IF(S15="",E15,S15),{0,1,5,10,100,150,500,1000},{0,0.175,0.175,0.15,0.0621,0.0621,0.0463,0.0238}),"")</f>
        <v>0.24286497713058891</v>
      </c>
      <c r="U15" s="9">
        <f>IFERROR(IF(S15="",E15,S15)*T15,"")</f>
        <v>1.4571898627835336</v>
      </c>
      <c r="V15" s="10" t="s">
        <v>159</v>
      </c>
      <c r="W15" s="8">
        <v>71420</v>
      </c>
      <c r="Y15" s="9">
        <f>IFERROR(LOOKUP(IF(X15="",E15,X15),{0,1,20,200,600,2000,10000,20000},{0,0.0283,0.0283,0.022,0.0204,0.0184,0.0174,0.0173}),"")</f>
        <v>2.8299999999999999E-2</v>
      </c>
      <c r="Z15" s="9">
        <f>IFERROR(IF(X15="",E15,X15)*Y15,"")</f>
        <v>0.16980000000000001</v>
      </c>
      <c r="AA15" s="10" t="s">
        <v>166</v>
      </c>
      <c r="AB15" s="11" t="s">
        <v>135</v>
      </c>
      <c r="AD15" s="9">
        <f>IFERROR(LOOKUP(IF(AC15="",E15,AC15),{0,1,10,50,100,1000,10000},{0,0.17,0.159,0.159,0.087,0.037,0.024}),"")</f>
        <v>0.17</v>
      </c>
      <c r="AE15" s="9">
        <f t="shared" si="3"/>
        <v>1.02</v>
      </c>
      <c r="AF15" s="10" t="s">
        <v>176</v>
      </c>
      <c r="AG15" s="8">
        <v>1314000</v>
      </c>
      <c r="AI15" s="9">
        <f>IFERROR(LOOKUP(IF(AH15="",E15,AH15),{0,1,10,25,50,100,250,500,1000,3000},{0,0.173,0.162,0.128,0.093,0.059,0.053,0.046,0.04,0.011}),"")</f>
        <v>0.17299999999999999</v>
      </c>
      <c r="AJ15" s="9">
        <f t="shared" si="4"/>
        <v>1.0379999999999998</v>
      </c>
      <c r="AK15" s="10" t="s">
        <v>196</v>
      </c>
      <c r="AL15" s="8">
        <v>42800</v>
      </c>
      <c r="AN15" s="9">
        <f>IFERROR(USD_GBP*LOOKUP(IF(AM15="",E15,AM15),{0,1,200,1000,2000,5000,10000},{0,0.047,0.047,0.043,0.041,0.04,0.04}),"")</f>
        <v>6.5226593857929602E-2</v>
      </c>
      <c r="AO15" s="9">
        <f>IFERROR(IF(AM15="",E15,AM15)*AN15,"")</f>
        <v>0.39135956314757758</v>
      </c>
      <c r="AP15" s="10" t="s">
        <v>205</v>
      </c>
      <c r="AQ15" s="11" t="s">
        <v>135</v>
      </c>
      <c r="AS15" s="9">
        <f>IFERROR(USD_GBP*LOOKUP(IF(AR15="",E15,AR15),{0,1,25,100,500,1000,3000},{0,0.0243,0.0243,0.0134,0.0108,0.0101,0.0091}),"")</f>
        <v>3.372353682441892E-2</v>
      </c>
      <c r="AT15" s="9">
        <f>IFERROR(IF(AR15="",E15,AR15)*AS15,"")</f>
        <v>0.20234122094651352</v>
      </c>
      <c r="AU15" s="10" t="s">
        <v>214</v>
      </c>
    </row>
    <row r="16" spans="1:47" x14ac:dyDescent="0.2">
      <c r="A16" s="8" t="s">
        <v>44</v>
      </c>
      <c r="B16" s="8" t="s">
        <v>45</v>
      </c>
      <c r="C16" s="8" t="s">
        <v>46</v>
      </c>
      <c r="E16" s="8">
        <f>BoardQty*4</f>
        <v>4</v>
      </c>
      <c r="F16" s="9">
        <f t="shared" ca="1" si="0"/>
        <v>0</v>
      </c>
      <c r="G16" s="9">
        <f t="shared" ca="1" si="1"/>
        <v>0</v>
      </c>
    </row>
    <row r="17" spans="1:42" x14ac:dyDescent="0.2">
      <c r="A17" s="8" t="s">
        <v>47</v>
      </c>
      <c r="B17" s="8" t="s">
        <v>48</v>
      </c>
      <c r="C17" s="8" t="s">
        <v>49</v>
      </c>
      <c r="D17" s="8" t="s">
        <v>50</v>
      </c>
      <c r="E17" s="8">
        <f>BoardQty*3</f>
        <v>3</v>
      </c>
      <c r="F17" s="9">
        <f t="shared" ca="1" si="0"/>
        <v>1.47</v>
      </c>
      <c r="G17" s="9">
        <f t="shared" ca="1" si="1"/>
        <v>4.41</v>
      </c>
      <c r="M17" s="8">
        <v>2440</v>
      </c>
      <c r="O17" s="9">
        <f>IFERROR(LOOKUP(IF(N17="",E17,N17),{0,1,10,25,50,100,250,500,1000,5000},{0,1.52,1.443,1.4048,1.367,1.291,1.21508,1.13912,1.06319,1.02522}),"")</f>
        <v>1.52</v>
      </c>
      <c r="P17" s="9">
        <f>IFERROR(IF(N17="",E17,N17)*O17,"")</f>
        <v>4.5600000000000005</v>
      </c>
      <c r="Q17" s="10" t="s">
        <v>140</v>
      </c>
      <c r="R17" s="8">
        <v>2498</v>
      </c>
      <c r="T17" s="9">
        <f>IFERROR(USD_GBP*LOOKUP(IF(S17="",E17,S17),{0,1,10,25,50,100,250,500,1000},{0,1.42,1.36,1.32,1.29,1.22,1.15,1.08,1.01}),"")</f>
        <v>1.9706758144310643</v>
      </c>
      <c r="U17" s="9">
        <f>IFERROR(IF(S17="",E17,S17)*T17,"")</f>
        <v>5.9120274432931925</v>
      </c>
      <c r="V17" s="10" t="s">
        <v>160</v>
      </c>
      <c r="AB17" s="8">
        <v>767</v>
      </c>
      <c r="AD17" s="9">
        <f>IFERROR(LOOKUP(IF(AC17="",E17,AC17),{0,1,10,50,100,1000,10000},{0,1.47,1.39,1.32,1.25,1.03,0.995}),"")</f>
        <v>1.47</v>
      </c>
      <c r="AE17" s="9">
        <f>IFERROR(IF(AC17="",E17,AC17)*AD17,"")</f>
        <v>4.41</v>
      </c>
      <c r="AF17" s="10" t="s">
        <v>177</v>
      </c>
      <c r="AG17" s="8">
        <v>2498</v>
      </c>
      <c r="AI17" s="9">
        <f>IFERROR(LOOKUP(IF(AH17="",E17,AH17),{0,1,10,25,50,100,250,500,1000},{0,2.77,2.65,2.58,2.51,2.39,2.25,2.11,1.97}),"")</f>
        <v>2.77</v>
      </c>
      <c r="AJ17" s="9">
        <f>IFERROR(IF(AH17="",E17,AH17)*AI17,"")</f>
        <v>8.31</v>
      </c>
      <c r="AK17" s="10" t="s">
        <v>197</v>
      </c>
    </row>
    <row r="18" spans="1:42" x14ac:dyDescent="0.2">
      <c r="A18" s="8" t="s">
        <v>51</v>
      </c>
      <c r="B18" s="8" t="s">
        <v>52</v>
      </c>
      <c r="C18" s="8" t="s">
        <v>53</v>
      </c>
      <c r="E18" s="8">
        <f>BoardQty*2</f>
        <v>2</v>
      </c>
      <c r="F18" s="9">
        <f t="shared" ca="1" si="0"/>
        <v>0</v>
      </c>
      <c r="G18" s="9">
        <f t="shared" ca="1" si="1"/>
        <v>0</v>
      </c>
    </row>
    <row r="19" spans="1:42" x14ac:dyDescent="0.2">
      <c r="A19" s="8" t="s">
        <v>54</v>
      </c>
      <c r="B19" s="8" t="s">
        <v>55</v>
      </c>
      <c r="C19" s="8" t="s">
        <v>56</v>
      </c>
      <c r="E19" s="8">
        <f t="shared" ref="E19:E24" si="5">BoardQty*1</f>
        <v>1</v>
      </c>
      <c r="F19" s="9">
        <f t="shared" ca="1" si="0"/>
        <v>0</v>
      </c>
      <c r="G19" s="9">
        <f t="shared" ca="1" si="1"/>
        <v>0</v>
      </c>
    </row>
    <row r="20" spans="1:42" x14ac:dyDescent="0.2">
      <c r="A20" s="8" t="s">
        <v>57</v>
      </c>
      <c r="B20" s="8" t="s">
        <v>58</v>
      </c>
      <c r="C20" s="8" t="s">
        <v>53</v>
      </c>
      <c r="E20" s="8">
        <f t="shared" si="5"/>
        <v>1</v>
      </c>
      <c r="F20" s="9">
        <f t="shared" ca="1" si="0"/>
        <v>0</v>
      </c>
      <c r="G20" s="9">
        <f t="shared" ca="1" si="1"/>
        <v>0</v>
      </c>
    </row>
    <row r="21" spans="1:42" x14ac:dyDescent="0.2">
      <c r="A21" s="8" t="s">
        <v>59</v>
      </c>
      <c r="B21" s="8" t="s">
        <v>60</v>
      </c>
      <c r="C21" s="8" t="s">
        <v>53</v>
      </c>
      <c r="E21" s="8">
        <f t="shared" si="5"/>
        <v>1</v>
      </c>
      <c r="F21" s="9">
        <f t="shared" ca="1" si="0"/>
        <v>0</v>
      </c>
      <c r="G21" s="9">
        <f t="shared" ca="1" si="1"/>
        <v>0</v>
      </c>
    </row>
    <row r="22" spans="1:42" x14ac:dyDescent="0.2">
      <c r="A22" s="8" t="s">
        <v>61</v>
      </c>
      <c r="B22" s="8" t="s">
        <v>62</v>
      </c>
      <c r="C22" s="8" t="s">
        <v>53</v>
      </c>
      <c r="E22" s="8">
        <f t="shared" si="5"/>
        <v>1</v>
      </c>
      <c r="F22" s="9">
        <f t="shared" ca="1" si="0"/>
        <v>0</v>
      </c>
      <c r="G22" s="9">
        <f t="shared" ca="1" si="1"/>
        <v>0</v>
      </c>
    </row>
    <row r="23" spans="1:42" x14ac:dyDescent="0.2">
      <c r="A23" s="8" t="s">
        <v>63</v>
      </c>
      <c r="B23" s="8" t="s">
        <v>64</v>
      </c>
      <c r="C23" s="8" t="s">
        <v>53</v>
      </c>
      <c r="E23" s="8">
        <f t="shared" si="5"/>
        <v>1</v>
      </c>
      <c r="F23" s="9">
        <f t="shared" ca="1" si="0"/>
        <v>0</v>
      </c>
      <c r="G23" s="9">
        <f t="shared" ca="1" si="1"/>
        <v>0</v>
      </c>
    </row>
    <row r="24" spans="1:42" x14ac:dyDescent="0.2">
      <c r="A24" s="8" t="s">
        <v>65</v>
      </c>
      <c r="B24" s="8" t="s">
        <v>66</v>
      </c>
      <c r="C24" s="8" t="s">
        <v>56</v>
      </c>
      <c r="E24" s="8">
        <f t="shared" si="5"/>
        <v>1</v>
      </c>
      <c r="F24" s="9">
        <f t="shared" ca="1" si="0"/>
        <v>0</v>
      </c>
      <c r="G24" s="9">
        <f t="shared" ca="1" si="1"/>
        <v>0</v>
      </c>
    </row>
    <row r="25" spans="1:42" x14ac:dyDescent="0.2">
      <c r="A25" s="8" t="s">
        <v>67</v>
      </c>
      <c r="B25" s="8" t="s">
        <v>64</v>
      </c>
      <c r="C25" s="8" t="s">
        <v>56</v>
      </c>
      <c r="E25" s="8">
        <f>BoardQty*4</f>
        <v>4</v>
      </c>
      <c r="F25" s="9">
        <f t="shared" ca="1" si="0"/>
        <v>0</v>
      </c>
      <c r="G25" s="9">
        <f t="shared" ca="1" si="1"/>
        <v>0</v>
      </c>
    </row>
    <row r="26" spans="1:42" x14ac:dyDescent="0.2">
      <c r="A26" s="8" t="s">
        <v>68</v>
      </c>
      <c r="B26" s="8" t="s">
        <v>69</v>
      </c>
      <c r="C26" s="8" t="s">
        <v>56</v>
      </c>
      <c r="E26" s="8">
        <f>BoardQty*1</f>
        <v>1</v>
      </c>
      <c r="F26" s="9">
        <f t="shared" ca="1" si="0"/>
        <v>0</v>
      </c>
      <c r="G26" s="9">
        <f t="shared" ca="1" si="1"/>
        <v>0</v>
      </c>
    </row>
    <row r="27" spans="1:42" x14ac:dyDescent="0.2">
      <c r="A27" s="8" t="s">
        <v>70</v>
      </c>
      <c r="B27" s="8" t="s">
        <v>71</v>
      </c>
      <c r="C27" s="8" t="s">
        <v>56</v>
      </c>
      <c r="E27" s="8">
        <f>BoardQty*2</f>
        <v>2</v>
      </c>
      <c r="F27" s="9">
        <f t="shared" ca="1" si="0"/>
        <v>0</v>
      </c>
      <c r="G27" s="9">
        <f t="shared" ca="1" si="1"/>
        <v>0</v>
      </c>
    </row>
    <row r="28" spans="1:42" x14ac:dyDescent="0.2">
      <c r="A28" s="8" t="s">
        <v>72</v>
      </c>
      <c r="B28" s="8" t="s">
        <v>73</v>
      </c>
      <c r="C28" s="8" t="s">
        <v>56</v>
      </c>
      <c r="E28" s="8">
        <f>BoardQty*1</f>
        <v>1</v>
      </c>
      <c r="F28" s="9">
        <f t="shared" ca="1" si="0"/>
        <v>0</v>
      </c>
      <c r="G28" s="9">
        <f t="shared" ca="1" si="1"/>
        <v>0</v>
      </c>
    </row>
    <row r="29" spans="1:42" x14ac:dyDescent="0.2">
      <c r="A29" s="8" t="s">
        <v>74</v>
      </c>
      <c r="B29" s="8" t="s">
        <v>75</v>
      </c>
      <c r="C29" s="8" t="s">
        <v>76</v>
      </c>
      <c r="D29" s="8" t="s">
        <v>77</v>
      </c>
      <c r="E29" s="8">
        <f>BoardQty*2</f>
        <v>2</v>
      </c>
      <c r="F29" s="9">
        <f t="shared" ca="1" si="0"/>
        <v>6.938999346588255E-3</v>
      </c>
      <c r="G29" s="9">
        <f t="shared" ca="1" si="1"/>
        <v>1.387799869317651E-2</v>
      </c>
      <c r="M29" s="8">
        <v>4012</v>
      </c>
      <c r="O29" s="9">
        <f>IFERROR(LOOKUP(IF(N29="",E29,N29),{0,1,10,100,1000,2500,5000,10000,25000,50000},{0,0.1,0.056,0.0227,0.0102,0.00886,0.00732,0.00635,0.00558,0.00524}),"")</f>
        <v>0.1</v>
      </c>
      <c r="P29" s="9">
        <f t="shared" ref="P29:P39" si="6">IFERROR(IF(N29="",E29,N29)*O29,"")</f>
        <v>0.2</v>
      </c>
      <c r="Q29" s="10" t="s">
        <v>141</v>
      </c>
      <c r="AB29" s="8">
        <v>1966</v>
      </c>
      <c r="AD29" s="9">
        <f>IFERROR(LOOKUP(IF(AC29="",E29,AC29),{0,1,10,50,100,1000,10000},{0,0.19,0.046,0.046,0.015,0.011,0.007}),"")</f>
        <v>0.19</v>
      </c>
      <c r="AE29" s="9">
        <f>IFERROR(IF(AC29="",E29,AC29)*AD29,"")</f>
        <v>0.38</v>
      </c>
      <c r="AF29" s="10" t="s">
        <v>178</v>
      </c>
      <c r="AL29" s="8">
        <v>4850</v>
      </c>
      <c r="AN29" s="9">
        <f>IFERROR(USD_GBP*LOOKUP(IF(AM29="",E29,AM29),{0,1,5000},{0,0.005,0.005}),"")</f>
        <v>6.938999346588255E-3</v>
      </c>
      <c r="AO29" s="9">
        <f>IFERROR(IF(AM29="",E29,AM29)*AN29,"")</f>
        <v>1.387799869317651E-2</v>
      </c>
      <c r="AP29" s="10" t="s">
        <v>206</v>
      </c>
    </row>
    <row r="30" spans="1:42" x14ac:dyDescent="0.2">
      <c r="A30" s="8" t="s">
        <v>78</v>
      </c>
      <c r="B30" s="8" t="s">
        <v>79</v>
      </c>
      <c r="C30" s="8" t="s">
        <v>80</v>
      </c>
      <c r="D30" s="8" t="s">
        <v>81</v>
      </c>
      <c r="E30" s="8">
        <f>BoardQty*1</f>
        <v>1</v>
      </c>
      <c r="F30" s="9">
        <f t="shared" ca="1" si="0"/>
        <v>0.31</v>
      </c>
      <c r="G30" s="9">
        <f t="shared" ca="1" si="1"/>
        <v>0.31</v>
      </c>
      <c r="M30" s="8">
        <v>1250</v>
      </c>
      <c r="O30" s="9">
        <f>IFERROR(LOOKUP(IF(N30="",E30,N30),{0,1,10,25,50,100,250,500,1000,2500,5000,12500,25000},{0,0.31,0.26,0.1892,0.1372,0.1017,0.078,0.06146,0.04255,0.03901,0.03546,0.0331,0.03144}),"")</f>
        <v>0.31</v>
      </c>
      <c r="P30" s="9">
        <f t="shared" si="6"/>
        <v>0.31</v>
      </c>
      <c r="Q30" s="10" t="s">
        <v>142</v>
      </c>
      <c r="AB30" s="11" t="s">
        <v>135</v>
      </c>
      <c r="AD30" s="9">
        <f>IFERROR(LOOKUP(IF(AC30="",E30,AC30),{0,1,10,50,100,1000,10000},{0,0.36,0.223,0.223,0.073,0.051,0.036}),"")</f>
        <v>0.36</v>
      </c>
      <c r="AE30" s="9">
        <f>IFERROR(IF(AC30="",E30,AC30)*AD30,"")</f>
        <v>0.36</v>
      </c>
      <c r="AF30" s="10" t="s">
        <v>179</v>
      </c>
    </row>
    <row r="31" spans="1:42" x14ac:dyDescent="0.2">
      <c r="A31" s="8" t="s">
        <v>82</v>
      </c>
      <c r="B31" s="8" t="s">
        <v>83</v>
      </c>
      <c r="C31" s="8" t="s">
        <v>76</v>
      </c>
      <c r="D31" s="8" t="s">
        <v>84</v>
      </c>
      <c r="E31" s="8">
        <f>BoardQty*2</f>
        <v>2</v>
      </c>
      <c r="F31" s="9">
        <f t="shared" ca="1" si="0"/>
        <v>2.0816998039764764E-2</v>
      </c>
      <c r="G31" s="9">
        <f t="shared" ca="1" si="1"/>
        <v>4.1633996079529528E-2</v>
      </c>
      <c r="M31" s="8">
        <v>15462</v>
      </c>
      <c r="O31" s="9">
        <f>IFERROR(LOOKUP(IF(N31="",E31,N31),{0,1,10,100,1000,2500,5000,10000,25000},{0,0.13,0.121,0.0465,0.02046,0.01767,0.018,0.0168,0.01632}),"")</f>
        <v>0.13</v>
      </c>
      <c r="P31" s="9">
        <f t="shared" si="6"/>
        <v>0.26</v>
      </c>
      <c r="Q31" s="10" t="s">
        <v>143</v>
      </c>
      <c r="R31" s="8">
        <v>4341</v>
      </c>
      <c r="T31" s="9">
        <f>IFERROR(USD_GBP*LOOKUP(IF(S31="",E31,S31),{0,1,10,100,150,500,1000,2500},{0,0.117,0.117,0.0563,0.0563,0.053,0.0277,0.0256}),"")</f>
        <v>0.16237258471016516</v>
      </c>
      <c r="U31" s="9">
        <f>IFERROR(IF(S31="",E31,S31)*T31,"")</f>
        <v>0.32474516942033033</v>
      </c>
      <c r="V31" s="10" t="s">
        <v>161</v>
      </c>
      <c r="AB31" s="8">
        <v>4177</v>
      </c>
      <c r="AD31" s="9">
        <f>IFERROR(LOOKUP(IF(AC31="",E31,AC31),{0,1,10,50,100,1000,10000},{0,0.13,0.121,0.121,0.046,0.02,0.016}),"")</f>
        <v>0.13</v>
      </c>
      <c r="AE31" s="9">
        <f>IFERROR(IF(AC31="",E31,AC31)*AD31,"")</f>
        <v>0.26</v>
      </c>
      <c r="AF31" s="10" t="s">
        <v>180</v>
      </c>
      <c r="AG31" s="8">
        <v>4270</v>
      </c>
      <c r="AI31" s="9">
        <f>IFERROR(LOOKUP(IF(AH31="",E31,AH31),{0,1,10,25,50,100,5000,10000},{0,0.151,0.151,0.12,0.089,0.058,0.017,0.016}),"")</f>
        <v>0.151</v>
      </c>
      <c r="AJ31" s="9">
        <f>IFERROR(IF(AH31="",E31,AH31)*AI31,"")</f>
        <v>0.30199999999999999</v>
      </c>
      <c r="AK31" s="10" t="s">
        <v>198</v>
      </c>
      <c r="AL31" s="8">
        <v>4200</v>
      </c>
      <c r="AN31" s="9">
        <f>IFERROR(USD_GBP*LOOKUP(IF(AM31="",E31,AM31),{0,1,5000},{0,0.015,0.015}),"")</f>
        <v>2.0816998039764764E-2</v>
      </c>
      <c r="AO31" s="9">
        <f>IFERROR(IF(AM31="",E31,AM31)*AN31,"")</f>
        <v>4.1633996079529528E-2</v>
      </c>
      <c r="AP31" s="10" t="s">
        <v>207</v>
      </c>
    </row>
    <row r="32" spans="1:42" x14ac:dyDescent="0.2">
      <c r="A32" s="8" t="s">
        <v>85</v>
      </c>
      <c r="B32" s="8" t="s">
        <v>86</v>
      </c>
      <c r="C32" s="8" t="s">
        <v>76</v>
      </c>
      <c r="D32" s="8" t="s">
        <v>87</v>
      </c>
      <c r="E32" s="8">
        <f>BoardQty*1</f>
        <v>1</v>
      </c>
      <c r="F32" s="9">
        <f t="shared" ca="1" si="0"/>
        <v>0.1</v>
      </c>
      <c r="G32" s="9">
        <f t="shared" ca="1" si="1"/>
        <v>0.1</v>
      </c>
      <c r="M32" s="8">
        <v>14378</v>
      </c>
      <c r="O32" s="9">
        <f>IFERROR(LOOKUP(IF(N32="",E32,N32),{0,1,10,100,1000,2500,5000,10000,25000,50000},{0,0.1,0.058,0.0236,0.0106,0.0092,0.0076,0.0066,0.0058,0.00544}),"")</f>
        <v>0.1</v>
      </c>
      <c r="P32" s="9">
        <f t="shared" si="6"/>
        <v>0.1</v>
      </c>
      <c r="Q32" s="10" t="s">
        <v>144</v>
      </c>
    </row>
    <row r="33" spans="1:47" x14ac:dyDescent="0.2">
      <c r="A33" s="8" t="s">
        <v>88</v>
      </c>
      <c r="B33" s="8" t="s">
        <v>89</v>
      </c>
      <c r="C33" s="8" t="s">
        <v>76</v>
      </c>
      <c r="D33" s="8" t="s">
        <v>90</v>
      </c>
      <c r="E33" s="8">
        <f>BoardQty*1</f>
        <v>1</v>
      </c>
      <c r="F33" s="9">
        <f t="shared" ca="1" si="0"/>
        <v>0.1</v>
      </c>
      <c r="G33" s="9">
        <f t="shared" ca="1" si="1"/>
        <v>0.1</v>
      </c>
      <c r="M33" s="8">
        <v>9465</v>
      </c>
      <c r="O33" s="9">
        <f>IFERROR(LOOKUP(IF(N33="",E33,N33),{0,1,10,100,1000,2500,5000,10000,25000,50000},{0,0.1,0.056,0.0227,0.0102,0.00886,0.00732,0.00635,0.00558,0.00512}),"")</f>
        <v>0.1</v>
      </c>
      <c r="P33" s="9">
        <f t="shared" si="6"/>
        <v>0.1</v>
      </c>
      <c r="Q33" s="10" t="s">
        <v>145</v>
      </c>
      <c r="AB33" s="8">
        <v>17521</v>
      </c>
      <c r="AD33" s="9">
        <f>IFERROR(LOOKUP(IF(AC33="",E33,AC33),{0,1,10,50,100,1000,10000},{0,0.19,0.046,0.046,0.015,0.011,0.007}),"")</f>
        <v>0.19</v>
      </c>
      <c r="AE33" s="9">
        <f t="shared" ref="AE33:AE39" si="7">IFERROR(IF(AC33="",E33,AC33)*AD33,"")</f>
        <v>0.19</v>
      </c>
      <c r="AF33" s="10" t="s">
        <v>181</v>
      </c>
    </row>
    <row r="34" spans="1:47" x14ac:dyDescent="0.2">
      <c r="A34" s="8" t="s">
        <v>91</v>
      </c>
      <c r="B34" s="8" t="s">
        <v>92</v>
      </c>
      <c r="C34" s="8" t="s">
        <v>76</v>
      </c>
      <c r="D34" s="8" t="s">
        <v>93</v>
      </c>
      <c r="E34" s="8">
        <f>BoardQty*3</f>
        <v>3</v>
      </c>
      <c r="F34" s="9">
        <f t="shared" ca="1" si="0"/>
        <v>0.1</v>
      </c>
      <c r="G34" s="9">
        <f t="shared" ca="1" si="1"/>
        <v>0.30000000000000004</v>
      </c>
      <c r="M34" s="8">
        <v>990</v>
      </c>
      <c r="O34" s="9">
        <f>IFERROR(LOOKUP(IF(N34="",E34,N34),{0,1,10,100,1000,2500,5000,10000,25000,50000},{0,0.1,0.056,0.0227,0.0102,0.00886,0.00732,0.00635,0.00558,0.00524}),"")</f>
        <v>0.1</v>
      </c>
      <c r="P34" s="9">
        <f t="shared" si="6"/>
        <v>0.30000000000000004</v>
      </c>
      <c r="Q34" s="10" t="s">
        <v>146</v>
      </c>
      <c r="AB34" s="8">
        <v>3482</v>
      </c>
      <c r="AD34" s="9">
        <f>IFERROR(LOOKUP(IF(AC34="",E34,AC34),{0,1,10,50,100,1000,10000},{0,0.19,0.046,0.046,0.015,0.011,0.007}),"")</f>
        <v>0.19</v>
      </c>
      <c r="AE34" s="9">
        <f t="shared" si="7"/>
        <v>0.57000000000000006</v>
      </c>
      <c r="AF34" s="10" t="s">
        <v>182</v>
      </c>
    </row>
    <row r="35" spans="1:47" x14ac:dyDescent="0.2">
      <c r="A35" s="8" t="s">
        <v>94</v>
      </c>
      <c r="B35" s="8" t="s">
        <v>95</v>
      </c>
      <c r="C35" s="8" t="s">
        <v>76</v>
      </c>
      <c r="D35" s="8" t="s">
        <v>96</v>
      </c>
      <c r="E35" s="8">
        <f>BoardQty*2</f>
        <v>2</v>
      </c>
      <c r="F35" s="9">
        <f t="shared" ca="1" si="0"/>
        <v>0.1</v>
      </c>
      <c r="G35" s="9">
        <f t="shared" ca="1" si="1"/>
        <v>0.2</v>
      </c>
      <c r="M35" s="8">
        <v>4366</v>
      </c>
      <c r="O35" s="9">
        <f>IFERROR(LOOKUP(IF(N35="",E35,N35),{0,1,10,100,1000,2500,5000,10000,25000,50000},{0,0.1,0.056,0.0227,0.0102,0.00886,0.00732,0.00635,0.00558,0.00524}),"")</f>
        <v>0.1</v>
      </c>
      <c r="P35" s="9">
        <f t="shared" si="6"/>
        <v>0.2</v>
      </c>
      <c r="Q35" s="10" t="s">
        <v>147</v>
      </c>
      <c r="AB35" s="11" t="s">
        <v>135</v>
      </c>
      <c r="AD35" s="9">
        <f>IFERROR(LOOKUP(IF(AC35="",E35,AC35),{0,1,10,50,100,1000,10000},{0,0.19,0.046,0.046,0.015,0.011,0.007}),"")</f>
        <v>0.19</v>
      </c>
      <c r="AE35" s="9">
        <f t="shared" si="7"/>
        <v>0.38</v>
      </c>
      <c r="AF35" s="10" t="s">
        <v>183</v>
      </c>
    </row>
    <row r="36" spans="1:47" x14ac:dyDescent="0.2">
      <c r="A36" s="8" t="s">
        <v>97</v>
      </c>
      <c r="B36" s="8" t="s">
        <v>98</v>
      </c>
      <c r="C36" s="8" t="s">
        <v>99</v>
      </c>
      <c r="D36" s="8" t="s">
        <v>100</v>
      </c>
      <c r="E36" s="8">
        <f>BoardQty*2</f>
        <v>2</v>
      </c>
      <c r="F36" s="9">
        <f t="shared" ca="1" si="0"/>
        <v>0.27658851395500783</v>
      </c>
      <c r="G36" s="9">
        <f t="shared" ca="1" si="1"/>
        <v>0.55317702791001566</v>
      </c>
      <c r="M36" s="8">
        <v>25971</v>
      </c>
      <c r="O36" s="9">
        <f>IFERROR(LOOKUP(IF(N36="",E36,N36),{0,1,10,25,100,250,500,1000},{0,0.6,0.525,0.4928,0.4023,0.37364,0.318,0.2625}),"")</f>
        <v>0.6</v>
      </c>
      <c r="P36" s="9">
        <f t="shared" si="6"/>
        <v>1.2</v>
      </c>
      <c r="Q36" s="10" t="s">
        <v>148</v>
      </c>
      <c r="R36" s="8">
        <v>49810</v>
      </c>
      <c r="T36" s="9">
        <f>IFERROR(USD_GBP*LOOKUP(IF(S36="",E36,S36),{0,1,3,5,10,100,500,1000},{0,25.49,17.69,0.642,0.521,0.3,0.285,0.195}),"")</f>
        <v>35.375018668906918</v>
      </c>
      <c r="U36" s="9">
        <f>IFERROR(IF(S36="",E36,S36)*T36,"")</f>
        <v>70.750037337813836</v>
      </c>
      <c r="V36" s="10" t="s">
        <v>162</v>
      </c>
      <c r="W36" s="8">
        <v>12050</v>
      </c>
      <c r="Y36" s="9">
        <f>IFERROR(LOOKUP(IF(X36="",E36,X36),{0,1,10,30,100,500,1000},{0,0.2908,0.2288,0.2174,0.206,0.201,0.1985}),"")</f>
        <v>0.2908</v>
      </c>
      <c r="Z36" s="9">
        <f>IFERROR(IF(X36="",E36,X36)*Y36,"")</f>
        <v>0.58160000000000001</v>
      </c>
      <c r="AA36" s="10" t="s">
        <v>167</v>
      </c>
      <c r="AB36" s="8">
        <v>72793</v>
      </c>
      <c r="AD36" s="9">
        <f>IFERROR(LOOKUP(IF(AC36="",E36,AC36),{0,1,10,50,100,1000,10000},{0,0.6,0.493,0.493,0.403,0.254,0.23}),"")</f>
        <v>0.6</v>
      </c>
      <c r="AE36" s="9">
        <f t="shared" si="7"/>
        <v>1.2</v>
      </c>
      <c r="AF36" s="10" t="s">
        <v>184</v>
      </c>
      <c r="AG36" s="8">
        <v>33191</v>
      </c>
      <c r="AI36" s="9">
        <f>IFERROR(LOOKUP(IF(AH36="",E36,AH36),{0,1,10,100,500,1000,2500},{0,0.518,0.445,0.317,0.26,0.2,0.189}),"")</f>
        <v>0.51800000000000002</v>
      </c>
      <c r="AJ36" s="9">
        <f>IFERROR(IF(AH36="",E36,AH36)*AI36,"")</f>
        <v>1.036</v>
      </c>
      <c r="AK36" s="10" t="s">
        <v>199</v>
      </c>
      <c r="AL36" s="8">
        <v>5970</v>
      </c>
      <c r="AN36" s="9">
        <f>IFERROR(USD_GBP*LOOKUP(IF(AM36="",E36,AM36),{0,1,10,50,100,250,500},{0,0.407,0.407,0.382,0.362,0.342,0.325}),"")</f>
        <v>0.56483454681228396</v>
      </c>
      <c r="AO36" s="9">
        <f>IFERROR(IF(AM36="",E36,AM36)*AN36,"")</f>
        <v>1.1296690936245679</v>
      </c>
      <c r="AP36" s="10" t="s">
        <v>208</v>
      </c>
      <c r="AQ36" s="8">
        <v>10699</v>
      </c>
      <c r="AS36" s="9">
        <f>IFERROR(USD_GBP*LOOKUP(IF(AR36="",E36,AR36),{0,1,3,10,50,250,1000},{0,0.1993,0.1993,0.1733,0.1507,0.1282,0.11}),"")</f>
        <v>0.27658851395500783</v>
      </c>
      <c r="AT36" s="9">
        <f>IFERROR(IF(AR36="",E36,AR36)*AS36,"")</f>
        <v>0.55317702791001566</v>
      </c>
      <c r="AU36" s="10" t="s">
        <v>100</v>
      </c>
    </row>
    <row r="37" spans="1:47" x14ac:dyDescent="0.2">
      <c r="A37" s="8" t="s">
        <v>101</v>
      </c>
      <c r="B37" s="8" t="s">
        <v>102</v>
      </c>
      <c r="C37" s="8" t="s">
        <v>103</v>
      </c>
      <c r="D37" s="8" t="s">
        <v>104</v>
      </c>
      <c r="E37" s="8">
        <f>BoardQty*2</f>
        <v>2</v>
      </c>
      <c r="F37" s="9">
        <f t="shared" ca="1" si="0"/>
        <v>6.5087813870997833</v>
      </c>
      <c r="G37" s="9">
        <f t="shared" ca="1" si="1"/>
        <v>13.017562774199567</v>
      </c>
      <c r="M37" s="8">
        <v>847</v>
      </c>
      <c r="O37" s="9">
        <f>IFERROR(LOOKUP(IF(N37="",E37,N37),{0,1,10,25,100,250,500,1000},{0,6.71,6.062,5.78,5.0189,4.79332,4.37038,3.99}),"")</f>
        <v>6.71</v>
      </c>
      <c r="P37" s="9">
        <f t="shared" si="6"/>
        <v>13.42</v>
      </c>
      <c r="Q37" s="10" t="s">
        <v>149</v>
      </c>
      <c r="AB37" s="8">
        <v>33</v>
      </c>
      <c r="AD37" s="9">
        <f>IFERROR(LOOKUP(IF(AC37="",E37,AC37),{0,1,10,50,100,1000,10000},{0,6.71,6.07,5.78,5.01,4.79,4.79}),"")</f>
        <v>6.71</v>
      </c>
      <c r="AE37" s="9">
        <f t="shared" si="7"/>
        <v>13.42</v>
      </c>
      <c r="AF37" s="10" t="s">
        <v>185</v>
      </c>
      <c r="AL37" s="8">
        <v>361</v>
      </c>
      <c r="AN37" s="9">
        <f>IFERROR(USD_GBP*LOOKUP(IF(AM37="",E37,AM37),{0,1,5,10},{0,4.69,4.17,3.76}),"")</f>
        <v>6.5087813870997833</v>
      </c>
      <c r="AO37" s="9">
        <f>IFERROR(IF(AM37="",E37,AM37)*AN37,"")</f>
        <v>13.017562774199567</v>
      </c>
      <c r="AP37" s="10" t="s">
        <v>209</v>
      </c>
    </row>
    <row r="38" spans="1:47" x14ac:dyDescent="0.2">
      <c r="A38" s="8" t="s">
        <v>105</v>
      </c>
      <c r="B38" s="8" t="s">
        <v>106</v>
      </c>
      <c r="C38" s="8" t="s">
        <v>103</v>
      </c>
      <c r="D38" s="8" t="s">
        <v>107</v>
      </c>
      <c r="E38" s="8">
        <f>BoardQty*2</f>
        <v>2</v>
      </c>
      <c r="F38" s="9">
        <f t="shared" ca="1" si="0"/>
        <v>7.8</v>
      </c>
      <c r="G38" s="9">
        <f t="shared" ca="1" si="1"/>
        <v>15.6</v>
      </c>
      <c r="M38" s="8">
        <v>652</v>
      </c>
      <c r="O38" s="9">
        <f>IFERROR(LOOKUP(IF(N38="",E38,N38),{0,1,10,25,100,250,500,1000},{0,7.8,7.042,6.7144,5.8302,5.56816,5.07688,4.635}),"")</f>
        <v>7.8</v>
      </c>
      <c r="P38" s="9">
        <f t="shared" si="6"/>
        <v>15.6</v>
      </c>
      <c r="Q38" s="10" t="s">
        <v>150</v>
      </c>
      <c r="AB38" s="8">
        <v>2586</v>
      </c>
      <c r="AD38" s="9">
        <f>IFERROR(LOOKUP(IF(AC38="",E38,AC38),{0,1,10,50,100,1000,10000},{0,7.8,7.05,6.72,5.83,4.72,4.72}),"")</f>
        <v>7.8</v>
      </c>
      <c r="AE38" s="9">
        <f t="shared" si="7"/>
        <v>15.6</v>
      </c>
      <c r="AF38" s="10" t="s">
        <v>186</v>
      </c>
    </row>
    <row r="39" spans="1:47" x14ac:dyDescent="0.2">
      <c r="A39" s="8" t="s">
        <v>108</v>
      </c>
      <c r="B39" s="8" t="s">
        <v>109</v>
      </c>
      <c r="C39" s="8" t="s">
        <v>99</v>
      </c>
      <c r="D39" s="8" t="s">
        <v>110</v>
      </c>
      <c r="E39" s="8">
        <f>BoardQty*1</f>
        <v>1</v>
      </c>
      <c r="F39" s="9">
        <f t="shared" ca="1" si="0"/>
        <v>1.6376038457948281</v>
      </c>
      <c r="G39" s="9">
        <f t="shared" ca="1" si="1"/>
        <v>1.6376038457948281</v>
      </c>
      <c r="M39" s="8">
        <v>1603</v>
      </c>
      <c r="O39" s="9">
        <f>IFERROR(LOOKUP(IF(N39="",E39,N39),{0,1,10,25,100,250,500,1000},{0,1.84,1.657,1.5636,1.3321,1.2508,1.09444,0.9853}),"")</f>
        <v>1.84</v>
      </c>
      <c r="P39" s="9">
        <f t="shared" si="6"/>
        <v>1.84</v>
      </c>
      <c r="Q39" s="10" t="s">
        <v>151</v>
      </c>
      <c r="R39" s="8">
        <v>147</v>
      </c>
      <c r="T39" s="9">
        <f>IFERROR(USD_GBP*LOOKUP(IF(S39="",E39,S39),{0,1,10,50,100,250,500,1000,2500},{0,1.72,1.3,1.17,1.03,0.899,0.881,0.863,0.845}),"")</f>
        <v>2.3870157752263594</v>
      </c>
      <c r="U39" s="9">
        <f>IFERROR(IF(S39="",E39,S39)*T39,"")</f>
        <v>2.3870157752263594</v>
      </c>
      <c r="V39" s="10" t="s">
        <v>163</v>
      </c>
      <c r="AB39" s="8">
        <v>1479</v>
      </c>
      <c r="AD39" s="9">
        <f>IFERROR(LOOKUP(IF(AC39="",E39,AC39),{0,1,10,50,100,1000,10000},{0,1.84,1.66,1.57,1.33,0.906,0.825}),"")</f>
        <v>1.84</v>
      </c>
      <c r="AE39" s="9">
        <f t="shared" si="7"/>
        <v>1.84</v>
      </c>
      <c r="AF39" s="10" t="s">
        <v>187</v>
      </c>
      <c r="AG39" s="8">
        <v>147</v>
      </c>
      <c r="AI39" s="9">
        <f>IFERROR(LOOKUP(IF(AH39="",E39,AH39),{0,1,10,25,50,100,250},{0,2.16,2,1.87,1.78,1.68,1.59}),"")</f>
        <v>2.16</v>
      </c>
      <c r="AJ39" s="9">
        <f>IFERROR(IF(AH39="",E39,AH39)*AI39,"")</f>
        <v>2.16</v>
      </c>
      <c r="AK39" s="10" t="s">
        <v>200</v>
      </c>
      <c r="AL39" s="8">
        <v>390</v>
      </c>
      <c r="AN39" s="9">
        <f>IFERROR(USD_GBP*LOOKUP(IF(AM39="",E39,AM39),{0,1,5,45},{0,1.32,1.32,1.13}),"")</f>
        <v>1.8318958274992994</v>
      </c>
      <c r="AO39" s="9">
        <f>IFERROR(IF(AM39="",E39,AM39)*AN39,"")</f>
        <v>1.8318958274992994</v>
      </c>
      <c r="AP39" s="10" t="s">
        <v>210</v>
      </c>
      <c r="AQ39" s="8">
        <v>1</v>
      </c>
      <c r="AS39" s="9">
        <f>IFERROR(USD_GBP*LOOKUP(IF(AR39="",E39,AR39),{0,1,3,10,45},{0,1.18,1.06,0.94,0.84}),"")</f>
        <v>1.6376038457948281</v>
      </c>
      <c r="AT39" s="9">
        <f>IFERROR(IF(AR39="",E39,AR39)*AS39,"")</f>
        <v>1.6376038457948281</v>
      </c>
      <c r="AU39" s="10" t="s">
        <v>110</v>
      </c>
    </row>
    <row r="41" spans="1:47" ht="17" x14ac:dyDescent="0.2">
      <c r="B41" s="12" t="s">
        <v>113</v>
      </c>
      <c r="F41" s="1" t="s">
        <v>111</v>
      </c>
      <c r="G41" s="5">
        <f ca="1"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I41" s="6" t="str">
        <f>IFERROR(IF(OR(I7:I39),COUNTIFS(I7:I39,"&gt;0",K7:K39,"&lt;&gt;")&amp;" of "&amp;(ROWS(K7:K39)-COUNTBLANK(K7:K39))&amp;" parts purchased",""),"")</f>
        <v/>
      </c>
      <c r="K41" s="5">
        <f>SUMIF(I7:I39,"&gt;0",K7:K39)</f>
        <v>0</v>
      </c>
      <c r="N41" s="6" t="str">
        <f>IFERROR(IF(OR(N7:N39),COUNTIFS(N7:N39,"&gt;0",P7:P39,"&lt;&gt;")&amp;" of "&amp;(ROWS(P7:P39)-COUNTBLANK(P7:P39))&amp;" parts purchased",""),"")</f>
        <v/>
      </c>
      <c r="P41" s="5">
        <f>SUMIF(N7:N39,"&gt;0",P7:P39)</f>
        <v>0</v>
      </c>
      <c r="S41" s="6" t="str">
        <f>IFERROR(IF(OR(S7:S39),COUNTIFS(S7:S39,"&gt;0",U7:U39,"&lt;&gt;")&amp;" of "&amp;(ROWS(U7:U39)-COUNTBLANK(U7:U39))&amp;" parts purchased",""),"")</f>
        <v/>
      </c>
      <c r="U41" s="5">
        <f>SUMIF(S7:S39,"&gt;0",U7:U39)</f>
        <v>0</v>
      </c>
      <c r="X41" s="6" t="str">
        <f>IFERROR(IF(OR(X7:X39),COUNTIFS(X7:X39,"&gt;0",Z7:Z39,"&lt;&gt;")&amp;" of "&amp;(ROWS(Z7:Z39)-COUNTBLANK(Z7:Z39))&amp;" parts purchased",""),"")</f>
        <v/>
      </c>
      <c r="Z41" s="5">
        <f>SUMIF(X7:X39,"&gt;0",Z7:Z39)</f>
        <v>0</v>
      </c>
      <c r="AC41" s="6" t="str">
        <f>IFERROR(IF(OR(AC7:AC39),COUNTIFS(AC7:AC39,"&gt;0",AE7:AE39,"&lt;&gt;")&amp;" of "&amp;(ROWS(AE7:AE39)-COUNTBLANK(AE7:AE39))&amp;" parts purchased",""),"")</f>
        <v/>
      </c>
      <c r="AE41" s="5">
        <f>SUMIF(AC7:AC39,"&gt;0",AE7:AE39)</f>
        <v>0</v>
      </c>
      <c r="AH41" s="6" t="str">
        <f>IFERROR(IF(OR(AH7:AH39),COUNTIFS(AH7:AH39,"&gt;0",AJ7:AJ39,"&lt;&gt;")&amp;" of "&amp;(ROWS(AJ7:AJ39)-COUNTBLANK(AJ7:AJ39))&amp;" parts purchased",""),"")</f>
        <v/>
      </c>
      <c r="AJ41" s="5">
        <f>SUMIF(AH7:AH39,"&gt;0",AJ7:AJ39)</f>
        <v>0</v>
      </c>
      <c r="AM41" s="6" t="str">
        <f>IFERROR(IF(OR(AM7:AM39),COUNTIFS(AM7:AM39,"&gt;0",AO7:AO39,"&lt;&gt;")&amp;" of "&amp;(ROWS(AO7:AO39)-COUNTBLANK(AO7:AO39))&amp;" parts purchased",""),"")</f>
        <v/>
      </c>
      <c r="AO41" s="5">
        <f>SUMIF(AM7:AM39,"&gt;0",AO7:AO39)</f>
        <v>0</v>
      </c>
      <c r="AR41" s="6" t="str">
        <f>IFERROR(IF(OR(AR7:AR39),COUNTIFS(AR7:AR39,"&gt;0",AT7:AT39,"&lt;&gt;")&amp;" of "&amp;(ROWS(AT7:AT39)-COUNTBLANK(AT7:AT39))&amp;" parts purchased",""),"")</f>
        <v/>
      </c>
      <c r="AT41" s="5">
        <f>SUMIF(AR7:AR39,"&gt;0",AT7:AT39)</f>
        <v>0</v>
      </c>
    </row>
    <row r="42" spans="1:47" x14ac:dyDescent="0.2">
      <c r="B42" s="12" t="s">
        <v>114</v>
      </c>
      <c r="C42">
        <v>1.387799869317651</v>
      </c>
      <c r="F42" s="12" t="s">
        <v>112</v>
      </c>
      <c r="I42" t="str">
        <f t="array" ref="I42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42" t="str">
        <f t="array" ref="N42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42" t="str">
        <f t="array" ref="S42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42" s="6" t="str">
        <f>IFERROR(IF(COUNTIFS(X7:X39,"&gt;0",Z7:Z39,"&lt;&gt;")&gt;0,"Quantity,Comment,Designator,Footprint,LCSC Part #(optional)",""),"")</f>
        <v/>
      </c>
      <c r="AC42" t="str">
        <f t="array" ref="AC42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42" t="str">
        <f t="array" ref="AH42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42" t="str">
        <f t="array" ref="AM42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42" t="str">
        <f t="array" ref="AR42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43" spans="1:47" x14ac:dyDescent="0.2">
      <c r="I43" t="str">
        <f t="array" ref="I43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43" t="str">
        <f t="array" ref="N43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43" t="str">
        <f t="array" ref="S43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43" t="str">
        <f t="array" ref="X43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43" t="str">
        <f t="array" ref="AC43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43" t="str">
        <f t="array" ref="AH43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43" t="str">
        <f t="array" ref="AM43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43" t="str">
        <f t="array" ref="AR43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44" spans="1:47" ht="16" x14ac:dyDescent="0.2">
      <c r="A44" s="2" t="s">
        <v>215</v>
      </c>
      <c r="I44" t="str">
        <f t="array" ref="I44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44" t="str">
        <f t="array" ref="N44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44" t="str">
        <f t="array" ref="S44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44" t="str">
        <f t="array" ref="X44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44" t="str">
        <f t="array" ref="AC44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44" t="str">
        <f t="array" ref="AH44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44" t="str">
        <f t="array" ref="AM44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44" t="str">
        <f t="array" ref="AR44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45" spans="1:47" x14ac:dyDescent="0.2">
      <c r="I45" t="str">
        <f t="array" ref="I45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45" t="str">
        <f t="array" ref="N45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45" t="str">
        <f t="array" ref="S45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45" t="str">
        <f t="array" ref="X45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45" t="str">
        <f t="array" ref="AC45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45" t="str">
        <f t="array" ref="AH45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45" t="str">
        <f t="array" ref="AM45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45" t="str">
        <f t="array" ref="AR45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46" spans="1:47" x14ac:dyDescent="0.2">
      <c r="I46" t="str">
        <f t="array" ref="I46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46" t="str">
        <f t="array" ref="N46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46" t="str">
        <f t="array" ref="S46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46" t="str">
        <f t="array" ref="X46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46" t="str">
        <f t="array" ref="AC46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46" t="str">
        <f t="array" ref="AH46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46" t="str">
        <f t="array" ref="AM46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46" t="str">
        <f t="array" ref="AR46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47" spans="1:47" x14ac:dyDescent="0.2">
      <c r="I47" t="str">
        <f t="array" ref="I47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47" t="str">
        <f t="array" ref="N47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47" t="str">
        <f t="array" ref="S47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47" t="str">
        <f t="array" ref="X47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47" t="str">
        <f t="array" ref="AC47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47" t="str">
        <f t="array" ref="AH47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47" t="str">
        <f t="array" ref="AM47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47" t="str">
        <f t="array" ref="AR47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48" spans="1:47" x14ac:dyDescent="0.2">
      <c r="I48" t="str">
        <f t="array" ref="I48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48" t="str">
        <f t="array" ref="N48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48" t="str">
        <f t="array" ref="S48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48" t="str">
        <f t="array" ref="X48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48" t="str">
        <f t="array" ref="AC48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48" t="str">
        <f t="array" ref="AH48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48" t="str">
        <f t="array" ref="AM48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48" t="str">
        <f t="array" ref="AR48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49" spans="9:44" x14ac:dyDescent="0.2">
      <c r="I49" t="str">
        <f t="array" ref="I49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49" t="str">
        <f t="array" ref="N49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49" t="str">
        <f t="array" ref="S49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49" t="str">
        <f t="array" ref="X49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49" t="str">
        <f t="array" ref="AC49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49" t="str">
        <f t="array" ref="AH49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49" t="str">
        <f t="array" ref="AM49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49" t="str">
        <f t="array" ref="AR49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50" spans="9:44" x14ac:dyDescent="0.2">
      <c r="I50" t="str">
        <f t="array" ref="I50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50" t="str">
        <f t="array" ref="N50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50" t="str">
        <f t="array" ref="S50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50" t="str">
        <f t="array" ref="X50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50" t="str">
        <f t="array" ref="AC50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50" t="str">
        <f t="array" ref="AH50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50" t="str">
        <f t="array" ref="AM50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50" t="str">
        <f t="array" ref="AR50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51" spans="9:44" x14ac:dyDescent="0.2">
      <c r="I51" t="str">
        <f t="array" ref="I51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51" t="str">
        <f t="array" ref="N51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51" t="str">
        <f t="array" ref="S51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51" t="str">
        <f t="array" ref="X51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51" t="str">
        <f t="array" ref="AC51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51" t="str">
        <f t="array" ref="AH51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51" t="str">
        <f t="array" ref="AM51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51" t="str">
        <f t="array" ref="AR51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52" spans="9:44" x14ac:dyDescent="0.2">
      <c r="I52" t="str">
        <f t="array" ref="I52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52" t="str">
        <f t="array" ref="N52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52" t="str">
        <f t="array" ref="S52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52" t="str">
        <f t="array" ref="X52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52" t="str">
        <f t="array" ref="AC52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52" t="str">
        <f t="array" ref="AH52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52" t="str">
        <f t="array" ref="AM52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52" t="str">
        <f t="array" ref="AR52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53" spans="9:44" x14ac:dyDescent="0.2">
      <c r="I53" t="str">
        <f t="array" ref="I53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53" t="str">
        <f t="array" ref="N53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53" t="str">
        <f t="array" ref="S53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53" t="str">
        <f t="array" ref="X53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53" t="str">
        <f t="array" ref="AC53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53" t="str">
        <f t="array" ref="AH53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53" t="str">
        <f t="array" ref="AM53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53" t="str">
        <f t="array" ref="AR53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54" spans="9:44" x14ac:dyDescent="0.2">
      <c r="I54" t="str">
        <f t="array" ref="I54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54" t="str">
        <f t="array" ref="N54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54" t="str">
        <f t="array" ref="S54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54" t="str">
        <f t="array" ref="X54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54" t="str">
        <f t="array" ref="AC54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54" t="str">
        <f t="array" ref="AH54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54" t="str">
        <f t="array" ref="AM54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54" t="str">
        <f t="array" ref="AR54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55" spans="9:44" x14ac:dyDescent="0.2">
      <c r="I55" t="str">
        <f t="array" ref="I55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55" t="str">
        <f t="array" ref="N55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55" t="str">
        <f t="array" ref="S55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55" t="str">
        <f t="array" ref="X55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55" t="str">
        <f t="array" ref="AC55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55" t="str">
        <f t="array" ref="AH55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55" t="str">
        <f t="array" ref="AM55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55" t="str">
        <f t="array" ref="AR55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56" spans="9:44" x14ac:dyDescent="0.2">
      <c r="I56" t="str">
        <f t="array" ref="I56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56" t="str">
        <f t="array" ref="N56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56" t="str">
        <f t="array" ref="S56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56" t="str">
        <f t="array" ref="X56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56" t="str">
        <f t="array" ref="AC56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56" t="str">
        <f t="array" ref="AH56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56" t="str">
        <f t="array" ref="AM56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56" t="str">
        <f t="array" ref="AR56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57" spans="9:44" x14ac:dyDescent="0.2">
      <c r="I57" t="str">
        <f t="array" ref="I57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57" t="str">
        <f t="array" ref="N57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57" t="str">
        <f t="array" ref="S57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57" t="str">
        <f t="array" ref="X57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57" t="str">
        <f t="array" ref="AC57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57" t="str">
        <f t="array" ref="AH57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57" t="str">
        <f t="array" ref="AM57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57" t="str">
        <f t="array" ref="AR57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58" spans="9:44" x14ac:dyDescent="0.2">
      <c r="I58" t="str">
        <f t="array" ref="I58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58" t="str">
        <f t="array" ref="N58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58" t="str">
        <f t="array" ref="S58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58" t="str">
        <f t="array" ref="X58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58" t="str">
        <f t="array" ref="AC58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58" t="str">
        <f t="array" ref="AH58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58" t="str">
        <f t="array" ref="AM58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58" t="str">
        <f t="array" ref="AR58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59" spans="9:44" x14ac:dyDescent="0.2">
      <c r="I59" t="str">
        <f t="array" ref="I59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59" t="str">
        <f t="array" ref="N59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59" t="str">
        <f t="array" ref="S59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59" t="str">
        <f t="array" ref="X59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59" t="str">
        <f t="array" ref="AC59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59" t="str">
        <f t="array" ref="AH59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59" t="str">
        <f t="array" ref="AM59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59" t="str">
        <f t="array" ref="AR59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60" spans="9:44" x14ac:dyDescent="0.2">
      <c r="I60" t="str">
        <f t="array" ref="I60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60" t="str">
        <f t="array" ref="N60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60" t="str">
        <f t="array" ref="S60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60" t="str">
        <f t="array" ref="X60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60" t="str">
        <f t="array" ref="AC60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60" t="str">
        <f t="array" ref="AH60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60" t="str">
        <f t="array" ref="AM60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60" t="str">
        <f t="array" ref="AR60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61" spans="9:44" x14ac:dyDescent="0.2">
      <c r="I61" t="str">
        <f t="array" ref="I61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61" t="str">
        <f t="array" ref="N61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61" t="str">
        <f t="array" ref="S61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61" t="str">
        <f t="array" ref="X61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61" t="str">
        <f t="array" ref="AC61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61" t="str">
        <f t="array" ref="AH61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61" t="str">
        <f t="array" ref="AM61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61" t="str">
        <f t="array" ref="AR61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62" spans="9:44" x14ac:dyDescent="0.2">
      <c r="I62" t="str">
        <f t="array" ref="I62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62" t="str">
        <f t="array" ref="N62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62" t="str">
        <f t="array" ref="S62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62" t="str">
        <f t="array" ref="X62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62" t="str">
        <f t="array" ref="AC62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62" t="str">
        <f t="array" ref="AH62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62" t="str">
        <f t="array" ref="AM62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62" t="str">
        <f t="array" ref="AR62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63" spans="9:44" x14ac:dyDescent="0.2">
      <c r="I63" t="str">
        <f t="array" ref="I63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63" t="str">
        <f t="array" ref="N63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63" t="str">
        <f t="array" ref="S63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63" t="str">
        <f t="array" ref="X63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63" t="str">
        <f t="array" ref="AC63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63" t="str">
        <f t="array" ref="AH63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63" t="str">
        <f t="array" ref="AM63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63" t="str">
        <f t="array" ref="AR63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64" spans="9:44" x14ac:dyDescent="0.2">
      <c r="I64" t="str">
        <f t="array" ref="I64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64" t="str">
        <f t="array" ref="N64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64" t="str">
        <f t="array" ref="S64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64" t="str">
        <f t="array" ref="X64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64" t="str">
        <f t="array" ref="AC64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64" t="str">
        <f t="array" ref="AH64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64" t="str">
        <f t="array" ref="AM64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64" t="str">
        <f t="array" ref="AR64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65" spans="9:44" x14ac:dyDescent="0.2">
      <c r="I65" t="str">
        <f t="array" ref="I65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65" t="str">
        <f t="array" ref="N65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65" t="str">
        <f t="array" ref="S65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65" t="str">
        <f t="array" ref="X65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65" t="str">
        <f t="array" ref="AC65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65" t="str">
        <f t="array" ref="AH65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65" t="str">
        <f t="array" ref="AM65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65" t="str">
        <f t="array" ref="AR65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66" spans="9:44" x14ac:dyDescent="0.2">
      <c r="I66" t="str">
        <f t="array" ref="I66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66" t="str">
        <f t="array" ref="N66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66" t="str">
        <f t="array" ref="S66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66" t="str">
        <f t="array" ref="X66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66" t="str">
        <f t="array" ref="AC66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66" t="str">
        <f t="array" ref="AH66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66" t="str">
        <f t="array" ref="AM66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66" t="str">
        <f t="array" ref="AR66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67" spans="9:44" x14ac:dyDescent="0.2">
      <c r="I67" t="str">
        <f t="array" ref="I67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67" t="str">
        <f t="array" ref="N67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67" t="str">
        <f t="array" ref="S67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67" t="str">
        <f t="array" ref="X67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67" t="str">
        <f t="array" ref="AC67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67" t="str">
        <f t="array" ref="AH67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67" t="str">
        <f t="array" ref="AM67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67" t="str">
        <f t="array" ref="AR67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68" spans="9:44" x14ac:dyDescent="0.2">
      <c r="I68" t="str">
        <f t="array" ref="I68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68" t="str">
        <f t="array" ref="N68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68" t="str">
        <f t="array" ref="S68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68" t="str">
        <f t="array" ref="X68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68" t="str">
        <f t="array" ref="AC68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68" t="str">
        <f t="array" ref="AH68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68" t="str">
        <f t="array" ref="AM68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68" t="str">
        <f t="array" ref="AR68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69" spans="9:44" x14ac:dyDescent="0.2">
      <c r="I69" t="str">
        <f t="array" ref="I69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69" t="str">
        <f t="array" ref="N69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69" t="str">
        <f t="array" ref="S69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69" t="str">
        <f t="array" ref="X69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69" t="str">
        <f t="array" ref="AC69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69" t="str">
        <f t="array" ref="AH69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69" t="str">
        <f t="array" ref="AM69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69" t="str">
        <f t="array" ref="AR69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70" spans="9:44" x14ac:dyDescent="0.2">
      <c r="I70" t="str">
        <f t="array" ref="I70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70" t="str">
        <f t="array" ref="N70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70" t="str">
        <f t="array" ref="S70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70" t="str">
        <f t="array" ref="X70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70" t="str">
        <f t="array" ref="AC70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70" t="str">
        <f t="array" ref="AH70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70" t="str">
        <f t="array" ref="AM70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70" t="str">
        <f t="array" ref="AR70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71" spans="9:44" x14ac:dyDescent="0.2">
      <c r="I71" t="str">
        <f t="array" ref="I71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71" t="str">
        <f t="array" ref="N71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71" t="str">
        <f t="array" ref="S71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71" t="str">
        <f t="array" ref="X71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71" t="str">
        <f t="array" ref="AC71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71" t="str">
        <f t="array" ref="AH71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71" t="str">
        <f t="array" ref="AM71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71" t="str">
        <f t="array" ref="AR71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72" spans="9:44" x14ac:dyDescent="0.2">
      <c r="I72" t="str">
        <f t="array" ref="I72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72" t="str">
        <f t="array" ref="N72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72" t="str">
        <f t="array" ref="S72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72" t="str">
        <f t="array" ref="X72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72" t="str">
        <f t="array" ref="AC72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72" t="str">
        <f t="array" ref="AH72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72" t="str">
        <f t="array" ref="AM72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72" t="str">
        <f t="array" ref="AR72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73" spans="9:44" x14ac:dyDescent="0.2">
      <c r="I73" t="str">
        <f t="array" ref="I73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73" t="str">
        <f t="array" ref="N73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73" t="str">
        <f t="array" ref="S73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73" t="str">
        <f t="array" ref="X73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73" t="str">
        <f t="array" ref="AC73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73" t="str">
        <f t="array" ref="AH73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73" t="str">
        <f t="array" ref="AM73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73" t="str">
        <f t="array" ref="AR73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74" spans="9:44" x14ac:dyDescent="0.2">
      <c r="I74" t="str">
        <f t="array" ref="I74">IFERROR(CONCATENATE(INDEX(L7:L39,SMALL(IF(ISNUMBER(I7:I39),IF(I7:I39&gt;0,IF(L7:L39&lt;&gt;"",ROW(I7:I39)-MIN(ROW(I7:I39))+1))),ROW()-ROW(A$42)+1)),",",TEXT(INDEX(I7:I39,SMALL(IF(ISNUMBER(I7:I39),IF(I7:I39&gt;0,IF(L7:L39&lt;&gt;"",ROW(I7:I39)-MIN(ROW(I7:I39))+1))),ROW()-ROW(A$42)+1)),"##0"),",",SUBSTITUTE(INDEX(IF(PURCHASE_DESCRIPTION&lt;&gt;"",PURCHASE_DESCRIPTION&amp;":","")&amp;A7:A39,SMALL(IF(ISNUMBER(I7:I39),IF(I7:I39&gt;0,IF(L7:L39&lt;&gt;"",ROW(I7:I39)-MIN(ROW(I7:I39))+1))),ROW()-ROW(A$42)+1)),",",";")),"")</f>
        <v/>
      </c>
      <c r="N74" t="str">
        <f t="array" ref="N74">IFERROR(CONCATENATE(TEXT(INDEX(N7:N39,SMALL(IF(ISNUMBER(N7:N39),IF(N7:N39&gt;0,IF(Q7:Q39&lt;&gt;"",ROW(N7:N39)-MIN(ROW(N7:N39))+1))),ROW()-ROW(A$42)+1)),"##0"),",",INDEX(Q7:Q39,SMALL(IF(ISNUMBER(N7:N39),IF(N7:N39&gt;0,IF(Q7:Q39&lt;&gt;"",ROW(N7:N39)-MIN(ROW(N7:N39))+1))),ROW()-ROW(A$42)+1)),",",SUBSTITUTE(INDEX(IF(PURCHASE_DESCRIPTION&lt;&gt;"",PURCHASE_DESCRIPTION&amp;":","")&amp;A7:A39,SMALL(IF(ISNUMBER(N7:N39),IF(N7:N39&gt;0,IF(Q7:Q39&lt;&gt;"",ROW(N7:N39)-MIN(ROW(N7:N39))+1))),ROW()-ROW(A$42)+1)),",",";")),"")</f>
        <v/>
      </c>
      <c r="S74" t="str">
        <f t="array" ref="S74">IFERROR(CONCATENATE(INDEX(V7:V39,SMALL(IF(ISNUMBER(S7:S39),IF(S7:S39&gt;0,IF(V7:V39&lt;&gt;"",ROW(S7:S39)-MIN(ROW(S7:S39))+1))),ROW()-ROW(A$42)+1))," ",TEXT(INDEX(S7:S39,SMALL(IF(ISNUMBER(S7:S39),IF(S7:S39&gt;0,IF(V7:V39&lt;&gt;"",ROW(S7:S39)-MIN(ROW(S7:S39))+1))),ROW()-ROW(A$42)+1)),"##0")," ",SUBSTITUTE(INDEX(IF(PURCHASE_DESCRIPTION&lt;&gt;"",PURCHASE_DESCRIPTION&amp;":","")&amp;A7:A39,SMALL(IF(ISNUMBER(S7:S39),IF(S7:S39&gt;0,IF(V7:V39&lt;&gt;"",ROW(S7:S39)-MIN(ROW(S7:S39))+1))),ROW()-ROW(A$42)+1))," ",";")),"")</f>
        <v/>
      </c>
      <c r="X74" t="str">
        <f t="array" ref="X74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  <c r="AC74" t="str">
        <f t="array" ref="AC74">IFERROR(CONCATENATE(INDEX(AF7:AF39,SMALL(IF(ISNUMBER(AC7:AC39),IF(AC7:AC39&gt;0,IF(AF7:AF39&lt;&gt;"",ROW(AC7:AC39)-MIN(ROW(AC7:AC39))+1))),ROW()-ROW(A$42)+1)),"|",TEXT(INDEX(AC7:AC39,SMALL(IF(ISNUMBER(AC7:AC39),IF(AC7:AC39&gt;0,IF(AF7:AF39&lt;&gt;"",ROW(AC7:AC39)-MIN(ROW(AC7:AC39))+1))),ROW()-ROW(A$42)+1)),"##0"),"|",SUBSTITUTE(SUBSTITUTE(INDEX(IF(PURCHASE_DESCRIPTION&lt;&gt;"",PURCHASE_DESCRIPTION&amp;":","")&amp;A7:A39,SMALL(IF(ISNUMBER(AC7:AC39),IF(AC7:AC39&gt;0,IF(AF7:AF39&lt;&gt;"",ROW(AC7:AC39)-MIN(ROW(AC7:AC39))+1))),ROW()-ROW(A$42)+1)),"|",";")," ","_")),"")</f>
        <v/>
      </c>
      <c r="AH74" t="str">
        <f t="array" ref="AH74">IFERROR(CONCATENATE(INDEX(AK7:AK39,SMALL(IF(ISNUMBER(AH7:AH39),IF(AH7:AH39&gt;0,IF(AK7:AK39&lt;&gt;"",ROW(AH7:AH39)-MIN(ROW(AH7:AH39))+1))),ROW()-ROW(A$42)+1)),",",TEXT(INDEX(AH7:AH39,SMALL(IF(ISNUMBER(AH7:AH39),IF(AH7:AH39&gt;0,IF(AK7:AK39&lt;&gt;"",ROW(AH7:AH39)-MIN(ROW(AH7:AH39))+1))),ROW()-ROW(A$42)+1)),"##0"),",",SUBSTITUTE(INDEX(IF(PURCHASE_DESCRIPTION&lt;&gt;"",PURCHASE_DESCRIPTION&amp;":","")&amp;A7:A39,SMALL(IF(ISNUMBER(AH7:AH39),IF(AH7:AH39&gt;0,IF(AK7:AK39&lt;&gt;"",ROW(AH7:AH39)-MIN(ROW(AH7:AH39))+1))),ROW()-ROW(A$42)+1)),",",";")),"")</f>
        <v/>
      </c>
      <c r="AM74" t="str">
        <f t="array" ref="AM74">IFERROR(CONCATENATE(INDEX(AP7:AP39,SMALL(IF(ISNUMBER(AM7:AM39),IF(AM7:AM39&gt;0,IF(AP7:AP39&lt;&gt;"",ROW(AM7:AM39)-MIN(ROW(AM7:AM39))+1))),ROW()-ROW(A$42)+1))," ",TEXT(INDEX(AM7:AM39,SMALL(IF(ISNUMBER(AM7:AM39),IF(AM7:AM39&gt;0,IF(AP7:AP39&lt;&gt;"",ROW(AM7:AM39)-MIN(ROW(AM7:AM39))+1))),ROW()-ROW(A$42)+1)),"##0")," ",SUBSTITUTE(INDEX(IF(PURCHASE_DESCRIPTION&lt;&gt;"",PURCHASE_DESCRIPTION&amp;":","")&amp;A7:A39,SMALL(IF(ISNUMBER(AM7:AM39),IF(AM7:AM39&gt;0,IF(AP7:AP39&lt;&gt;"",ROW(AM7:AM39)-MIN(ROW(AM7:AM39))+1))),ROW()-ROW(A$42)+1))," ",";")),"")</f>
        <v/>
      </c>
      <c r="AR74" t="str">
        <f t="array" ref="AR74">IFERROR(CONCATENATE(INDEX(AU7:AU39,SMALL(IF(ISNUMBER(AR7:AR39),IF(AR7:AR39&gt;0,IF(AU7:AU39&lt;&gt;"",ROW(AR7:AR39)-MIN(ROW(AR7:AR39))+1))),ROW()-ROW(A$42)+1))," ",TEXT(INDEX(AR7:AR39,SMALL(IF(ISNUMBER(AR7:AR39),IF(AR7:AR39&gt;0,IF(AU7:AU39&lt;&gt;"",ROW(AR7:AR39)-MIN(ROW(AR7:AR39))+1))),ROW()-ROW(A$42)+1)),"##0")," ",SUBSTITUTE(INDEX(IF(PURCHASE_DESCRIPTION&lt;&gt;"",PURCHASE_DESCRIPTION&amp;":","")&amp;A7:A39,SMALL(IF(ISNUMBER(AR7:AR39),IF(AR7:AR39&gt;0,IF(AU7:AU39&lt;&gt;"",ROW(AR7:AR39)-MIN(ROW(AR7:AR39))+1))),ROW()-ROW(A$42)+1))," ",";")),"")</f>
        <v/>
      </c>
    </row>
    <row r="75" spans="9:44" x14ac:dyDescent="0.2">
      <c r="X75" t="str">
        <f t="array" ref="X75">IFERROR(CONCATENATE(TEXT(INDEX(X7:X39,SMALL(IF(ISNUMBER(X7:X39),IF(X7:X39&gt;0,IF(AA7:AA39&lt;&gt;"",ROW(X7:X39)-MIN(ROW(X7:X39))+1))),ROW()-ROW(A$43)+1)),"##0"),",",SUBSTITUTE(INDEX(IF(PURCHASE_DESCRIPTION&lt;&gt;"",PURCHASE_DESCRIPTION&amp;":","")&amp;A7:A39,SMALL(IF(ISNUMBER(X7:X39),IF(X7:X39&gt;0,IF(AA7:AA39&lt;&gt;"",ROW(X7:X39)-MIN(ROW(X7:X39))+1))),ROW()-ROW(A$43)+1)),",",";"),",",SUBSTITUTE(INDEX(IF(PURCHASE_DESCRIPTION&lt;&gt;"",PURCHASE_DESCRIPTION&amp;":","")&amp;C7:C39,SMALL(IF(ISNUMBER(X7:X39),IF(X7:X39&gt;0,IF(AA7:AA39&lt;&gt;"",ROW(X7:X39)-MIN(ROW(X7:X39))+1))),ROW()-ROW(A$43)+1)),",",";"),",",INDEX(AA7:AA39,SMALL(IF(ISNUMBER(X7:X39),IF(X7:X39&gt;0,IF(AA7:AA39&lt;&gt;"",ROW(X7:X39)-MIN(ROW(X7:X39))+1))),ROW()-ROW(A$43)+1))),"")</f>
        <v/>
      </c>
    </row>
  </sheetData>
  <mergeCells count="9">
    <mergeCell ref="AB5:AF5"/>
    <mergeCell ref="AG5:AK5"/>
    <mergeCell ref="AL5:AP5"/>
    <mergeCell ref="AQ5:AU5"/>
    <mergeCell ref="A5:G5"/>
    <mergeCell ref="H5:L5"/>
    <mergeCell ref="M5:Q5"/>
    <mergeCell ref="R5:V5"/>
    <mergeCell ref="W5:AA5"/>
  </mergeCells>
  <conditionalFormatting sqref="AB10">
    <cfRule type="cellIs" dxfId="562" priority="326" operator="equal">
      <formula>0</formula>
    </cfRule>
    <cfRule type="cellIs" dxfId="561" priority="327" operator="lessThan">
      <formula>E10</formula>
    </cfRule>
  </conditionalFormatting>
  <conditionalFormatting sqref="AB11">
    <cfRule type="cellIs" dxfId="560" priority="331" operator="equal">
      <formula>0</formula>
    </cfRule>
    <cfRule type="cellIs" dxfId="559" priority="332" operator="lessThan">
      <formula>E11</formula>
    </cfRule>
  </conditionalFormatting>
  <conditionalFormatting sqref="AB12">
    <cfRule type="cellIs" dxfId="558" priority="336" operator="equal">
      <formula>0</formula>
    </cfRule>
    <cfRule type="cellIs" dxfId="557" priority="337" operator="lessThan">
      <formula>E12</formula>
    </cfRule>
  </conditionalFormatting>
  <conditionalFormatting sqref="AB13">
    <cfRule type="cellIs" dxfId="556" priority="341" operator="equal">
      <formula>0</formula>
    </cfRule>
    <cfRule type="cellIs" dxfId="555" priority="342" operator="lessThan">
      <formula>E13</formula>
    </cfRule>
  </conditionalFormatting>
  <conditionalFormatting sqref="AB14">
    <cfRule type="cellIs" dxfId="554" priority="346" operator="equal">
      <formula>0</formula>
    </cfRule>
    <cfRule type="cellIs" dxfId="553" priority="347" operator="lessThan">
      <formula>E14</formula>
    </cfRule>
  </conditionalFormatting>
  <conditionalFormatting sqref="AB15">
    <cfRule type="cellIs" dxfId="552" priority="351" operator="equal">
      <formula>0</formula>
    </cfRule>
    <cfRule type="cellIs" dxfId="551" priority="352" operator="lessThan">
      <formula>E15</formula>
    </cfRule>
  </conditionalFormatting>
  <conditionalFormatting sqref="AB17">
    <cfRule type="cellIs" dxfId="550" priority="356" operator="equal">
      <formula>0</formula>
    </cfRule>
    <cfRule type="cellIs" dxfId="549" priority="357" operator="lessThan">
      <formula>E17</formula>
    </cfRule>
  </conditionalFormatting>
  <conditionalFormatting sqref="AB29">
    <cfRule type="cellIs" dxfId="548" priority="361" operator="equal">
      <formula>0</formula>
    </cfRule>
    <cfRule type="cellIs" dxfId="547" priority="362" operator="lessThan">
      <formula>E29</formula>
    </cfRule>
  </conditionalFormatting>
  <conditionalFormatting sqref="AB30">
    <cfRule type="cellIs" dxfId="546" priority="366" operator="equal">
      <formula>0</formula>
    </cfRule>
    <cfRule type="cellIs" dxfId="545" priority="367" operator="lessThan">
      <formula>E30</formula>
    </cfRule>
  </conditionalFormatting>
  <conditionalFormatting sqref="AB31">
    <cfRule type="cellIs" dxfId="544" priority="371" operator="equal">
      <formula>0</formula>
    </cfRule>
    <cfRule type="cellIs" dxfId="543" priority="372" operator="lessThan">
      <formula>E31</formula>
    </cfRule>
  </conditionalFormatting>
  <conditionalFormatting sqref="AB33">
    <cfRule type="cellIs" dxfId="542" priority="376" operator="equal">
      <formula>0</formula>
    </cfRule>
    <cfRule type="cellIs" dxfId="541" priority="377" operator="lessThan">
      <formula>E33</formula>
    </cfRule>
  </conditionalFormatting>
  <conditionalFormatting sqref="AB34">
    <cfRule type="cellIs" dxfId="540" priority="381" operator="equal">
      <formula>0</formula>
    </cfRule>
    <cfRule type="cellIs" dxfId="539" priority="382" operator="lessThan">
      <formula>E34</formula>
    </cfRule>
  </conditionalFormatting>
  <conditionalFormatting sqref="AB35">
    <cfRule type="cellIs" dxfId="538" priority="386" operator="equal">
      <formula>0</formula>
    </cfRule>
    <cfRule type="cellIs" dxfId="537" priority="387" operator="lessThan">
      <formula>E35</formula>
    </cfRule>
  </conditionalFormatting>
  <conditionalFormatting sqref="AB36">
    <cfRule type="cellIs" dxfId="536" priority="391" operator="equal">
      <formula>0</formula>
    </cfRule>
    <cfRule type="cellIs" dxfId="535" priority="392" operator="lessThan">
      <formula>E36</formula>
    </cfRule>
  </conditionalFormatting>
  <conditionalFormatting sqref="AB37">
    <cfRule type="cellIs" dxfId="534" priority="396" operator="equal">
      <formula>0</formula>
    </cfRule>
    <cfRule type="cellIs" dxfId="533" priority="397" operator="lessThan">
      <formula>E37</formula>
    </cfRule>
  </conditionalFormatting>
  <conditionalFormatting sqref="AB38">
    <cfRule type="cellIs" dxfId="532" priority="401" operator="equal">
      <formula>0</formula>
    </cfRule>
    <cfRule type="cellIs" dxfId="531" priority="402" operator="lessThan">
      <formula>E38</formula>
    </cfRule>
  </conditionalFormatting>
  <conditionalFormatting sqref="AB39">
    <cfRule type="cellIs" dxfId="530" priority="406" operator="equal">
      <formula>0</formula>
    </cfRule>
    <cfRule type="cellIs" dxfId="529" priority="407" operator="lessThan">
      <formula>E39</formula>
    </cfRule>
  </conditionalFormatting>
  <conditionalFormatting sqref="AB8">
    <cfRule type="cellIs" dxfId="528" priority="316" operator="equal">
      <formula>0</formula>
    </cfRule>
    <cfRule type="cellIs" dxfId="527" priority="317" operator="lessThan">
      <formula>E8</formula>
    </cfRule>
  </conditionalFormatting>
  <conditionalFormatting sqref="AB9">
    <cfRule type="cellIs" dxfId="526" priority="321" operator="equal">
      <formula>0</formula>
    </cfRule>
    <cfRule type="cellIs" dxfId="525" priority="322" operator="lessThan">
      <formula>E9</formula>
    </cfRule>
  </conditionalFormatting>
  <conditionalFormatting sqref="AC10">
    <cfRule type="cellIs" dxfId="524" priority="328" operator="greaterThan">
      <formula>AB10</formula>
    </cfRule>
  </conditionalFormatting>
  <conditionalFormatting sqref="AC11">
    <cfRule type="cellIs" dxfId="523" priority="333" operator="greaterThan">
      <formula>AB11</formula>
    </cfRule>
  </conditionalFormatting>
  <conditionalFormatting sqref="AC12">
    <cfRule type="cellIs" dxfId="522" priority="338" operator="greaterThan">
      <formula>AB12</formula>
    </cfRule>
  </conditionalFormatting>
  <conditionalFormatting sqref="AC13">
    <cfRule type="cellIs" dxfId="521" priority="343" operator="greaterThan">
      <formula>AB13</formula>
    </cfRule>
  </conditionalFormatting>
  <conditionalFormatting sqref="AC14">
    <cfRule type="cellIs" dxfId="520" priority="348" operator="greaterThan">
      <formula>AB14</formula>
    </cfRule>
  </conditionalFormatting>
  <conditionalFormatting sqref="AC15">
    <cfRule type="cellIs" dxfId="519" priority="353" operator="greaterThan">
      <formula>AB15</formula>
    </cfRule>
  </conditionalFormatting>
  <conditionalFormatting sqref="AC17">
    <cfRule type="cellIs" dxfId="518" priority="358" operator="greaterThan">
      <formula>AB17</formula>
    </cfRule>
  </conditionalFormatting>
  <conditionalFormatting sqref="AC29">
    <cfRule type="cellIs" dxfId="517" priority="363" operator="greaterThan">
      <formula>AB29</formula>
    </cfRule>
  </conditionalFormatting>
  <conditionalFormatting sqref="AC30">
    <cfRule type="cellIs" dxfId="516" priority="368" operator="greaterThan">
      <formula>AB30</formula>
    </cfRule>
  </conditionalFormatting>
  <conditionalFormatting sqref="AC31">
    <cfRule type="cellIs" dxfId="515" priority="373" operator="greaterThan">
      <formula>AB31</formula>
    </cfRule>
  </conditionalFormatting>
  <conditionalFormatting sqref="AC33">
    <cfRule type="cellIs" dxfId="514" priority="378" operator="greaterThan">
      <formula>AB33</formula>
    </cfRule>
  </conditionalFormatting>
  <conditionalFormatting sqref="AC34">
    <cfRule type="cellIs" dxfId="513" priority="383" operator="greaterThan">
      <formula>AB34</formula>
    </cfRule>
  </conditionalFormatting>
  <conditionalFormatting sqref="AC35">
    <cfRule type="cellIs" dxfId="512" priority="388" operator="greaterThan">
      <formula>AB35</formula>
    </cfRule>
  </conditionalFormatting>
  <conditionalFormatting sqref="AC36">
    <cfRule type="cellIs" dxfId="511" priority="393" operator="greaterThan">
      <formula>AB36</formula>
    </cfRule>
  </conditionalFormatting>
  <conditionalFormatting sqref="AC37">
    <cfRule type="cellIs" dxfId="510" priority="398" operator="greaterThan">
      <formula>AB37</formula>
    </cfRule>
  </conditionalFormatting>
  <conditionalFormatting sqref="AC38">
    <cfRule type="cellIs" dxfId="509" priority="403" operator="greaterThan">
      <formula>AB38</formula>
    </cfRule>
  </conditionalFormatting>
  <conditionalFormatting sqref="AC39">
    <cfRule type="cellIs" dxfId="508" priority="408" operator="greaterThan">
      <formula>AB39</formula>
    </cfRule>
  </conditionalFormatting>
  <conditionalFormatting sqref="AC8">
    <cfRule type="cellIs" dxfId="507" priority="318" operator="greaterThan">
      <formula>AB8</formula>
    </cfRule>
  </conditionalFormatting>
  <conditionalFormatting sqref="AC9">
    <cfRule type="cellIs" dxfId="506" priority="323" operator="greaterThan">
      <formula>AB9</formula>
    </cfRule>
  </conditionalFormatting>
  <conditionalFormatting sqref="AD10">
    <cfRule type="cellIs" dxfId="505" priority="330" operator="lessThanOrEqual">
      <formula>F10</formula>
    </cfRule>
  </conditionalFormatting>
  <conditionalFormatting sqref="AD11">
    <cfRule type="cellIs" dxfId="504" priority="335" operator="lessThanOrEqual">
      <formula>F11</formula>
    </cfRule>
  </conditionalFormatting>
  <conditionalFormatting sqref="AD12">
    <cfRule type="cellIs" dxfId="503" priority="340" operator="lessThanOrEqual">
      <formula>F12</formula>
    </cfRule>
  </conditionalFormatting>
  <conditionalFormatting sqref="AD13">
    <cfRule type="cellIs" dxfId="502" priority="345" operator="lessThanOrEqual">
      <formula>F13</formula>
    </cfRule>
  </conditionalFormatting>
  <conditionalFormatting sqref="AD14">
    <cfRule type="cellIs" dxfId="501" priority="350" operator="lessThanOrEqual">
      <formula>F14</formula>
    </cfRule>
  </conditionalFormatting>
  <conditionalFormatting sqref="AD15">
    <cfRule type="cellIs" dxfId="500" priority="355" operator="lessThanOrEqual">
      <formula>F15</formula>
    </cfRule>
  </conditionalFormatting>
  <conditionalFormatting sqref="AD17">
    <cfRule type="cellIs" dxfId="499" priority="360" operator="lessThanOrEqual">
      <formula>F17</formula>
    </cfRule>
  </conditionalFormatting>
  <conditionalFormatting sqref="AD29">
    <cfRule type="cellIs" dxfId="498" priority="365" operator="lessThanOrEqual">
      <formula>F29</formula>
    </cfRule>
  </conditionalFormatting>
  <conditionalFormatting sqref="AD30">
    <cfRule type="cellIs" dxfId="497" priority="370" operator="lessThanOrEqual">
      <formula>F30</formula>
    </cfRule>
  </conditionalFormatting>
  <conditionalFormatting sqref="AD31">
    <cfRule type="cellIs" dxfId="496" priority="375" operator="lessThanOrEqual">
      <formula>F31</formula>
    </cfRule>
  </conditionalFormatting>
  <conditionalFormatting sqref="AD33">
    <cfRule type="cellIs" dxfId="495" priority="380" operator="lessThanOrEqual">
      <formula>F33</formula>
    </cfRule>
  </conditionalFormatting>
  <conditionalFormatting sqref="AD34">
    <cfRule type="cellIs" dxfId="494" priority="385" operator="lessThanOrEqual">
      <formula>F34</formula>
    </cfRule>
  </conditionalFormatting>
  <conditionalFormatting sqref="AD35">
    <cfRule type="cellIs" dxfId="493" priority="390" operator="lessThanOrEqual">
      <formula>F35</formula>
    </cfRule>
  </conditionalFormatting>
  <conditionalFormatting sqref="AD36">
    <cfRule type="cellIs" dxfId="492" priority="395" operator="lessThanOrEqual">
      <formula>F36</formula>
    </cfRule>
  </conditionalFormatting>
  <conditionalFormatting sqref="AD37">
    <cfRule type="cellIs" dxfId="491" priority="400" operator="lessThanOrEqual">
      <formula>F37</formula>
    </cfRule>
  </conditionalFormatting>
  <conditionalFormatting sqref="AD38">
    <cfRule type="cellIs" dxfId="490" priority="405" operator="lessThanOrEqual">
      <formula>F38</formula>
    </cfRule>
  </conditionalFormatting>
  <conditionalFormatting sqref="AD39">
    <cfRule type="cellIs" dxfId="489" priority="410" operator="lessThanOrEqual">
      <formula>F39</formula>
    </cfRule>
  </conditionalFormatting>
  <conditionalFormatting sqref="AD8">
    <cfRule type="cellIs" dxfId="488" priority="320" operator="lessThanOrEqual">
      <formula>F8</formula>
    </cfRule>
  </conditionalFormatting>
  <conditionalFormatting sqref="AD9">
    <cfRule type="cellIs" dxfId="487" priority="325" operator="lessThanOrEqual">
      <formula>F9</formula>
    </cfRule>
  </conditionalFormatting>
  <conditionalFormatting sqref="AE10">
    <cfRule type="cellIs" dxfId="486" priority="329" operator="lessThanOrEqual">
      <formula>G10</formula>
    </cfRule>
  </conditionalFormatting>
  <conditionalFormatting sqref="AE11">
    <cfRule type="cellIs" dxfId="485" priority="334" operator="lessThanOrEqual">
      <formula>G11</formula>
    </cfRule>
  </conditionalFormatting>
  <conditionalFormatting sqref="AE12">
    <cfRule type="cellIs" dxfId="484" priority="339" operator="lessThanOrEqual">
      <formula>G12</formula>
    </cfRule>
  </conditionalFormatting>
  <conditionalFormatting sqref="AE13">
    <cfRule type="cellIs" dxfId="483" priority="344" operator="lessThanOrEqual">
      <formula>G13</formula>
    </cfRule>
  </conditionalFormatting>
  <conditionalFormatting sqref="AE14">
    <cfRule type="cellIs" dxfId="482" priority="349" operator="lessThanOrEqual">
      <formula>G14</formula>
    </cfRule>
  </conditionalFormatting>
  <conditionalFormatting sqref="AE15">
    <cfRule type="cellIs" dxfId="481" priority="354" operator="lessThanOrEqual">
      <formula>G15</formula>
    </cfRule>
  </conditionalFormatting>
  <conditionalFormatting sqref="AE17">
    <cfRule type="cellIs" dxfId="480" priority="359" operator="lessThanOrEqual">
      <formula>G17</formula>
    </cfRule>
  </conditionalFormatting>
  <conditionalFormatting sqref="AE29">
    <cfRule type="cellIs" dxfId="479" priority="364" operator="lessThanOrEqual">
      <formula>G29</formula>
    </cfRule>
  </conditionalFormatting>
  <conditionalFormatting sqref="AE30">
    <cfRule type="cellIs" dxfId="478" priority="369" operator="lessThanOrEqual">
      <formula>G30</formula>
    </cfRule>
  </conditionalFormatting>
  <conditionalFormatting sqref="AE31">
    <cfRule type="cellIs" dxfId="477" priority="374" operator="lessThanOrEqual">
      <formula>G31</formula>
    </cfRule>
  </conditionalFormatting>
  <conditionalFormatting sqref="AE33">
    <cfRule type="cellIs" dxfId="476" priority="379" operator="lessThanOrEqual">
      <formula>G33</formula>
    </cfRule>
  </conditionalFormatting>
  <conditionalFormatting sqref="AE34">
    <cfRule type="cellIs" dxfId="475" priority="384" operator="lessThanOrEqual">
      <formula>G34</formula>
    </cfRule>
  </conditionalFormatting>
  <conditionalFormatting sqref="AE35">
    <cfRule type="cellIs" dxfId="474" priority="389" operator="lessThanOrEqual">
      <formula>G35</formula>
    </cfRule>
  </conditionalFormatting>
  <conditionalFormatting sqref="AE36">
    <cfRule type="cellIs" dxfId="473" priority="394" operator="lessThanOrEqual">
      <formula>G36</formula>
    </cfRule>
  </conditionalFormatting>
  <conditionalFormatting sqref="AE37">
    <cfRule type="cellIs" dxfId="472" priority="399" operator="lessThanOrEqual">
      <formula>G37</formula>
    </cfRule>
  </conditionalFormatting>
  <conditionalFormatting sqref="AE38">
    <cfRule type="cellIs" dxfId="471" priority="404" operator="lessThanOrEqual">
      <formula>G38</formula>
    </cfRule>
  </conditionalFormatting>
  <conditionalFormatting sqref="AE39">
    <cfRule type="cellIs" dxfId="470" priority="409" operator="lessThanOrEqual">
      <formula>G39</formula>
    </cfRule>
  </conditionalFormatting>
  <conditionalFormatting sqref="AE8">
    <cfRule type="cellIs" dxfId="469" priority="319" operator="lessThanOrEqual">
      <formula>G8</formula>
    </cfRule>
  </conditionalFormatting>
  <conditionalFormatting sqref="AE9">
    <cfRule type="cellIs" dxfId="468" priority="324" operator="lessThanOrEqual">
      <formula>G9</formula>
    </cfRule>
  </conditionalFormatting>
  <conditionalFormatting sqref="AG10">
    <cfRule type="cellIs" dxfId="467" priority="422" operator="equal">
      <formula>0</formula>
    </cfRule>
    <cfRule type="cellIs" dxfId="466" priority="423" operator="lessThan">
      <formula>E10</formula>
    </cfRule>
  </conditionalFormatting>
  <conditionalFormatting sqref="AG11">
    <cfRule type="cellIs" dxfId="465" priority="427" operator="equal">
      <formula>0</formula>
    </cfRule>
    <cfRule type="cellIs" dxfId="464" priority="428" operator="lessThan">
      <formula>E11</formula>
    </cfRule>
  </conditionalFormatting>
  <conditionalFormatting sqref="AG12">
    <cfRule type="cellIs" dxfId="463" priority="433" operator="equal">
      <formula>0</formula>
    </cfRule>
    <cfRule type="cellIs" dxfId="462" priority="434" operator="lessThan">
      <formula>E12</formula>
    </cfRule>
  </conditionalFormatting>
  <conditionalFormatting sqref="AG13">
    <cfRule type="cellIs" dxfId="461" priority="438" operator="equal">
      <formula>0</formula>
    </cfRule>
    <cfRule type="cellIs" dxfId="460" priority="439" operator="lessThan">
      <formula>E13</formula>
    </cfRule>
  </conditionalFormatting>
  <conditionalFormatting sqref="AG14">
    <cfRule type="cellIs" dxfId="459" priority="444" operator="equal">
      <formula>0</formula>
    </cfRule>
    <cfRule type="cellIs" dxfId="458" priority="445" operator="lessThan">
      <formula>E14</formula>
    </cfRule>
  </conditionalFormatting>
  <conditionalFormatting sqref="AG15">
    <cfRule type="cellIs" dxfId="457" priority="450" operator="equal">
      <formula>0</formula>
    </cfRule>
    <cfRule type="cellIs" dxfId="456" priority="451" operator="lessThan">
      <formula>E15</formula>
    </cfRule>
  </conditionalFormatting>
  <conditionalFormatting sqref="AG17">
    <cfRule type="cellIs" dxfId="455" priority="455" operator="equal">
      <formula>0</formula>
    </cfRule>
    <cfRule type="cellIs" dxfId="454" priority="456" operator="lessThan">
      <formula>E17</formula>
    </cfRule>
  </conditionalFormatting>
  <conditionalFormatting sqref="AG31">
    <cfRule type="cellIs" dxfId="453" priority="460" operator="equal">
      <formula>0</formula>
    </cfRule>
    <cfRule type="cellIs" dxfId="452" priority="461" operator="lessThan">
      <formula>E31</formula>
    </cfRule>
  </conditionalFormatting>
  <conditionalFormatting sqref="AG36">
    <cfRule type="cellIs" dxfId="451" priority="466" operator="equal">
      <formula>0</formula>
    </cfRule>
    <cfRule type="cellIs" dxfId="450" priority="467" operator="lessThan">
      <formula>E36</formula>
    </cfRule>
  </conditionalFormatting>
  <conditionalFormatting sqref="AG39">
    <cfRule type="cellIs" dxfId="449" priority="471" operator="equal">
      <formula>0</formula>
    </cfRule>
    <cfRule type="cellIs" dxfId="448" priority="472" operator="lessThan">
      <formula>E39</formula>
    </cfRule>
  </conditionalFormatting>
  <conditionalFormatting sqref="AG7">
    <cfRule type="cellIs" dxfId="447" priority="411" operator="equal">
      <formula>0</formula>
    </cfRule>
    <cfRule type="cellIs" dxfId="446" priority="412" operator="lessThan">
      <formula>E7</formula>
    </cfRule>
  </conditionalFormatting>
  <conditionalFormatting sqref="AG8">
    <cfRule type="cellIs" dxfId="445" priority="417" operator="equal">
      <formula>0</formula>
    </cfRule>
    <cfRule type="cellIs" dxfId="444" priority="418" operator="lessThan">
      <formula>E8</formula>
    </cfRule>
  </conditionalFormatting>
  <conditionalFormatting sqref="AH10">
    <cfRule type="cellIs" dxfId="443" priority="424" operator="greaterThan">
      <formula>AG10</formula>
    </cfRule>
  </conditionalFormatting>
  <conditionalFormatting sqref="AH11">
    <cfRule type="expression" dxfId="442" priority="429">
      <formula>AND(AH11&gt;0,AH11&lt;5)</formula>
    </cfRule>
    <cfRule type="cellIs" dxfId="441" priority="430" operator="greaterThan">
      <formula>AG11</formula>
    </cfRule>
  </conditionalFormatting>
  <conditionalFormatting sqref="AH12">
    <cfRule type="cellIs" dxfId="440" priority="435" operator="greaterThan">
      <formula>AG12</formula>
    </cfRule>
  </conditionalFormatting>
  <conditionalFormatting sqref="AH13">
    <cfRule type="expression" dxfId="439" priority="440">
      <formula>AND(AH13&gt;0,AH13&lt;2000)</formula>
    </cfRule>
    <cfRule type="cellIs" dxfId="438" priority="441" operator="greaterThan">
      <formula>AG13</formula>
    </cfRule>
  </conditionalFormatting>
  <conditionalFormatting sqref="AH14">
    <cfRule type="expression" dxfId="437" priority="446">
      <formula>AND(AH14&gt;0,AH14&lt;5)</formula>
    </cfRule>
    <cfRule type="cellIs" dxfId="436" priority="447" operator="greaterThan">
      <formula>AG14</formula>
    </cfRule>
  </conditionalFormatting>
  <conditionalFormatting sqref="AH15">
    <cfRule type="cellIs" dxfId="435" priority="452" operator="greaterThan">
      <formula>AG15</formula>
    </cfRule>
  </conditionalFormatting>
  <conditionalFormatting sqref="AH17">
    <cfRule type="cellIs" dxfId="434" priority="457" operator="greaterThan">
      <formula>AG17</formula>
    </cfRule>
  </conditionalFormatting>
  <conditionalFormatting sqref="AH31">
    <cfRule type="expression" dxfId="433" priority="462">
      <formula>AND(AH31&gt;0,AH31&lt;10)</formula>
    </cfRule>
    <cfRule type="cellIs" dxfId="432" priority="463" operator="greaterThan">
      <formula>AG31</formula>
    </cfRule>
  </conditionalFormatting>
  <conditionalFormatting sqref="AH36">
    <cfRule type="cellIs" dxfId="431" priority="468" operator="greaterThan">
      <formula>AG36</formula>
    </cfRule>
  </conditionalFormatting>
  <conditionalFormatting sqref="AH39">
    <cfRule type="cellIs" dxfId="430" priority="473" operator="greaterThan">
      <formula>AG39</formula>
    </cfRule>
  </conditionalFormatting>
  <conditionalFormatting sqref="AH7">
    <cfRule type="expression" dxfId="429" priority="413">
      <formula>AND(AH7&gt;0,AH7&lt;4000)</formula>
    </cfRule>
    <cfRule type="cellIs" dxfId="428" priority="414" operator="greaterThan">
      <formula>AG7</formula>
    </cfRule>
  </conditionalFormatting>
  <conditionalFormatting sqref="AH8">
    <cfRule type="cellIs" dxfId="427" priority="419" operator="greaterThan">
      <formula>AG8</formula>
    </cfRule>
  </conditionalFormatting>
  <conditionalFormatting sqref="AI10">
    <cfRule type="cellIs" dxfId="426" priority="426" operator="lessThanOrEqual">
      <formula>F10</formula>
    </cfRule>
  </conditionalFormatting>
  <conditionalFormatting sqref="AI11">
    <cfRule type="cellIs" dxfId="425" priority="432" operator="lessThanOrEqual">
      <formula>F11</formula>
    </cfRule>
  </conditionalFormatting>
  <conditionalFormatting sqref="AI12">
    <cfRule type="cellIs" dxfId="424" priority="437" operator="lessThanOrEqual">
      <formula>F12</formula>
    </cfRule>
  </conditionalFormatting>
  <conditionalFormatting sqref="AI13">
    <cfRule type="cellIs" dxfId="423" priority="443" operator="lessThanOrEqual">
      <formula>F13</formula>
    </cfRule>
  </conditionalFormatting>
  <conditionalFormatting sqref="AI14">
    <cfRule type="cellIs" dxfId="422" priority="449" operator="lessThanOrEqual">
      <formula>F14</formula>
    </cfRule>
  </conditionalFormatting>
  <conditionalFormatting sqref="AI15">
    <cfRule type="cellIs" dxfId="421" priority="454" operator="lessThanOrEqual">
      <formula>F15</formula>
    </cfRule>
  </conditionalFormatting>
  <conditionalFormatting sqref="AI17">
    <cfRule type="cellIs" dxfId="420" priority="459" operator="lessThanOrEqual">
      <formula>F17</formula>
    </cfRule>
  </conditionalFormatting>
  <conditionalFormatting sqref="AI31">
    <cfRule type="cellIs" dxfId="419" priority="465" operator="lessThanOrEqual">
      <formula>F31</formula>
    </cfRule>
  </conditionalFormatting>
  <conditionalFormatting sqref="AI36">
    <cfRule type="cellIs" dxfId="418" priority="470" operator="lessThanOrEqual">
      <formula>F36</formula>
    </cfRule>
  </conditionalFormatting>
  <conditionalFormatting sqref="AI39">
    <cfRule type="cellIs" dxfId="417" priority="475" operator="lessThanOrEqual">
      <formula>F39</formula>
    </cfRule>
  </conditionalFormatting>
  <conditionalFormatting sqref="AI7">
    <cfRule type="cellIs" dxfId="416" priority="416" operator="lessThanOrEqual">
      <formula>F7</formula>
    </cfRule>
  </conditionalFormatting>
  <conditionalFormatting sqref="AI8">
    <cfRule type="cellIs" dxfId="415" priority="421" operator="lessThanOrEqual">
      <formula>F8</formula>
    </cfRule>
  </conditionalFormatting>
  <conditionalFormatting sqref="AJ10">
    <cfRule type="cellIs" dxfId="414" priority="425" operator="lessThanOrEqual">
      <formula>G10</formula>
    </cfRule>
  </conditionalFormatting>
  <conditionalFormatting sqref="AJ11">
    <cfRule type="cellIs" dxfId="413" priority="431" operator="lessThanOrEqual">
      <formula>G11</formula>
    </cfRule>
  </conditionalFormatting>
  <conditionalFormatting sqref="AJ12">
    <cfRule type="cellIs" dxfId="412" priority="436" operator="lessThanOrEqual">
      <formula>G12</formula>
    </cfRule>
  </conditionalFormatting>
  <conditionalFormatting sqref="AJ13">
    <cfRule type="cellIs" dxfId="411" priority="442" operator="lessThanOrEqual">
      <formula>G13</formula>
    </cfRule>
  </conditionalFormatting>
  <conditionalFormatting sqref="AJ14">
    <cfRule type="cellIs" dxfId="410" priority="448" operator="lessThanOrEqual">
      <formula>G14</formula>
    </cfRule>
  </conditionalFormatting>
  <conditionalFormatting sqref="AJ15">
    <cfRule type="cellIs" dxfId="409" priority="453" operator="lessThanOrEqual">
      <formula>G15</formula>
    </cfRule>
  </conditionalFormatting>
  <conditionalFormatting sqref="AJ17">
    <cfRule type="cellIs" dxfId="408" priority="458" operator="lessThanOrEqual">
      <formula>G17</formula>
    </cfRule>
  </conditionalFormatting>
  <conditionalFormatting sqref="AJ31">
    <cfRule type="cellIs" dxfId="407" priority="464" operator="lessThanOrEqual">
      <formula>G31</formula>
    </cfRule>
  </conditionalFormatting>
  <conditionalFormatting sqref="AJ36">
    <cfRule type="cellIs" dxfId="406" priority="469" operator="lessThanOrEqual">
      <formula>G36</formula>
    </cfRule>
  </conditionalFormatting>
  <conditionalFormatting sqref="AJ39">
    <cfRule type="cellIs" dxfId="405" priority="474" operator="lessThanOrEqual">
      <formula>G39</formula>
    </cfRule>
  </conditionalFormatting>
  <conditionalFormatting sqref="AJ7">
    <cfRule type="cellIs" dxfId="404" priority="415" operator="lessThanOrEqual">
      <formula>G7</formula>
    </cfRule>
  </conditionalFormatting>
  <conditionalFormatting sqref="AJ8">
    <cfRule type="cellIs" dxfId="403" priority="420" operator="lessThanOrEqual">
      <formula>G8</formula>
    </cfRule>
  </conditionalFormatting>
  <conditionalFormatting sqref="AL11">
    <cfRule type="cellIs" dxfId="402" priority="482" operator="equal">
      <formula>0</formula>
    </cfRule>
    <cfRule type="cellIs" dxfId="401" priority="483" operator="lessThan">
      <formula>E11</formula>
    </cfRule>
  </conditionalFormatting>
  <conditionalFormatting sqref="AL12">
    <cfRule type="cellIs" dxfId="400" priority="488" operator="equal">
      <formula>0</formula>
    </cfRule>
    <cfRule type="cellIs" dxfId="399" priority="489" operator="lessThan">
      <formula>E12</formula>
    </cfRule>
  </conditionalFormatting>
  <conditionalFormatting sqref="AL15">
    <cfRule type="cellIs" dxfId="398" priority="494" operator="equal">
      <formula>0</formula>
    </cfRule>
    <cfRule type="cellIs" dxfId="397" priority="495" operator="lessThan">
      <formula>E15</formula>
    </cfRule>
  </conditionalFormatting>
  <conditionalFormatting sqref="AL29">
    <cfRule type="cellIs" dxfId="396" priority="500" operator="equal">
      <formula>0</formula>
    </cfRule>
    <cfRule type="cellIs" dxfId="395" priority="501" operator="lessThan">
      <formula>E29</formula>
    </cfRule>
  </conditionalFormatting>
  <conditionalFormatting sqref="AL31">
    <cfRule type="cellIs" dxfId="394" priority="506" operator="equal">
      <formula>0</formula>
    </cfRule>
    <cfRule type="cellIs" dxfId="393" priority="507" operator="lessThan">
      <formula>E31</formula>
    </cfRule>
  </conditionalFormatting>
  <conditionalFormatting sqref="AL36">
    <cfRule type="cellIs" dxfId="392" priority="512" operator="equal">
      <formula>0</formula>
    </cfRule>
    <cfRule type="cellIs" dxfId="391" priority="513" operator="lessThan">
      <formula>E36</formula>
    </cfRule>
  </conditionalFormatting>
  <conditionalFormatting sqref="AL37">
    <cfRule type="cellIs" dxfId="390" priority="518" operator="equal">
      <formula>0</formula>
    </cfRule>
    <cfRule type="cellIs" dxfId="389" priority="519" operator="lessThan">
      <formula>E37</formula>
    </cfRule>
  </conditionalFormatting>
  <conditionalFormatting sqref="AL39">
    <cfRule type="cellIs" dxfId="388" priority="523" operator="equal">
      <formula>0</formula>
    </cfRule>
    <cfRule type="cellIs" dxfId="387" priority="524" operator="lessThan">
      <formula>E39</formula>
    </cfRule>
  </conditionalFormatting>
  <conditionalFormatting sqref="AL7">
    <cfRule type="cellIs" dxfId="386" priority="476" operator="equal">
      <formula>0</formula>
    </cfRule>
    <cfRule type="cellIs" dxfId="385" priority="477" operator="lessThan">
      <formula>E7</formula>
    </cfRule>
  </conditionalFormatting>
  <conditionalFormatting sqref="AM11">
    <cfRule type="expression" dxfId="384" priority="484">
      <formula>AND(AM11&gt;0,AM11&lt;25)</formula>
    </cfRule>
    <cfRule type="cellIs" dxfId="383" priority="485" operator="greaterThan">
      <formula>AL11</formula>
    </cfRule>
  </conditionalFormatting>
  <conditionalFormatting sqref="AM12">
    <cfRule type="expression" dxfId="382" priority="490">
      <formula>AND(AM12&gt;0,AM12&lt;500)</formula>
    </cfRule>
    <cfRule type="cellIs" dxfId="381" priority="491" operator="greaterThan">
      <formula>AL12</formula>
    </cfRule>
  </conditionalFormatting>
  <conditionalFormatting sqref="AM15">
    <cfRule type="expression" dxfId="380" priority="496">
      <formula>AND(AM15&gt;0,AM15&lt;200)</formula>
    </cfRule>
    <cfRule type="cellIs" dxfId="379" priority="497" operator="greaterThan">
      <formula>AL15</formula>
    </cfRule>
  </conditionalFormatting>
  <conditionalFormatting sqref="AM29">
    <cfRule type="expression" dxfId="378" priority="502">
      <formula>AND(AM29&gt;0,AM29&lt;5000)</formula>
    </cfRule>
    <cfRule type="cellIs" dxfId="377" priority="503" operator="greaterThan">
      <formula>AL29</formula>
    </cfRule>
  </conditionalFormatting>
  <conditionalFormatting sqref="AM31">
    <cfRule type="expression" dxfId="376" priority="508">
      <formula>AND(AM31&gt;0,AM31&lt;5000)</formula>
    </cfRule>
    <cfRule type="cellIs" dxfId="375" priority="509" operator="greaterThan">
      <formula>AL31</formula>
    </cfRule>
  </conditionalFormatting>
  <conditionalFormatting sqref="AM36">
    <cfRule type="expression" dxfId="374" priority="514">
      <formula>AND(AM36&gt;0,AM36&lt;10)</formula>
    </cfRule>
    <cfRule type="cellIs" dxfId="373" priority="515" operator="greaterThan">
      <formula>AL36</formula>
    </cfRule>
  </conditionalFormatting>
  <conditionalFormatting sqref="AM37">
    <cfRule type="cellIs" dxfId="372" priority="520" operator="greaterThan">
      <formula>AL37</formula>
    </cfRule>
  </conditionalFormatting>
  <conditionalFormatting sqref="AM39">
    <cfRule type="expression" dxfId="371" priority="525">
      <formula>AND(AM39&gt;0,AM39&lt;5)</formula>
    </cfRule>
    <cfRule type="cellIs" dxfId="370" priority="526" operator="greaterThan">
      <formula>AL39</formula>
    </cfRule>
  </conditionalFormatting>
  <conditionalFormatting sqref="AM7">
    <cfRule type="expression" dxfId="369" priority="478">
      <formula>AND(AM7&gt;0,AM7&lt;25)</formula>
    </cfRule>
    <cfRule type="cellIs" dxfId="368" priority="479" operator="greaterThan">
      <formula>AL7</formula>
    </cfRule>
  </conditionalFormatting>
  <conditionalFormatting sqref="AN11">
    <cfRule type="cellIs" dxfId="367" priority="487" operator="lessThanOrEqual">
      <formula>F11</formula>
    </cfRule>
  </conditionalFormatting>
  <conditionalFormatting sqref="AN12">
    <cfRule type="cellIs" dxfId="366" priority="493" operator="lessThanOrEqual">
      <formula>F12</formula>
    </cfRule>
  </conditionalFormatting>
  <conditionalFormatting sqref="AN15">
    <cfRule type="cellIs" dxfId="365" priority="499" operator="lessThanOrEqual">
      <formula>F15</formula>
    </cfRule>
  </conditionalFormatting>
  <conditionalFormatting sqref="AN29">
    <cfRule type="cellIs" dxfId="364" priority="505" operator="lessThanOrEqual">
      <formula>F29</formula>
    </cfRule>
  </conditionalFormatting>
  <conditionalFormatting sqref="AN31">
    <cfRule type="cellIs" dxfId="363" priority="511" operator="lessThanOrEqual">
      <formula>F31</formula>
    </cfRule>
  </conditionalFormatting>
  <conditionalFormatting sqref="AN36">
    <cfRule type="cellIs" dxfId="362" priority="517" operator="lessThanOrEqual">
      <formula>F36</formula>
    </cfRule>
  </conditionalFormatting>
  <conditionalFormatting sqref="AN37">
    <cfRule type="cellIs" dxfId="361" priority="522" operator="lessThanOrEqual">
      <formula>F37</formula>
    </cfRule>
  </conditionalFormatting>
  <conditionalFormatting sqref="AN39">
    <cfRule type="cellIs" dxfId="360" priority="528" operator="lessThanOrEqual">
      <formula>F39</formula>
    </cfRule>
  </conditionalFormatting>
  <conditionalFormatting sqref="AN7">
    <cfRule type="cellIs" dxfId="359" priority="481" operator="lessThanOrEqual">
      <formula>F7</formula>
    </cfRule>
  </conditionalFormatting>
  <conditionalFormatting sqref="AO11">
    <cfRule type="cellIs" dxfId="358" priority="486" operator="lessThanOrEqual">
      <formula>G11</formula>
    </cfRule>
  </conditionalFormatting>
  <conditionalFormatting sqref="AO12">
    <cfRule type="cellIs" dxfId="357" priority="492" operator="lessThanOrEqual">
      <formula>G12</formula>
    </cfRule>
  </conditionalFormatting>
  <conditionalFormatting sqref="AO15">
    <cfRule type="cellIs" dxfId="356" priority="498" operator="lessThanOrEqual">
      <formula>G15</formula>
    </cfRule>
  </conditionalFormatting>
  <conditionalFormatting sqref="AO29">
    <cfRule type="cellIs" dxfId="355" priority="504" operator="lessThanOrEqual">
      <formula>G29</formula>
    </cfRule>
  </conditionalFormatting>
  <conditionalFormatting sqref="AO31">
    <cfRule type="cellIs" dxfId="354" priority="510" operator="lessThanOrEqual">
      <formula>G31</formula>
    </cfRule>
  </conditionalFormatting>
  <conditionalFormatting sqref="AO36">
    <cfRule type="cellIs" dxfId="353" priority="516" operator="lessThanOrEqual">
      <formula>G36</formula>
    </cfRule>
  </conditionalFormatting>
  <conditionalFormatting sqref="AO37">
    <cfRule type="cellIs" dxfId="352" priority="521" operator="lessThanOrEqual">
      <formula>G37</formula>
    </cfRule>
  </conditionalFormatting>
  <conditionalFormatting sqref="AO39">
    <cfRule type="cellIs" dxfId="351" priority="527" operator="lessThanOrEqual">
      <formula>G39</formula>
    </cfRule>
  </conditionalFormatting>
  <conditionalFormatting sqref="AO7">
    <cfRule type="cellIs" dxfId="350" priority="480" operator="lessThanOrEqual">
      <formula>G7</formula>
    </cfRule>
  </conditionalFormatting>
  <conditionalFormatting sqref="AQ10">
    <cfRule type="cellIs" dxfId="349" priority="529" operator="equal">
      <formula>0</formula>
    </cfRule>
    <cfRule type="cellIs" dxfId="348" priority="530" operator="lessThan">
      <formula>E10</formula>
    </cfRule>
  </conditionalFormatting>
  <conditionalFormatting sqref="AQ11">
    <cfRule type="cellIs" dxfId="347" priority="535" operator="equal">
      <formula>0</formula>
    </cfRule>
    <cfRule type="cellIs" dxfId="346" priority="536" operator="lessThan">
      <formula>E11</formula>
    </cfRule>
  </conditionalFormatting>
  <conditionalFormatting sqref="AQ14">
    <cfRule type="cellIs" dxfId="345" priority="541" operator="equal">
      <formula>0</formula>
    </cfRule>
    <cfRule type="cellIs" dxfId="344" priority="542" operator="lessThan">
      <formula>E14</formula>
    </cfRule>
  </conditionalFormatting>
  <conditionalFormatting sqref="AQ15">
    <cfRule type="cellIs" dxfId="343" priority="547" operator="equal">
      <formula>0</formula>
    </cfRule>
    <cfRule type="cellIs" dxfId="342" priority="548" operator="lessThan">
      <formula>E15</formula>
    </cfRule>
  </conditionalFormatting>
  <conditionalFormatting sqref="AQ36">
    <cfRule type="cellIs" dxfId="341" priority="553" operator="equal">
      <formula>0</formula>
    </cfRule>
    <cfRule type="cellIs" dxfId="340" priority="554" operator="lessThan">
      <formula>E36</formula>
    </cfRule>
  </conditionalFormatting>
  <conditionalFormatting sqref="AQ39">
    <cfRule type="cellIs" dxfId="339" priority="559" operator="equal">
      <formula>0</formula>
    </cfRule>
    <cfRule type="cellIs" dxfId="338" priority="560" operator="lessThan">
      <formula>E39</formula>
    </cfRule>
  </conditionalFormatting>
  <conditionalFormatting sqref="AR10">
    <cfRule type="expression" dxfId="337" priority="531">
      <formula>AND(AR10&gt;0,AR10&lt;100)</formula>
    </cfRule>
    <cfRule type="cellIs" dxfId="336" priority="532" operator="greaterThan">
      <formula>AQ10</formula>
    </cfRule>
  </conditionalFormatting>
  <conditionalFormatting sqref="AR11">
    <cfRule type="expression" dxfId="335" priority="537">
      <formula>AND(AR11&gt;0,AR11&lt;10)</formula>
    </cfRule>
    <cfRule type="cellIs" dxfId="334" priority="538" operator="greaterThan">
      <formula>AQ11</formula>
    </cfRule>
  </conditionalFormatting>
  <conditionalFormatting sqref="AR14">
    <cfRule type="expression" dxfId="333" priority="543">
      <formula>AND(AR14&gt;0,AR14&lt;10)</formula>
    </cfRule>
    <cfRule type="cellIs" dxfId="332" priority="544" operator="greaterThan">
      <formula>AQ14</formula>
    </cfRule>
  </conditionalFormatting>
  <conditionalFormatting sqref="AR15">
    <cfRule type="expression" dxfId="331" priority="549">
      <formula>AND(AR15&gt;0,AR15&lt;25)</formula>
    </cfRule>
    <cfRule type="cellIs" dxfId="330" priority="550" operator="greaterThan">
      <formula>AQ15</formula>
    </cfRule>
  </conditionalFormatting>
  <conditionalFormatting sqref="AR36">
    <cfRule type="expression" dxfId="329" priority="555">
      <formula>AND(AR36&gt;0,AR36&lt;3)</formula>
    </cfRule>
    <cfRule type="cellIs" dxfId="328" priority="556" operator="greaterThan">
      <formula>AQ36</formula>
    </cfRule>
  </conditionalFormatting>
  <conditionalFormatting sqref="AR39">
    <cfRule type="cellIs" dxfId="327" priority="561" operator="greaterThan">
      <formula>AQ39</formula>
    </cfRule>
  </conditionalFormatting>
  <conditionalFormatting sqref="AS10">
    <cfRule type="cellIs" dxfId="326" priority="534" operator="lessThanOrEqual">
      <formula>F10</formula>
    </cfRule>
  </conditionalFormatting>
  <conditionalFormatting sqref="AS11">
    <cfRule type="cellIs" dxfId="325" priority="540" operator="lessThanOrEqual">
      <formula>F11</formula>
    </cfRule>
  </conditionalFormatting>
  <conditionalFormatting sqref="AS14">
    <cfRule type="cellIs" dxfId="324" priority="546" operator="lessThanOrEqual">
      <formula>F14</formula>
    </cfRule>
  </conditionalFormatting>
  <conditionalFormatting sqref="AS15">
    <cfRule type="cellIs" dxfId="323" priority="552" operator="lessThanOrEqual">
      <formula>F15</formula>
    </cfRule>
  </conditionalFormatting>
  <conditionalFormatting sqref="AS36">
    <cfRule type="cellIs" dxfId="322" priority="558" operator="lessThanOrEqual">
      <formula>F36</formula>
    </cfRule>
  </conditionalFormatting>
  <conditionalFormatting sqref="AS39">
    <cfRule type="cellIs" dxfId="321" priority="563" operator="lessThanOrEqual">
      <formula>F39</formula>
    </cfRule>
  </conditionalFormatting>
  <conditionalFormatting sqref="AT10">
    <cfRule type="cellIs" dxfId="320" priority="533" operator="lessThanOrEqual">
      <formula>G10</formula>
    </cfRule>
  </conditionalFormatting>
  <conditionalFormatting sqref="AT11">
    <cfRule type="cellIs" dxfId="319" priority="539" operator="lessThanOrEqual">
      <formula>G11</formula>
    </cfRule>
  </conditionalFormatting>
  <conditionalFormatting sqref="AT14">
    <cfRule type="cellIs" dxfId="318" priority="545" operator="lessThanOrEqual">
      <formula>G14</formula>
    </cfRule>
  </conditionalFormatting>
  <conditionalFormatting sqref="AT15">
    <cfRule type="cellIs" dxfId="317" priority="551" operator="lessThanOrEqual">
      <formula>G15</formula>
    </cfRule>
  </conditionalFormatting>
  <conditionalFormatting sqref="AT36">
    <cfRule type="cellIs" dxfId="316" priority="557" operator="lessThanOrEqual">
      <formula>G36</formula>
    </cfRule>
  </conditionalFormatting>
  <conditionalFormatting sqref="AT39">
    <cfRule type="cellIs" dxfId="315" priority="562" operator="lessThanOrEqual">
      <formula>G39</formula>
    </cfRule>
  </conditionalFormatting>
  <conditionalFormatting sqref="E10">
    <cfRule type="expression" dxfId="314" priority="13">
      <formula>AND(ISBLANK(D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13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1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11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1">
    <cfRule type="expression" dxfId="310" priority="17">
      <formula>AND(ISBLANK(D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09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08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07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2">
    <cfRule type="expression" dxfId="306" priority="21">
      <formula>AND(ISBLANK(D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05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04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0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3">
    <cfRule type="expression" dxfId="302" priority="25">
      <formula>AND(ISBLANK(D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0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00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99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4">
    <cfRule type="expression" dxfId="298" priority="29">
      <formula>AND(ISBLANK(D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97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96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95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5">
    <cfRule type="expression" dxfId="294" priority="33">
      <formula>AND(ISBLANK(D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93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9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91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6">
    <cfRule type="expression" dxfId="290" priority="37">
      <formula>AND(ISBLANK(D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89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88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87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7">
    <cfRule type="expression" dxfId="286" priority="41">
      <formula>AND(ISBLANK(D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85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84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8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8">
    <cfRule type="expression" dxfId="282" priority="45">
      <formula>AND(ISBLANK(D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8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80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79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9">
    <cfRule type="expression" dxfId="278" priority="49">
      <formula>AND(ISBLANK(D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77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76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75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0">
    <cfRule type="expression" dxfId="274" priority="53">
      <formula>AND(ISBLANK(D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73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7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71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1">
    <cfRule type="expression" dxfId="270" priority="57">
      <formula>AND(ISBLANK(D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69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68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67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2">
    <cfRule type="expression" dxfId="266" priority="61">
      <formula>AND(ISBLANK(D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65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64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6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3">
    <cfRule type="expression" dxfId="262" priority="65">
      <formula>AND(ISBLANK(D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6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60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59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4">
    <cfRule type="expression" dxfId="258" priority="69">
      <formula>AND(ISBLANK(D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57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56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55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5">
    <cfRule type="expression" dxfId="254" priority="73">
      <formula>AND(ISBLANK(D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53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5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51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6">
    <cfRule type="expression" dxfId="250" priority="77">
      <formula>AND(ISBLANK(D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49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48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47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7">
    <cfRule type="expression" dxfId="246" priority="81">
      <formula>AND(ISBLANK(D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45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44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4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8">
    <cfRule type="expression" dxfId="242" priority="85">
      <formula>AND(ISBLANK(D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4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40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39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9">
    <cfRule type="expression" dxfId="238" priority="89">
      <formula>AND(ISBLANK(D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37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36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35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0">
    <cfRule type="expression" dxfId="234" priority="93">
      <formula>AND(ISBLANK(D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33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3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31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1">
    <cfRule type="expression" dxfId="230" priority="97">
      <formula>AND(ISBLANK(D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29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28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27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2">
    <cfRule type="expression" dxfId="226" priority="101">
      <formula>AND(ISBLANK(D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25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24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2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3">
    <cfRule type="expression" dxfId="222" priority="105">
      <formula>AND(ISBLANK(D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2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20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19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4">
    <cfRule type="expression" dxfId="218" priority="109">
      <formula>AND(ISBLANK(D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17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16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15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5">
    <cfRule type="expression" dxfId="214" priority="113">
      <formula>AND(ISBLANK(D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13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1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11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6">
    <cfRule type="expression" dxfId="210" priority="117">
      <formula>AND(ISBLANK(D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09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08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07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7">
    <cfRule type="expression" dxfId="206" priority="121">
      <formula>AND(ISBLANK(D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05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04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0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8">
    <cfRule type="expression" dxfId="202" priority="125">
      <formula>AND(ISBLANK(D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0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00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99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9">
    <cfRule type="expression" dxfId="198" priority="129">
      <formula>AND(ISBLANK(D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97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96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95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7">
    <cfRule type="expression" dxfId="194" priority="1">
      <formula>AND(ISBLANK(D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93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9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91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8">
    <cfRule type="expression" dxfId="190" priority="5">
      <formula>AND(ISBLANK(D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89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88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87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9">
    <cfRule type="expression" dxfId="186" priority="9">
      <formula>AND(ISBLANK(D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85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184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18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M10">
    <cfRule type="cellIs" dxfId="182" priority="148" operator="equal">
      <formula>0</formula>
    </cfRule>
    <cfRule type="cellIs" dxfId="181" priority="149" operator="lessThan">
      <formula>E10</formula>
    </cfRule>
  </conditionalFormatting>
  <conditionalFormatting sqref="M11">
    <cfRule type="cellIs" dxfId="180" priority="153" operator="equal">
      <formula>0</formula>
    </cfRule>
    <cfRule type="cellIs" dxfId="179" priority="154" operator="lessThan">
      <formula>E11</formula>
    </cfRule>
  </conditionalFormatting>
  <conditionalFormatting sqref="M12">
    <cfRule type="cellIs" dxfId="178" priority="158" operator="equal">
      <formula>0</formula>
    </cfRule>
    <cfRule type="cellIs" dxfId="177" priority="159" operator="lessThan">
      <formula>E12</formula>
    </cfRule>
  </conditionalFormatting>
  <conditionalFormatting sqref="M13">
    <cfRule type="cellIs" dxfId="176" priority="163" operator="equal">
      <formula>0</formula>
    </cfRule>
    <cfRule type="cellIs" dxfId="175" priority="164" operator="lessThan">
      <formula>E13</formula>
    </cfRule>
  </conditionalFormatting>
  <conditionalFormatting sqref="M14">
    <cfRule type="cellIs" dxfId="174" priority="168" operator="equal">
      <formula>0</formula>
    </cfRule>
    <cfRule type="cellIs" dxfId="173" priority="169" operator="lessThan">
      <formula>E14</formula>
    </cfRule>
  </conditionalFormatting>
  <conditionalFormatting sqref="M15">
    <cfRule type="cellIs" dxfId="172" priority="173" operator="equal">
      <formula>0</formula>
    </cfRule>
    <cfRule type="cellIs" dxfId="171" priority="174" operator="lessThan">
      <formula>E15</formula>
    </cfRule>
  </conditionalFormatting>
  <conditionalFormatting sqref="M17">
    <cfRule type="cellIs" dxfId="170" priority="178" operator="equal">
      <formula>0</formula>
    </cfRule>
    <cfRule type="cellIs" dxfId="169" priority="179" operator="lessThan">
      <formula>E17</formula>
    </cfRule>
  </conditionalFormatting>
  <conditionalFormatting sqref="M29">
    <cfRule type="cellIs" dxfId="168" priority="183" operator="equal">
      <formula>0</formula>
    </cfRule>
    <cfRule type="cellIs" dxfId="167" priority="184" operator="lessThan">
      <formula>E29</formula>
    </cfRule>
  </conditionalFormatting>
  <conditionalFormatting sqref="M30">
    <cfRule type="cellIs" dxfId="166" priority="188" operator="equal">
      <formula>0</formula>
    </cfRule>
    <cfRule type="cellIs" dxfId="165" priority="189" operator="lessThan">
      <formula>E30</formula>
    </cfRule>
  </conditionalFormatting>
  <conditionalFormatting sqref="M31">
    <cfRule type="cellIs" dxfId="164" priority="193" operator="equal">
      <formula>0</formula>
    </cfRule>
    <cfRule type="cellIs" dxfId="163" priority="194" operator="lessThan">
      <formula>E31</formula>
    </cfRule>
  </conditionalFormatting>
  <conditionalFormatting sqref="M32">
    <cfRule type="cellIs" dxfId="162" priority="198" operator="equal">
      <formula>0</formula>
    </cfRule>
    <cfRule type="cellIs" dxfId="161" priority="199" operator="lessThan">
      <formula>E32</formula>
    </cfRule>
  </conditionalFormatting>
  <conditionalFormatting sqref="M33">
    <cfRule type="cellIs" dxfId="160" priority="203" operator="equal">
      <formula>0</formula>
    </cfRule>
    <cfRule type="cellIs" dxfId="159" priority="204" operator="lessThan">
      <formula>E33</formula>
    </cfRule>
  </conditionalFormatting>
  <conditionalFormatting sqref="M34">
    <cfRule type="cellIs" dxfId="158" priority="208" operator="equal">
      <formula>0</formula>
    </cfRule>
    <cfRule type="cellIs" dxfId="157" priority="209" operator="lessThan">
      <formula>E34</formula>
    </cfRule>
  </conditionalFormatting>
  <conditionalFormatting sqref="M35">
    <cfRule type="cellIs" dxfId="156" priority="213" operator="equal">
      <formula>0</formula>
    </cfRule>
    <cfRule type="cellIs" dxfId="155" priority="214" operator="lessThan">
      <formula>E35</formula>
    </cfRule>
  </conditionalFormatting>
  <conditionalFormatting sqref="M36">
    <cfRule type="cellIs" dxfId="154" priority="218" operator="equal">
      <formula>0</formula>
    </cfRule>
    <cfRule type="cellIs" dxfId="153" priority="219" operator="lessThan">
      <formula>E36</formula>
    </cfRule>
  </conditionalFormatting>
  <conditionalFormatting sqref="M37">
    <cfRule type="cellIs" dxfId="152" priority="223" operator="equal">
      <formula>0</formula>
    </cfRule>
    <cfRule type="cellIs" dxfId="151" priority="224" operator="lessThan">
      <formula>E37</formula>
    </cfRule>
  </conditionalFormatting>
  <conditionalFormatting sqref="M38">
    <cfRule type="cellIs" dxfId="150" priority="228" operator="equal">
      <formula>0</formula>
    </cfRule>
    <cfRule type="cellIs" dxfId="149" priority="229" operator="lessThan">
      <formula>E38</formula>
    </cfRule>
  </conditionalFormatting>
  <conditionalFormatting sqref="M39">
    <cfRule type="cellIs" dxfId="148" priority="233" operator="equal">
      <formula>0</formula>
    </cfRule>
    <cfRule type="cellIs" dxfId="147" priority="234" operator="lessThan">
      <formula>E39</formula>
    </cfRule>
  </conditionalFormatting>
  <conditionalFormatting sqref="M7">
    <cfRule type="cellIs" dxfId="146" priority="133" operator="equal">
      <formula>0</formula>
    </cfRule>
    <cfRule type="cellIs" dxfId="145" priority="134" operator="lessThan">
      <formula>E7</formula>
    </cfRule>
  </conditionalFormatting>
  <conditionalFormatting sqref="M8">
    <cfRule type="cellIs" dxfId="144" priority="138" operator="equal">
      <formula>0</formula>
    </cfRule>
    <cfRule type="cellIs" dxfId="143" priority="139" operator="lessThan">
      <formula>E8</formula>
    </cfRule>
  </conditionalFormatting>
  <conditionalFormatting sqref="M9">
    <cfRule type="cellIs" dxfId="142" priority="143" operator="equal">
      <formula>0</formula>
    </cfRule>
    <cfRule type="cellIs" dxfId="141" priority="144" operator="lessThan">
      <formula>E9</formula>
    </cfRule>
  </conditionalFormatting>
  <conditionalFormatting sqref="N10">
    <cfRule type="cellIs" dxfId="140" priority="150" operator="greaterThan">
      <formula>M10</formula>
    </cfRule>
  </conditionalFormatting>
  <conditionalFormatting sqref="N11">
    <cfRule type="cellIs" dxfId="139" priority="155" operator="greaterThan">
      <formula>M11</formula>
    </cfRule>
  </conditionalFormatting>
  <conditionalFormatting sqref="N12">
    <cfRule type="cellIs" dxfId="138" priority="160" operator="greaterThan">
      <formula>M12</formula>
    </cfRule>
  </conditionalFormatting>
  <conditionalFormatting sqref="N13">
    <cfRule type="cellIs" dxfId="137" priority="165" operator="greaterThan">
      <formula>M13</formula>
    </cfRule>
  </conditionalFormatting>
  <conditionalFormatting sqref="N14">
    <cfRule type="cellIs" dxfId="136" priority="170" operator="greaterThan">
      <formula>M14</formula>
    </cfRule>
  </conditionalFormatting>
  <conditionalFormatting sqref="N15">
    <cfRule type="cellIs" dxfId="135" priority="175" operator="greaterThan">
      <formula>M15</formula>
    </cfRule>
  </conditionalFormatting>
  <conditionalFormatting sqref="N17">
    <cfRule type="cellIs" dxfId="134" priority="180" operator="greaterThan">
      <formula>M17</formula>
    </cfRule>
  </conditionalFormatting>
  <conditionalFormatting sqref="N29">
    <cfRule type="cellIs" dxfId="133" priority="185" operator="greaterThan">
      <formula>M29</formula>
    </cfRule>
  </conditionalFormatting>
  <conditionalFormatting sqref="N30">
    <cfRule type="cellIs" dxfId="132" priority="190" operator="greaterThan">
      <formula>M30</formula>
    </cfRule>
  </conditionalFormatting>
  <conditionalFormatting sqref="N31">
    <cfRule type="cellIs" dxfId="131" priority="195" operator="greaterThan">
      <formula>M31</formula>
    </cfRule>
  </conditionalFormatting>
  <conditionalFormatting sqref="N32">
    <cfRule type="cellIs" dxfId="130" priority="200" operator="greaterThan">
      <formula>M32</formula>
    </cfRule>
  </conditionalFormatting>
  <conditionalFormatting sqref="N33">
    <cfRule type="cellIs" dxfId="129" priority="205" operator="greaterThan">
      <formula>M33</formula>
    </cfRule>
  </conditionalFormatting>
  <conditionalFormatting sqref="N34">
    <cfRule type="cellIs" dxfId="128" priority="210" operator="greaterThan">
      <formula>M34</formula>
    </cfRule>
  </conditionalFormatting>
  <conditionalFormatting sqref="N35">
    <cfRule type="cellIs" dxfId="127" priority="215" operator="greaterThan">
      <formula>M35</formula>
    </cfRule>
  </conditionalFormatting>
  <conditionalFormatting sqref="N36">
    <cfRule type="cellIs" dxfId="126" priority="220" operator="greaterThan">
      <formula>M36</formula>
    </cfRule>
  </conditionalFormatting>
  <conditionalFormatting sqref="N37">
    <cfRule type="cellIs" dxfId="125" priority="225" operator="greaterThan">
      <formula>M37</formula>
    </cfRule>
  </conditionalFormatting>
  <conditionalFormatting sqref="N38">
    <cfRule type="cellIs" dxfId="124" priority="230" operator="greaterThan">
      <formula>M38</formula>
    </cfRule>
  </conditionalFormatting>
  <conditionalFormatting sqref="N39">
    <cfRule type="cellIs" dxfId="123" priority="235" operator="greaterThan">
      <formula>M39</formula>
    </cfRule>
  </conditionalFormatting>
  <conditionalFormatting sqref="N7">
    <cfRule type="cellIs" dxfId="122" priority="135" operator="greaterThan">
      <formula>M7</formula>
    </cfRule>
  </conditionalFormatting>
  <conditionalFormatting sqref="N8">
    <cfRule type="cellIs" dxfId="121" priority="140" operator="greaterThan">
      <formula>M8</formula>
    </cfRule>
  </conditionalFormatting>
  <conditionalFormatting sqref="N9">
    <cfRule type="cellIs" dxfId="120" priority="145" operator="greaterThan">
      <formula>M9</formula>
    </cfRule>
  </conditionalFormatting>
  <conditionalFormatting sqref="O10">
    <cfRule type="cellIs" dxfId="119" priority="152" operator="lessThanOrEqual">
      <formula>F10</formula>
    </cfRule>
  </conditionalFormatting>
  <conditionalFormatting sqref="O11">
    <cfRule type="cellIs" dxfId="118" priority="157" operator="lessThanOrEqual">
      <formula>F11</formula>
    </cfRule>
  </conditionalFormatting>
  <conditionalFormatting sqref="O12">
    <cfRule type="cellIs" dxfId="117" priority="162" operator="lessThanOrEqual">
      <formula>F12</formula>
    </cfRule>
  </conditionalFormatting>
  <conditionalFormatting sqref="O13">
    <cfRule type="cellIs" dxfId="116" priority="167" operator="lessThanOrEqual">
      <formula>F13</formula>
    </cfRule>
  </conditionalFormatting>
  <conditionalFormatting sqref="O14">
    <cfRule type="cellIs" dxfId="115" priority="172" operator="lessThanOrEqual">
      <formula>F14</formula>
    </cfRule>
  </conditionalFormatting>
  <conditionalFormatting sqref="O15">
    <cfRule type="cellIs" dxfId="114" priority="177" operator="lessThanOrEqual">
      <formula>F15</formula>
    </cfRule>
  </conditionalFormatting>
  <conditionalFormatting sqref="O17">
    <cfRule type="cellIs" dxfId="113" priority="182" operator="lessThanOrEqual">
      <formula>F17</formula>
    </cfRule>
  </conditionalFormatting>
  <conditionalFormatting sqref="O29">
    <cfRule type="cellIs" dxfId="112" priority="187" operator="lessThanOrEqual">
      <formula>F29</formula>
    </cfRule>
  </conditionalFormatting>
  <conditionalFormatting sqref="O30">
    <cfRule type="cellIs" dxfId="111" priority="192" operator="lessThanOrEqual">
      <formula>F30</formula>
    </cfRule>
  </conditionalFormatting>
  <conditionalFormatting sqref="O31">
    <cfRule type="cellIs" dxfId="110" priority="197" operator="lessThanOrEqual">
      <formula>F31</formula>
    </cfRule>
  </conditionalFormatting>
  <conditionalFormatting sqref="O32">
    <cfRule type="cellIs" dxfId="109" priority="202" operator="lessThanOrEqual">
      <formula>F32</formula>
    </cfRule>
  </conditionalFormatting>
  <conditionalFormatting sqref="O33">
    <cfRule type="cellIs" dxfId="108" priority="207" operator="lessThanOrEqual">
      <formula>F33</formula>
    </cfRule>
  </conditionalFormatting>
  <conditionalFormatting sqref="O34">
    <cfRule type="cellIs" dxfId="107" priority="212" operator="lessThanOrEqual">
      <formula>F34</formula>
    </cfRule>
  </conditionalFormatting>
  <conditionalFormatting sqref="O35">
    <cfRule type="cellIs" dxfId="106" priority="217" operator="lessThanOrEqual">
      <formula>F35</formula>
    </cfRule>
  </conditionalFormatting>
  <conditionalFormatting sqref="O36">
    <cfRule type="cellIs" dxfId="105" priority="222" operator="lessThanOrEqual">
      <formula>F36</formula>
    </cfRule>
  </conditionalFormatting>
  <conditionalFormatting sqref="O37">
    <cfRule type="cellIs" dxfId="104" priority="227" operator="lessThanOrEqual">
      <formula>F37</formula>
    </cfRule>
  </conditionalFormatting>
  <conditionalFormatting sqref="O38">
    <cfRule type="cellIs" dxfId="103" priority="232" operator="lessThanOrEqual">
      <formula>F38</formula>
    </cfRule>
  </conditionalFormatting>
  <conditionalFormatting sqref="O39">
    <cfRule type="cellIs" dxfId="102" priority="237" operator="lessThanOrEqual">
      <formula>F39</formula>
    </cfRule>
  </conditionalFormatting>
  <conditionalFormatting sqref="O7">
    <cfRule type="cellIs" dxfId="101" priority="137" operator="lessThanOrEqual">
      <formula>F7</formula>
    </cfRule>
  </conditionalFormatting>
  <conditionalFormatting sqref="O8">
    <cfRule type="cellIs" dxfId="100" priority="142" operator="lessThanOrEqual">
      <formula>F8</formula>
    </cfRule>
  </conditionalFormatting>
  <conditionalFormatting sqref="O9">
    <cfRule type="cellIs" dxfId="99" priority="147" operator="lessThanOrEqual">
      <formula>F9</formula>
    </cfRule>
  </conditionalFormatting>
  <conditionalFormatting sqref="P10">
    <cfRule type="cellIs" dxfId="98" priority="151" operator="lessThanOrEqual">
      <formula>G10</formula>
    </cfRule>
  </conditionalFormatting>
  <conditionalFormatting sqref="P11">
    <cfRule type="cellIs" dxfId="97" priority="156" operator="lessThanOrEqual">
      <formula>G11</formula>
    </cfRule>
  </conditionalFormatting>
  <conditionalFormatting sqref="P12">
    <cfRule type="cellIs" dxfId="96" priority="161" operator="lessThanOrEqual">
      <formula>G12</formula>
    </cfRule>
  </conditionalFormatting>
  <conditionalFormatting sqref="P13">
    <cfRule type="cellIs" dxfId="95" priority="166" operator="lessThanOrEqual">
      <formula>G13</formula>
    </cfRule>
  </conditionalFormatting>
  <conditionalFormatting sqref="P14">
    <cfRule type="cellIs" dxfId="94" priority="171" operator="lessThanOrEqual">
      <formula>G14</formula>
    </cfRule>
  </conditionalFormatting>
  <conditionalFormatting sqref="P15">
    <cfRule type="cellIs" dxfId="93" priority="176" operator="lessThanOrEqual">
      <formula>G15</formula>
    </cfRule>
  </conditionalFormatting>
  <conditionalFormatting sqref="P17">
    <cfRule type="cellIs" dxfId="92" priority="181" operator="lessThanOrEqual">
      <formula>G17</formula>
    </cfRule>
  </conditionalFormatting>
  <conditionalFormatting sqref="P29">
    <cfRule type="cellIs" dxfId="91" priority="186" operator="lessThanOrEqual">
      <formula>G29</formula>
    </cfRule>
  </conditionalFormatting>
  <conditionalFormatting sqref="P30">
    <cfRule type="cellIs" dxfId="90" priority="191" operator="lessThanOrEqual">
      <formula>G30</formula>
    </cfRule>
  </conditionalFormatting>
  <conditionalFormatting sqref="P31">
    <cfRule type="cellIs" dxfId="89" priority="196" operator="lessThanOrEqual">
      <formula>G31</formula>
    </cfRule>
  </conditionalFormatting>
  <conditionalFormatting sqref="P32">
    <cfRule type="cellIs" dxfId="88" priority="201" operator="lessThanOrEqual">
      <formula>G32</formula>
    </cfRule>
  </conditionalFormatting>
  <conditionalFormatting sqref="P33">
    <cfRule type="cellIs" dxfId="87" priority="206" operator="lessThanOrEqual">
      <formula>G33</formula>
    </cfRule>
  </conditionalFormatting>
  <conditionalFormatting sqref="P34">
    <cfRule type="cellIs" dxfId="86" priority="211" operator="lessThanOrEqual">
      <formula>G34</formula>
    </cfRule>
  </conditionalFormatting>
  <conditionalFormatting sqref="P35">
    <cfRule type="cellIs" dxfId="85" priority="216" operator="lessThanOrEqual">
      <formula>G35</formula>
    </cfRule>
  </conditionalFormatting>
  <conditionalFormatting sqref="P36">
    <cfRule type="cellIs" dxfId="84" priority="221" operator="lessThanOrEqual">
      <formula>G36</formula>
    </cfRule>
  </conditionalFormatting>
  <conditionalFormatting sqref="P37">
    <cfRule type="cellIs" dxfId="83" priority="226" operator="lessThanOrEqual">
      <formula>G37</formula>
    </cfRule>
  </conditionalFormatting>
  <conditionalFormatting sqref="P38">
    <cfRule type="cellIs" dxfId="82" priority="231" operator="lessThanOrEqual">
      <formula>G38</formula>
    </cfRule>
  </conditionalFormatting>
  <conditionalFormatting sqref="P39">
    <cfRule type="cellIs" dxfId="81" priority="236" operator="lessThanOrEqual">
      <formula>G39</formula>
    </cfRule>
  </conditionalFormatting>
  <conditionalFormatting sqref="P7">
    <cfRule type="cellIs" dxfId="80" priority="136" operator="lessThanOrEqual">
      <formula>G7</formula>
    </cfRule>
  </conditionalFormatting>
  <conditionalFormatting sqref="P8">
    <cfRule type="cellIs" dxfId="79" priority="141" operator="lessThanOrEqual">
      <formula>G8</formula>
    </cfRule>
  </conditionalFormatting>
  <conditionalFormatting sqref="P9">
    <cfRule type="cellIs" dxfId="78" priority="146" operator="lessThanOrEqual">
      <formula>G9</formula>
    </cfRule>
  </conditionalFormatting>
  <conditionalFormatting sqref="R10">
    <cfRule type="cellIs" dxfId="77" priority="249" operator="equal">
      <formula>0</formula>
    </cfRule>
    <cfRule type="cellIs" dxfId="76" priority="250" operator="lessThan">
      <formula>E10</formula>
    </cfRule>
  </conditionalFormatting>
  <conditionalFormatting sqref="R11">
    <cfRule type="cellIs" dxfId="75" priority="255" operator="equal">
      <formula>0</formula>
    </cfRule>
    <cfRule type="cellIs" dxfId="74" priority="256" operator="lessThan">
      <formula>E11</formula>
    </cfRule>
  </conditionalFormatting>
  <conditionalFormatting sqref="R12">
    <cfRule type="cellIs" dxfId="73" priority="261" operator="equal">
      <formula>0</formula>
    </cfRule>
    <cfRule type="cellIs" dxfId="72" priority="262" operator="lessThan">
      <formula>E12</formula>
    </cfRule>
  </conditionalFormatting>
  <conditionalFormatting sqref="R14">
    <cfRule type="cellIs" dxfId="71" priority="266" operator="equal">
      <formula>0</formula>
    </cfRule>
    <cfRule type="cellIs" dxfId="70" priority="267" operator="lessThan">
      <formula>E14</formula>
    </cfRule>
  </conditionalFormatting>
  <conditionalFormatting sqref="R15">
    <cfRule type="cellIs" dxfId="69" priority="272" operator="equal">
      <formula>0</formula>
    </cfRule>
    <cfRule type="cellIs" dxfId="68" priority="273" operator="lessThan">
      <formula>E15</formula>
    </cfRule>
  </conditionalFormatting>
  <conditionalFormatting sqref="R17">
    <cfRule type="cellIs" dxfId="67" priority="278" operator="equal">
      <formula>0</formula>
    </cfRule>
    <cfRule type="cellIs" dxfId="66" priority="279" operator="lessThan">
      <formula>E17</formula>
    </cfRule>
  </conditionalFormatting>
  <conditionalFormatting sqref="R31">
    <cfRule type="cellIs" dxfId="65" priority="283" operator="equal">
      <formula>0</formula>
    </cfRule>
    <cfRule type="cellIs" dxfId="64" priority="284" operator="lessThan">
      <formula>E31</formula>
    </cfRule>
  </conditionalFormatting>
  <conditionalFormatting sqref="R36">
    <cfRule type="cellIs" dxfId="63" priority="289" operator="equal">
      <formula>0</formula>
    </cfRule>
    <cfRule type="cellIs" dxfId="62" priority="290" operator="lessThan">
      <formula>E36</formula>
    </cfRule>
  </conditionalFormatting>
  <conditionalFormatting sqref="R39">
    <cfRule type="cellIs" dxfId="61" priority="294" operator="equal">
      <formula>0</formula>
    </cfRule>
    <cfRule type="cellIs" dxfId="60" priority="295" operator="lessThan">
      <formula>E39</formula>
    </cfRule>
  </conditionalFormatting>
  <conditionalFormatting sqref="R7">
    <cfRule type="cellIs" dxfId="59" priority="238" operator="equal">
      <formula>0</formula>
    </cfRule>
    <cfRule type="cellIs" dxfId="58" priority="239" operator="lessThan">
      <formula>E7</formula>
    </cfRule>
  </conditionalFormatting>
  <conditionalFormatting sqref="R8">
    <cfRule type="cellIs" dxfId="57" priority="244" operator="equal">
      <formula>0</formula>
    </cfRule>
    <cfRule type="cellIs" dxfId="56" priority="245" operator="lessThan">
      <formula>E8</formula>
    </cfRule>
  </conditionalFormatting>
  <conditionalFormatting sqref="S10">
    <cfRule type="expression" dxfId="55" priority="251">
      <formula>AND(S10&gt;0,S10&lt;10)</formula>
    </cfRule>
    <cfRule type="cellIs" dxfId="54" priority="252" operator="greaterThan">
      <formula>R10</formula>
    </cfRule>
  </conditionalFormatting>
  <conditionalFormatting sqref="S11">
    <cfRule type="expression" dxfId="53" priority="257">
      <formula>AND(S11&gt;0,S11&lt;5)</formula>
    </cfRule>
    <cfRule type="cellIs" dxfId="52" priority="258" operator="greaterThan">
      <formula>R11</formula>
    </cfRule>
  </conditionalFormatting>
  <conditionalFormatting sqref="S12">
    <cfRule type="cellIs" dxfId="51" priority="263" operator="greaterThan">
      <formula>R12</formula>
    </cfRule>
  </conditionalFormatting>
  <conditionalFormatting sqref="S14">
    <cfRule type="expression" dxfId="50" priority="268">
      <formula>AND(S14&gt;0,S14&lt;5)</formula>
    </cfRule>
    <cfRule type="cellIs" dxfId="49" priority="269" operator="greaterThan">
      <formula>R14</formula>
    </cfRule>
  </conditionalFormatting>
  <conditionalFormatting sqref="S15">
    <cfRule type="expression" dxfId="48" priority="274">
      <formula>AND(S15&gt;0,S15&lt;5)</formula>
    </cfRule>
    <cfRule type="cellIs" dxfId="47" priority="275" operator="greaterThan">
      <formula>R15</formula>
    </cfRule>
  </conditionalFormatting>
  <conditionalFormatting sqref="S17">
    <cfRule type="cellIs" dxfId="46" priority="280" operator="greaterThan">
      <formula>R17</formula>
    </cfRule>
  </conditionalFormatting>
  <conditionalFormatting sqref="S31">
    <cfRule type="expression" dxfId="45" priority="285">
      <formula>AND(S31&gt;0,S31&lt;10)</formula>
    </cfRule>
    <cfRule type="cellIs" dxfId="44" priority="286" operator="greaterThan">
      <formula>R31</formula>
    </cfRule>
  </conditionalFormatting>
  <conditionalFormatting sqref="S36">
    <cfRule type="cellIs" dxfId="43" priority="291" operator="greaterThan">
      <formula>R36</formula>
    </cfRule>
  </conditionalFormatting>
  <conditionalFormatting sqref="S39">
    <cfRule type="cellIs" dxfId="42" priority="296" operator="greaterThan">
      <formula>R39</formula>
    </cfRule>
  </conditionalFormatting>
  <conditionalFormatting sqref="S7">
    <cfRule type="expression" dxfId="41" priority="240">
      <formula>AND(S7&gt;0,S7&lt;10)</formula>
    </cfRule>
    <cfRule type="cellIs" dxfId="40" priority="241" operator="greaterThan">
      <formula>R7</formula>
    </cfRule>
  </conditionalFormatting>
  <conditionalFormatting sqref="S8">
    <cfRule type="cellIs" dxfId="39" priority="246" operator="greaterThan">
      <formula>R8</formula>
    </cfRule>
  </conditionalFormatting>
  <conditionalFormatting sqref="T10">
    <cfRule type="cellIs" dxfId="38" priority="254" operator="lessThanOrEqual">
      <formula>F10</formula>
    </cfRule>
  </conditionalFormatting>
  <conditionalFormatting sqref="T11">
    <cfRule type="cellIs" dxfId="37" priority="260" operator="lessThanOrEqual">
      <formula>F11</formula>
    </cfRule>
  </conditionalFormatting>
  <conditionalFormatting sqref="T12">
    <cfRule type="cellIs" dxfId="36" priority="265" operator="lessThanOrEqual">
      <formula>F12</formula>
    </cfRule>
  </conditionalFormatting>
  <conditionalFormatting sqref="T14">
    <cfRule type="cellIs" dxfId="35" priority="271" operator="lessThanOrEqual">
      <formula>F14</formula>
    </cfRule>
  </conditionalFormatting>
  <conditionalFormatting sqref="T15">
    <cfRule type="cellIs" dxfId="34" priority="277" operator="lessThanOrEqual">
      <formula>F15</formula>
    </cfRule>
  </conditionalFormatting>
  <conditionalFormatting sqref="T17">
    <cfRule type="cellIs" dxfId="33" priority="282" operator="lessThanOrEqual">
      <formula>F17</formula>
    </cfRule>
  </conditionalFormatting>
  <conditionalFormatting sqref="T31">
    <cfRule type="cellIs" dxfId="32" priority="288" operator="lessThanOrEqual">
      <formula>F31</formula>
    </cfRule>
  </conditionalFormatting>
  <conditionalFormatting sqref="T36">
    <cfRule type="cellIs" dxfId="31" priority="293" operator="lessThanOrEqual">
      <formula>F36</formula>
    </cfRule>
  </conditionalFormatting>
  <conditionalFormatting sqref="T39">
    <cfRule type="cellIs" dxfId="30" priority="298" operator="lessThanOrEqual">
      <formula>F39</formula>
    </cfRule>
  </conditionalFormatting>
  <conditionalFormatting sqref="T7">
    <cfRule type="cellIs" dxfId="29" priority="243" operator="lessThanOrEqual">
      <formula>F7</formula>
    </cfRule>
  </conditionalFormatting>
  <conditionalFormatting sqref="T8">
    <cfRule type="cellIs" dxfId="28" priority="248" operator="lessThanOrEqual">
      <formula>F8</formula>
    </cfRule>
  </conditionalFormatting>
  <conditionalFormatting sqref="U10">
    <cfRule type="cellIs" dxfId="27" priority="253" operator="lessThanOrEqual">
      <formula>G10</formula>
    </cfRule>
  </conditionalFormatting>
  <conditionalFormatting sqref="U11">
    <cfRule type="cellIs" dxfId="26" priority="259" operator="lessThanOrEqual">
      <formula>G11</formula>
    </cfRule>
  </conditionalFormatting>
  <conditionalFormatting sqref="U12">
    <cfRule type="cellIs" dxfId="25" priority="264" operator="lessThanOrEqual">
      <formula>G12</formula>
    </cfRule>
  </conditionalFormatting>
  <conditionalFormatting sqref="U14">
    <cfRule type="cellIs" dxfId="24" priority="270" operator="lessThanOrEqual">
      <formula>G14</formula>
    </cfRule>
  </conditionalFormatting>
  <conditionalFormatting sqref="U15">
    <cfRule type="cellIs" dxfId="23" priority="276" operator="lessThanOrEqual">
      <formula>G15</formula>
    </cfRule>
  </conditionalFormatting>
  <conditionalFormatting sqref="U17">
    <cfRule type="cellIs" dxfId="22" priority="281" operator="lessThanOrEqual">
      <formula>G17</formula>
    </cfRule>
  </conditionalFormatting>
  <conditionalFormatting sqref="U31">
    <cfRule type="cellIs" dxfId="21" priority="287" operator="lessThanOrEqual">
      <formula>G31</formula>
    </cfRule>
  </conditionalFormatting>
  <conditionalFormatting sqref="U36">
    <cfRule type="cellIs" dxfId="20" priority="292" operator="lessThanOrEqual">
      <formula>G36</formula>
    </cfRule>
  </conditionalFormatting>
  <conditionalFormatting sqref="U39">
    <cfRule type="cellIs" dxfId="19" priority="297" operator="lessThanOrEqual">
      <formula>G39</formula>
    </cfRule>
  </conditionalFormatting>
  <conditionalFormatting sqref="U7">
    <cfRule type="cellIs" dxfId="18" priority="242" operator="lessThanOrEqual">
      <formula>G7</formula>
    </cfRule>
  </conditionalFormatting>
  <conditionalFormatting sqref="U8">
    <cfRule type="cellIs" dxfId="17" priority="247" operator="lessThanOrEqual">
      <formula>G8</formula>
    </cfRule>
  </conditionalFormatting>
  <conditionalFormatting sqref="W10">
    <cfRule type="cellIs" dxfId="16" priority="299" operator="equal">
      <formula>0</formula>
    </cfRule>
    <cfRule type="cellIs" dxfId="15" priority="300" operator="lessThan">
      <formula>E10</formula>
    </cfRule>
  </conditionalFormatting>
  <conditionalFormatting sqref="W15">
    <cfRule type="cellIs" dxfId="14" priority="305" operator="equal">
      <formula>0</formula>
    </cfRule>
    <cfRule type="cellIs" dxfId="13" priority="306" operator="lessThan">
      <formula>E15</formula>
    </cfRule>
  </conditionalFormatting>
  <conditionalFormatting sqref="W36">
    <cfRule type="cellIs" dxfId="12" priority="311" operator="equal">
      <formula>0</formula>
    </cfRule>
    <cfRule type="cellIs" dxfId="11" priority="312" operator="lessThan">
      <formula>E36</formula>
    </cfRule>
  </conditionalFormatting>
  <conditionalFormatting sqref="X10">
    <cfRule type="expression" dxfId="10" priority="301">
      <formula>AND(X10&gt;0,X10&lt;50)</formula>
    </cfRule>
    <cfRule type="cellIs" dxfId="9" priority="302" operator="greaterThan">
      <formula>W10</formula>
    </cfRule>
  </conditionalFormatting>
  <conditionalFormatting sqref="X15">
    <cfRule type="expression" dxfId="8" priority="307">
      <formula>AND(X15&gt;0,X15&lt;20)</formula>
    </cfRule>
    <cfRule type="cellIs" dxfId="7" priority="308" operator="greaterThan">
      <formula>W15</formula>
    </cfRule>
  </conditionalFormatting>
  <conditionalFormatting sqref="X36">
    <cfRule type="cellIs" dxfId="6" priority="313" operator="greaterThan">
      <formula>W36</formula>
    </cfRule>
  </conditionalFormatting>
  <conditionalFormatting sqref="Y10">
    <cfRule type="cellIs" dxfId="5" priority="304" operator="lessThanOrEqual">
      <formula>F10</formula>
    </cfRule>
  </conditionalFormatting>
  <conditionalFormatting sqref="Y15">
    <cfRule type="cellIs" dxfId="4" priority="310" operator="lessThanOrEqual">
      <formula>F15</formula>
    </cfRule>
  </conditionalFormatting>
  <conditionalFormatting sqref="Y36">
    <cfRule type="cellIs" dxfId="3" priority="315" operator="lessThanOrEqual">
      <formula>F36</formula>
    </cfRule>
  </conditionalFormatting>
  <conditionalFormatting sqref="Z10">
    <cfRule type="cellIs" dxfId="2" priority="303" operator="lessThanOrEqual">
      <formula>G10</formula>
    </cfRule>
  </conditionalFormatting>
  <conditionalFormatting sqref="Z15">
    <cfRule type="cellIs" dxfId="1" priority="309" operator="lessThanOrEqual">
      <formula>G15</formula>
    </cfRule>
  </conditionalFormatting>
  <conditionalFormatting sqref="Z36">
    <cfRule type="cellIs" dxfId="0" priority="314" operator="lessThanOrEqual">
      <formula>G36</formula>
    </cfRule>
  </conditionalFormatting>
  <hyperlinks>
    <hyperlink ref="Q7" r:id="rId1" xr:uid="{00000000-0004-0000-0000-000000000000}"/>
    <hyperlink ref="V7" r:id="rId2" xr:uid="{00000000-0004-0000-0000-000001000000}"/>
    <hyperlink ref="AK7" r:id="rId3" xr:uid="{00000000-0004-0000-0000-000002000000}"/>
    <hyperlink ref="AP7" r:id="rId4" xr:uid="{00000000-0004-0000-0000-000003000000}"/>
    <hyperlink ref="D8" r:id="rId5" xr:uid="{00000000-0004-0000-0000-000004000000}"/>
    <hyperlink ref="Q8" r:id="rId6" xr:uid="{00000000-0004-0000-0000-000005000000}"/>
    <hyperlink ref="V8" r:id="rId7" xr:uid="{00000000-0004-0000-0000-000006000000}"/>
    <hyperlink ref="AF8" r:id="rId8" xr:uid="{00000000-0004-0000-0000-000007000000}"/>
    <hyperlink ref="AK8" r:id="rId9" xr:uid="{00000000-0004-0000-0000-000008000000}"/>
    <hyperlink ref="Q9" r:id="rId10" xr:uid="{00000000-0004-0000-0000-000009000000}"/>
    <hyperlink ref="AF9" r:id="rId11" xr:uid="{00000000-0004-0000-0000-00000A000000}"/>
    <hyperlink ref="Q10" r:id="rId12" xr:uid="{00000000-0004-0000-0000-00000B000000}"/>
    <hyperlink ref="V10" r:id="rId13" xr:uid="{00000000-0004-0000-0000-00000C000000}"/>
    <hyperlink ref="AA10" r:id="rId14" xr:uid="{00000000-0004-0000-0000-00000D000000}"/>
    <hyperlink ref="AF10" r:id="rId15" xr:uid="{00000000-0004-0000-0000-00000E000000}"/>
    <hyperlink ref="AK10" r:id="rId16" xr:uid="{00000000-0004-0000-0000-00000F000000}"/>
    <hyperlink ref="AU10" r:id="rId17" xr:uid="{00000000-0004-0000-0000-000010000000}"/>
    <hyperlink ref="Q11" r:id="rId18" xr:uid="{00000000-0004-0000-0000-000011000000}"/>
    <hyperlink ref="V11" r:id="rId19" xr:uid="{00000000-0004-0000-0000-000012000000}"/>
    <hyperlink ref="AF11" r:id="rId20" xr:uid="{00000000-0004-0000-0000-000013000000}"/>
    <hyperlink ref="AK11" r:id="rId21" xr:uid="{00000000-0004-0000-0000-000014000000}"/>
    <hyperlink ref="AP11" r:id="rId22" xr:uid="{00000000-0004-0000-0000-000015000000}"/>
    <hyperlink ref="AU11" r:id="rId23" xr:uid="{00000000-0004-0000-0000-000016000000}"/>
    <hyperlink ref="Q12" r:id="rId24" xr:uid="{00000000-0004-0000-0000-000017000000}"/>
    <hyperlink ref="V12" r:id="rId25" xr:uid="{00000000-0004-0000-0000-000018000000}"/>
    <hyperlink ref="AF12" r:id="rId26" xr:uid="{00000000-0004-0000-0000-000019000000}"/>
    <hyperlink ref="AK12" r:id="rId27" xr:uid="{00000000-0004-0000-0000-00001A000000}"/>
    <hyperlink ref="AP12" r:id="rId28" xr:uid="{00000000-0004-0000-0000-00001B000000}"/>
    <hyperlink ref="D13" r:id="rId29" xr:uid="{00000000-0004-0000-0000-00001C000000}"/>
    <hyperlink ref="Q13" r:id="rId30" xr:uid="{00000000-0004-0000-0000-00001D000000}"/>
    <hyperlink ref="AF13" r:id="rId31" xr:uid="{00000000-0004-0000-0000-00001E000000}"/>
    <hyperlink ref="AK13" r:id="rId32" xr:uid="{00000000-0004-0000-0000-00001F000000}"/>
    <hyperlink ref="Q14" r:id="rId33" xr:uid="{00000000-0004-0000-0000-000020000000}"/>
    <hyperlink ref="V14" r:id="rId34" xr:uid="{00000000-0004-0000-0000-000021000000}"/>
    <hyperlink ref="AF14" r:id="rId35" xr:uid="{00000000-0004-0000-0000-000022000000}"/>
    <hyperlink ref="AK14" r:id="rId36" xr:uid="{00000000-0004-0000-0000-000023000000}"/>
    <hyperlink ref="AU14" r:id="rId37" xr:uid="{00000000-0004-0000-0000-000024000000}"/>
    <hyperlink ref="D15" r:id="rId38" xr:uid="{00000000-0004-0000-0000-000025000000}"/>
    <hyperlink ref="Q15" r:id="rId39" xr:uid="{00000000-0004-0000-0000-000026000000}"/>
    <hyperlink ref="V15" r:id="rId40" xr:uid="{00000000-0004-0000-0000-000027000000}"/>
    <hyperlink ref="AA15" r:id="rId41" xr:uid="{00000000-0004-0000-0000-000028000000}"/>
    <hyperlink ref="AF15" r:id="rId42" xr:uid="{00000000-0004-0000-0000-000029000000}"/>
    <hyperlink ref="AK15" r:id="rId43" xr:uid="{00000000-0004-0000-0000-00002A000000}"/>
    <hyperlink ref="AP15" r:id="rId44" xr:uid="{00000000-0004-0000-0000-00002B000000}"/>
    <hyperlink ref="AU15" r:id="rId45" xr:uid="{00000000-0004-0000-0000-00002C000000}"/>
    <hyperlink ref="Q17" r:id="rId46" xr:uid="{00000000-0004-0000-0000-00002D000000}"/>
    <hyperlink ref="V17" r:id="rId47" xr:uid="{00000000-0004-0000-0000-00002E000000}"/>
    <hyperlink ref="AF17" r:id="rId48" xr:uid="{00000000-0004-0000-0000-00002F000000}"/>
    <hyperlink ref="AK17" r:id="rId49" xr:uid="{00000000-0004-0000-0000-000030000000}"/>
    <hyperlink ref="Q29" r:id="rId50" xr:uid="{00000000-0004-0000-0000-000031000000}"/>
    <hyperlink ref="AF29" r:id="rId51" xr:uid="{00000000-0004-0000-0000-000032000000}"/>
    <hyperlink ref="AP29" r:id="rId52" xr:uid="{00000000-0004-0000-0000-000033000000}"/>
    <hyperlink ref="Q30" r:id="rId53" xr:uid="{00000000-0004-0000-0000-000034000000}"/>
    <hyperlink ref="AF30" r:id="rId54" xr:uid="{00000000-0004-0000-0000-000035000000}"/>
    <hyperlink ref="Q31" r:id="rId55" xr:uid="{00000000-0004-0000-0000-000036000000}"/>
    <hyperlink ref="V31" r:id="rId56" xr:uid="{00000000-0004-0000-0000-000037000000}"/>
    <hyperlink ref="AF31" r:id="rId57" xr:uid="{00000000-0004-0000-0000-000038000000}"/>
    <hyperlink ref="AK31" r:id="rId58" xr:uid="{00000000-0004-0000-0000-000039000000}"/>
    <hyperlink ref="AP31" r:id="rId59" xr:uid="{00000000-0004-0000-0000-00003A000000}"/>
    <hyperlink ref="Q32" r:id="rId60" xr:uid="{00000000-0004-0000-0000-00003B000000}"/>
    <hyperlink ref="Q33" r:id="rId61" xr:uid="{00000000-0004-0000-0000-00003C000000}"/>
    <hyperlink ref="AF33" r:id="rId62" xr:uid="{00000000-0004-0000-0000-00003D000000}"/>
    <hyperlink ref="Q34" r:id="rId63" xr:uid="{00000000-0004-0000-0000-00003E000000}"/>
    <hyperlink ref="AF34" r:id="rId64" xr:uid="{00000000-0004-0000-0000-00003F000000}"/>
    <hyperlink ref="Q35" r:id="rId65" xr:uid="{00000000-0004-0000-0000-000040000000}"/>
    <hyperlink ref="AF35" r:id="rId66" xr:uid="{00000000-0004-0000-0000-000041000000}"/>
    <hyperlink ref="D36" r:id="rId67" xr:uid="{00000000-0004-0000-0000-000042000000}"/>
    <hyperlink ref="Q36" r:id="rId68" xr:uid="{00000000-0004-0000-0000-000043000000}"/>
    <hyperlink ref="V36" r:id="rId69" xr:uid="{00000000-0004-0000-0000-000044000000}"/>
    <hyperlink ref="AA36" r:id="rId70" xr:uid="{00000000-0004-0000-0000-000045000000}"/>
    <hyperlink ref="AF36" r:id="rId71" xr:uid="{00000000-0004-0000-0000-000046000000}"/>
    <hyperlink ref="AK36" r:id="rId72" xr:uid="{00000000-0004-0000-0000-000047000000}"/>
    <hyperlink ref="AP36" r:id="rId73" xr:uid="{00000000-0004-0000-0000-000048000000}"/>
    <hyperlink ref="AU36" r:id="rId74" xr:uid="{00000000-0004-0000-0000-000049000000}"/>
    <hyperlink ref="D37" r:id="rId75" xr:uid="{00000000-0004-0000-0000-00004A000000}"/>
    <hyperlink ref="Q37" r:id="rId76" xr:uid="{00000000-0004-0000-0000-00004B000000}"/>
    <hyperlink ref="AF37" r:id="rId77" xr:uid="{00000000-0004-0000-0000-00004C000000}"/>
    <hyperlink ref="AP37" r:id="rId78" xr:uid="{00000000-0004-0000-0000-00004D000000}"/>
    <hyperlink ref="D38" r:id="rId79" xr:uid="{00000000-0004-0000-0000-00004E000000}"/>
    <hyperlink ref="Q38" r:id="rId80" xr:uid="{00000000-0004-0000-0000-00004F000000}"/>
    <hyperlink ref="AF38" r:id="rId81" xr:uid="{00000000-0004-0000-0000-000050000000}"/>
    <hyperlink ref="D39" r:id="rId82" xr:uid="{00000000-0004-0000-0000-000051000000}"/>
    <hyperlink ref="Q39" r:id="rId83" xr:uid="{00000000-0004-0000-0000-000052000000}"/>
    <hyperlink ref="V39" r:id="rId84" xr:uid="{00000000-0004-0000-0000-000053000000}"/>
    <hyperlink ref="AF39" r:id="rId85" xr:uid="{00000000-0004-0000-0000-000054000000}"/>
    <hyperlink ref="AK39" r:id="rId86" xr:uid="{00000000-0004-0000-0000-000055000000}"/>
    <hyperlink ref="AP39" r:id="rId87" xr:uid="{00000000-0004-0000-0000-000056000000}"/>
    <hyperlink ref="AU39" r:id="rId88" xr:uid="{00000000-0004-0000-0000-000057000000}"/>
  </hyperlinks>
  <pageMargins left="0.7" right="0.7" top="0.75" bottom="0.75" header="0.3" footer="0.3"/>
  <legacyDrawing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dac-psu.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2021-05-15T13:15:52Z</dcterms:created>
  <dcterms:modified xsi:type="dcterms:W3CDTF">2021-05-15T13:19:59Z</dcterms:modified>
</cp:coreProperties>
</file>