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1520" windowHeight="5180"/>
  </bookViews>
  <sheets>
    <sheet name="Power Loss" sheetId="1" r:id="rId1"/>
    <sheet name="Efficiency Summary" sheetId="2" r:id="rId2"/>
    <sheet name="Compensation" sheetId="3" r:id="rId3"/>
  </sheets>
  <definedNames>
    <definedName name="_Cap1">Compensation!$M$30</definedName>
    <definedName name="_cap2">Compensation!$M$31</definedName>
    <definedName name="_Cfb1">Compensation!$C$33</definedName>
    <definedName name="_Cfb2">Compensation!$C$34</definedName>
    <definedName name="_res1">Compensation!$M$29</definedName>
    <definedName name="_Rfb1">Compensation!$C$31</definedName>
    <definedName name="_Rfb2">Compensation!$C$32</definedName>
    <definedName name="Cap">'Power Loss'!$B$32</definedName>
    <definedName name="D">'Power Loss'!$F$19</definedName>
    <definedName name="DCR">'Power Loss'!$B$28</definedName>
    <definedName name="Dmax">Compensation!$M$20</definedName>
    <definedName name="EA_BW">Compensation!$M$26</definedName>
    <definedName name="EA_DC">Compensation!$M$23</definedName>
    <definedName name="Efficiency">'Power Loss'!$B$96</definedName>
    <definedName name="ESR">'Power Loss'!$B$33</definedName>
    <definedName name="F0">Compensation!$C$26</definedName>
    <definedName name="Fc">Compensation!$M$28</definedName>
    <definedName name="Fm">Compensation!$A$43</definedName>
    <definedName name="Fs">'Power Loss'!$B$18</definedName>
    <definedName name="Fstart">Compensation!$C$55</definedName>
    <definedName name="Fstep">Compensation!$C$57</definedName>
    <definedName name="Fstop">Compensation!$C$56</definedName>
    <definedName name="Gdo">Compensation!$C$24</definedName>
    <definedName name="Il_rms">'Power Loss'!$F$23</definedName>
    <definedName name="Imax">'Efficiency Summary'!$B$10</definedName>
    <definedName name="Imin">'Efficiency Summary'!$B$9</definedName>
    <definedName name="Iout">'Power Loss'!$B$21</definedName>
    <definedName name="Irip">'Power Loss'!$F$26</definedName>
    <definedName name="Iu_rms">'Power Loss'!$F$22</definedName>
    <definedName name="LIR">'Power Loss'!$B$24</definedName>
    <definedName name="Lout">'Power Loss'!$B$27</definedName>
    <definedName name="ncap">'Power Loss'!$B$31</definedName>
    <definedName name="Q">Compensation!$C$27</definedName>
    <definedName name="Qn">Compensation!$A$41</definedName>
    <definedName name="Roerr">Compensation!$M$24</definedName>
    <definedName name="Ron_l">'Power Loss'!$B$63</definedName>
    <definedName name="Ron_u">'Power Loss'!$B$46</definedName>
    <definedName name="Rout">'Power Loss'!$F$20</definedName>
    <definedName name="RT">Compensation!$M$20</definedName>
    <definedName name="Se">Compensation!$M$21</definedName>
    <definedName name="Sn">Compensation!$M$22</definedName>
    <definedName name="Step">Compensation!$C$58</definedName>
    <definedName name="Tloss">'Power Loss'!$B$95</definedName>
    <definedName name="VFB">Compensation!$M$25</definedName>
    <definedName name="Vin">'Power Loss'!$B$19</definedName>
    <definedName name="Vout">'Power Loss'!$B$20</definedName>
    <definedName name="wn">Compensation!$A$40</definedName>
  </definedNames>
  <calcPr calcId="145621"/>
</workbook>
</file>

<file path=xl/calcChain.xml><?xml version="1.0" encoding="utf-8"?>
<calcChain xmlns="http://schemas.openxmlformats.org/spreadsheetml/2006/main">
  <c r="B18" i="1" l="1"/>
  <c r="B39" i="1" l="1"/>
  <c r="B36" i="1"/>
  <c r="H40" i="1"/>
  <c r="B63" i="1" l="1"/>
  <c r="B46" i="1"/>
  <c r="A20" i="1"/>
  <c r="A27" i="1" l="1"/>
  <c r="A19" i="1"/>
  <c r="C44" i="2" l="1"/>
  <c r="A13" i="2"/>
  <c r="D72" i="2" l="1"/>
  <c r="D44" i="2"/>
  <c r="F34" i="1"/>
  <c r="F35" i="1" s="1"/>
  <c r="E72" i="2" l="1"/>
  <c r="H41" i="2" s="1"/>
  <c r="E44" i="2"/>
  <c r="G32" i="1"/>
  <c r="G31" i="1"/>
  <c r="F44" i="2" l="1"/>
  <c r="H13" i="2"/>
  <c r="G44" i="2"/>
  <c r="E32" i="3"/>
  <c r="M22" i="3" l="1"/>
  <c r="C58" i="3" l="1"/>
  <c r="B80" i="3" s="1"/>
  <c r="C80" i="3" s="1"/>
  <c r="A41" i="3"/>
  <c r="M33" i="3"/>
  <c r="M32" i="3"/>
  <c r="C31" i="3"/>
  <c r="C28" i="3"/>
  <c r="C26" i="3"/>
  <c r="C25" i="3"/>
  <c r="B10" i="2"/>
  <c r="B80" i="1"/>
  <c r="B83" i="1" s="1"/>
  <c r="B79" i="1"/>
  <c r="B74" i="1"/>
  <c r="B58" i="1"/>
  <c r="F26" i="1"/>
  <c r="E9" i="2" s="1"/>
  <c r="F20" i="1"/>
  <c r="J263" i="3" s="1"/>
  <c r="A44" i="2" l="1"/>
  <c r="B44" i="2" s="1"/>
  <c r="C72" i="2"/>
  <c r="C68" i="2"/>
  <c r="C64" i="2"/>
  <c r="C60" i="2"/>
  <c r="C56" i="2"/>
  <c r="C52" i="2"/>
  <c r="C48" i="2"/>
  <c r="A38" i="2"/>
  <c r="A69" i="2" s="1"/>
  <c r="A34" i="2"/>
  <c r="A65" i="2" s="1"/>
  <c r="A30" i="2"/>
  <c r="A61" i="2" s="1"/>
  <c r="A26" i="2"/>
  <c r="A57" i="2" s="1"/>
  <c r="A22" i="2"/>
  <c r="A53" i="2" s="1"/>
  <c r="A18" i="2"/>
  <c r="A49" i="2" s="1"/>
  <c r="A14" i="2"/>
  <c r="A45" i="2" s="1"/>
  <c r="C71" i="2"/>
  <c r="C67" i="2"/>
  <c r="C63" i="2"/>
  <c r="C59" i="2"/>
  <c r="C55" i="2"/>
  <c r="C51" i="2"/>
  <c r="C47" i="2"/>
  <c r="A41" i="2"/>
  <c r="A72" i="2" s="1"/>
  <c r="A37" i="2"/>
  <c r="A68" i="2" s="1"/>
  <c r="A33" i="2"/>
  <c r="A64" i="2" s="1"/>
  <c r="A29" i="2"/>
  <c r="A60" i="2" s="1"/>
  <c r="B60" i="2" s="1"/>
  <c r="A25" i="2"/>
  <c r="A56" i="2" s="1"/>
  <c r="C70" i="2"/>
  <c r="C66" i="2"/>
  <c r="C62" i="2"/>
  <c r="C58" i="2"/>
  <c r="C54" i="2"/>
  <c r="C50" i="2"/>
  <c r="C46" i="2"/>
  <c r="A40" i="2"/>
  <c r="A71" i="2" s="1"/>
  <c r="A36" i="2"/>
  <c r="A67" i="2" s="1"/>
  <c r="A32" i="2"/>
  <c r="A63" i="2" s="1"/>
  <c r="A28" i="2"/>
  <c r="A59" i="2" s="1"/>
  <c r="A24" i="2"/>
  <c r="A55" i="2" s="1"/>
  <c r="A20" i="2"/>
  <c r="A51" i="2" s="1"/>
  <c r="A16" i="2"/>
  <c r="A47" i="2" s="1"/>
  <c r="C69" i="2"/>
  <c r="C65" i="2"/>
  <c r="C61" i="2"/>
  <c r="C57" i="2"/>
  <c r="C53" i="2"/>
  <c r="C49" i="2"/>
  <c r="C45" i="2"/>
  <c r="A39" i="2"/>
  <c r="A70" i="2" s="1"/>
  <c r="A35" i="2"/>
  <c r="A66" i="2" s="1"/>
  <c r="B66" i="2" s="1"/>
  <c r="A31" i="2"/>
  <c r="A62" i="2" s="1"/>
  <c r="A27" i="2"/>
  <c r="A58" i="2" s="1"/>
  <c r="B58" i="2" s="1"/>
  <c r="A23" i="2"/>
  <c r="A54" i="2" s="1"/>
  <c r="A19" i="2"/>
  <c r="A50" i="2" s="1"/>
  <c r="B50" i="2" s="1"/>
  <c r="A15" i="2"/>
  <c r="A46" i="2" s="1"/>
  <c r="A21" i="2"/>
  <c r="A52" i="2" s="1"/>
  <c r="A17" i="2"/>
  <c r="A48" i="2" s="1"/>
  <c r="A40" i="3"/>
  <c r="E250" i="3" s="1"/>
  <c r="E28" i="1"/>
  <c r="R73" i="3"/>
  <c r="R151" i="3"/>
  <c r="B89" i="1"/>
  <c r="K31" i="1" s="1"/>
  <c r="F27" i="1"/>
  <c r="R89" i="3"/>
  <c r="J173" i="3"/>
  <c r="J109" i="3"/>
  <c r="J205" i="3"/>
  <c r="R130" i="3"/>
  <c r="J237" i="3"/>
  <c r="R65" i="3"/>
  <c r="R81" i="3"/>
  <c r="R98" i="3"/>
  <c r="R119" i="3"/>
  <c r="J141" i="3"/>
  <c r="R162" i="3"/>
  <c r="J189" i="3"/>
  <c r="J221" i="3"/>
  <c r="R69" i="3"/>
  <c r="R85" i="3"/>
  <c r="R103" i="3"/>
  <c r="J125" i="3"/>
  <c r="R146" i="3"/>
  <c r="R167" i="3"/>
  <c r="J197" i="3"/>
  <c r="J229" i="3"/>
  <c r="R77" i="3"/>
  <c r="R93" i="3"/>
  <c r="R114" i="3"/>
  <c r="R135" i="3"/>
  <c r="J157" i="3"/>
  <c r="J181" i="3"/>
  <c r="J213" i="3"/>
  <c r="J249" i="3"/>
  <c r="J66" i="3"/>
  <c r="J74" i="3"/>
  <c r="J82" i="3"/>
  <c r="J90" i="3"/>
  <c r="J99" i="3"/>
  <c r="R109" i="3"/>
  <c r="R120" i="3"/>
  <c r="J131" i="3"/>
  <c r="R141" i="3"/>
  <c r="J147" i="3"/>
  <c r="R157" i="3"/>
  <c r="R168" i="3"/>
  <c r="R189" i="3"/>
  <c r="R213" i="3"/>
  <c r="C24" i="3"/>
  <c r="L259" i="3" s="1"/>
  <c r="R67" i="3"/>
  <c r="R71" i="3"/>
  <c r="R75" i="3"/>
  <c r="R79" i="3"/>
  <c r="R83" i="3"/>
  <c r="R87" i="3"/>
  <c r="R91" i="3"/>
  <c r="R95" i="3"/>
  <c r="J101" i="3"/>
  <c r="R106" i="3"/>
  <c r="R111" i="3"/>
  <c r="J117" i="3"/>
  <c r="R122" i="3"/>
  <c r="R127" i="3"/>
  <c r="J133" i="3"/>
  <c r="R138" i="3"/>
  <c r="R143" i="3"/>
  <c r="J149" i="3"/>
  <c r="R154" i="3"/>
  <c r="R159" i="3"/>
  <c r="J165" i="3"/>
  <c r="R170" i="3"/>
  <c r="J177" i="3"/>
  <c r="J185" i="3"/>
  <c r="J193" i="3"/>
  <c r="J201" i="3"/>
  <c r="J209" i="3"/>
  <c r="J217" i="3"/>
  <c r="J225" i="3"/>
  <c r="J233" i="3"/>
  <c r="J241" i="3"/>
  <c r="J257" i="3"/>
  <c r="J70" i="3"/>
  <c r="J78" i="3"/>
  <c r="J86" i="3"/>
  <c r="J94" i="3"/>
  <c r="R104" i="3"/>
  <c r="J115" i="3"/>
  <c r="R125" i="3"/>
  <c r="R136" i="3"/>
  <c r="R152" i="3"/>
  <c r="J163" i="3"/>
  <c r="R173" i="3"/>
  <c r="R181" i="3"/>
  <c r="R197" i="3"/>
  <c r="R205" i="3"/>
  <c r="R221" i="3"/>
  <c r="R229" i="3"/>
  <c r="R237" i="3"/>
  <c r="J253" i="3"/>
  <c r="J64" i="3"/>
  <c r="J68" i="3"/>
  <c r="J72" i="3"/>
  <c r="J76" i="3"/>
  <c r="J80" i="3"/>
  <c r="J84" i="3"/>
  <c r="J88" i="3"/>
  <c r="J92" i="3"/>
  <c r="R96" i="3"/>
  <c r="R101" i="3"/>
  <c r="J107" i="3"/>
  <c r="R112" i="3"/>
  <c r="R117" i="3"/>
  <c r="J123" i="3"/>
  <c r="R128" i="3"/>
  <c r="R133" i="3"/>
  <c r="J139" i="3"/>
  <c r="R144" i="3"/>
  <c r="R149" i="3"/>
  <c r="J155" i="3"/>
  <c r="R160" i="3"/>
  <c r="R165" i="3"/>
  <c r="J171" i="3"/>
  <c r="R177" i="3"/>
  <c r="R185" i="3"/>
  <c r="R193" i="3"/>
  <c r="R201" i="3"/>
  <c r="R209" i="3"/>
  <c r="R217" i="3"/>
  <c r="R225" i="3"/>
  <c r="R233" i="3"/>
  <c r="J245" i="3"/>
  <c r="J261" i="3"/>
  <c r="R241" i="3"/>
  <c r="R245" i="3"/>
  <c r="R249" i="3"/>
  <c r="R253" i="3"/>
  <c r="R257" i="3"/>
  <c r="R261" i="3"/>
  <c r="R64" i="3"/>
  <c r="R66" i="3"/>
  <c r="R68" i="3"/>
  <c r="R70" i="3"/>
  <c r="R72" i="3"/>
  <c r="R74" i="3"/>
  <c r="R76" i="3"/>
  <c r="R78" i="3"/>
  <c r="R80" i="3"/>
  <c r="R82" i="3"/>
  <c r="R84" i="3"/>
  <c r="R86" i="3"/>
  <c r="R88" i="3"/>
  <c r="R90" i="3"/>
  <c r="R92" i="3"/>
  <c r="R94" i="3"/>
  <c r="J97" i="3"/>
  <c r="R99" i="3"/>
  <c r="R102" i="3"/>
  <c r="J105" i="3"/>
  <c r="R107" i="3"/>
  <c r="R110" i="3"/>
  <c r="J113" i="3"/>
  <c r="R115" i="3"/>
  <c r="R118" i="3"/>
  <c r="J121" i="3"/>
  <c r="R123" i="3"/>
  <c r="R126" i="3"/>
  <c r="J129" i="3"/>
  <c r="R131" i="3"/>
  <c r="R134" i="3"/>
  <c r="J137" i="3"/>
  <c r="R139" i="3"/>
  <c r="R142" i="3"/>
  <c r="J145" i="3"/>
  <c r="R147" i="3"/>
  <c r="R150" i="3"/>
  <c r="J153" i="3"/>
  <c r="R155" i="3"/>
  <c r="R158" i="3"/>
  <c r="J161" i="3"/>
  <c r="R163" i="3"/>
  <c r="R166" i="3"/>
  <c r="J169" i="3"/>
  <c r="R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R264" i="3"/>
  <c r="R262" i="3"/>
  <c r="R260" i="3"/>
  <c r="R258" i="3"/>
  <c r="R256" i="3"/>
  <c r="R254" i="3"/>
  <c r="R252" i="3"/>
  <c r="R250" i="3"/>
  <c r="R248" i="3"/>
  <c r="R246" i="3"/>
  <c r="R244" i="3"/>
  <c r="R242" i="3"/>
  <c r="R240" i="3"/>
  <c r="R238" i="3"/>
  <c r="R236" i="3"/>
  <c r="R234" i="3"/>
  <c r="R232" i="3"/>
  <c r="R230" i="3"/>
  <c r="R228" i="3"/>
  <c r="R226" i="3"/>
  <c r="R224" i="3"/>
  <c r="R222" i="3"/>
  <c r="R220" i="3"/>
  <c r="R218" i="3"/>
  <c r="R216" i="3"/>
  <c r="R214" i="3"/>
  <c r="R212" i="3"/>
  <c r="R210" i="3"/>
  <c r="R208" i="3"/>
  <c r="R206" i="3"/>
  <c r="R204" i="3"/>
  <c r="R202" i="3"/>
  <c r="R200" i="3"/>
  <c r="R198" i="3"/>
  <c r="R196" i="3"/>
  <c r="R194" i="3"/>
  <c r="R192" i="3"/>
  <c r="R190" i="3"/>
  <c r="R188" i="3"/>
  <c r="R186" i="3"/>
  <c r="R184" i="3"/>
  <c r="R182" i="3"/>
  <c r="R180" i="3"/>
  <c r="R178" i="3"/>
  <c r="R176" i="3"/>
  <c r="R174" i="3"/>
  <c r="J264" i="3"/>
  <c r="J262" i="3"/>
  <c r="J260" i="3"/>
  <c r="J258" i="3"/>
  <c r="J256" i="3"/>
  <c r="J254" i="3"/>
  <c r="J252" i="3"/>
  <c r="J250" i="3"/>
  <c r="J248" i="3"/>
  <c r="J246" i="3"/>
  <c r="J244" i="3"/>
  <c r="J242" i="3"/>
  <c r="J240" i="3"/>
  <c r="J238" i="3"/>
  <c r="J236" i="3"/>
  <c r="J234" i="3"/>
  <c r="J232" i="3"/>
  <c r="J230" i="3"/>
  <c r="J228" i="3"/>
  <c r="J226" i="3"/>
  <c r="J224" i="3"/>
  <c r="J222" i="3"/>
  <c r="J220" i="3"/>
  <c r="J218" i="3"/>
  <c r="J216" i="3"/>
  <c r="J214" i="3"/>
  <c r="J212" i="3"/>
  <c r="J210" i="3"/>
  <c r="J208" i="3"/>
  <c r="J206" i="3"/>
  <c r="J204" i="3"/>
  <c r="J202" i="3"/>
  <c r="J200" i="3"/>
  <c r="J198" i="3"/>
  <c r="J196" i="3"/>
  <c r="J194" i="3"/>
  <c r="J192" i="3"/>
  <c r="J190" i="3"/>
  <c r="J188" i="3"/>
  <c r="J186" i="3"/>
  <c r="J184" i="3"/>
  <c r="J182" i="3"/>
  <c r="J180" i="3"/>
  <c r="J178" i="3"/>
  <c r="J176" i="3"/>
  <c r="J174" i="3"/>
  <c r="J172" i="3"/>
  <c r="J170" i="3"/>
  <c r="J168" i="3"/>
  <c r="J166" i="3"/>
  <c r="J164" i="3"/>
  <c r="J162" i="3"/>
  <c r="J160" i="3"/>
  <c r="J158" i="3"/>
  <c r="J156" i="3"/>
  <c r="J154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8" i="3"/>
  <c r="J126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65" i="3"/>
  <c r="J67" i="3"/>
  <c r="J69" i="3"/>
  <c r="J71" i="3"/>
  <c r="J73" i="3"/>
  <c r="J75" i="3"/>
  <c r="J77" i="3"/>
  <c r="J79" i="3"/>
  <c r="J81" i="3"/>
  <c r="J83" i="3"/>
  <c r="J85" i="3"/>
  <c r="J87" i="3"/>
  <c r="J89" i="3"/>
  <c r="J91" i="3"/>
  <c r="J93" i="3"/>
  <c r="J95" i="3"/>
  <c r="R97" i="3"/>
  <c r="R100" i="3"/>
  <c r="J103" i="3"/>
  <c r="R105" i="3"/>
  <c r="R108" i="3"/>
  <c r="J111" i="3"/>
  <c r="R113" i="3"/>
  <c r="R116" i="3"/>
  <c r="J119" i="3"/>
  <c r="R121" i="3"/>
  <c r="R124" i="3"/>
  <c r="J127" i="3"/>
  <c r="R129" i="3"/>
  <c r="R132" i="3"/>
  <c r="J135" i="3"/>
  <c r="R137" i="3"/>
  <c r="R140" i="3"/>
  <c r="J143" i="3"/>
  <c r="R145" i="3"/>
  <c r="R148" i="3"/>
  <c r="J151" i="3"/>
  <c r="R153" i="3"/>
  <c r="R156" i="3"/>
  <c r="J159" i="3"/>
  <c r="R161" i="3"/>
  <c r="R164" i="3"/>
  <c r="J167" i="3"/>
  <c r="R169" i="3"/>
  <c r="R172" i="3"/>
  <c r="R175" i="3"/>
  <c r="R179" i="3"/>
  <c r="R183" i="3"/>
  <c r="R187" i="3"/>
  <c r="R191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B84" i="1"/>
  <c r="B67" i="1"/>
  <c r="B68" i="1"/>
  <c r="F19" i="1"/>
  <c r="B26" i="1" s="1"/>
  <c r="B51" i="1"/>
  <c r="B50" i="1"/>
  <c r="B82" i="1"/>
  <c r="B57" i="1"/>
  <c r="B73" i="1"/>
  <c r="AQ80" i="3"/>
  <c r="AR80" i="3"/>
  <c r="AL80" i="3"/>
  <c r="AM80" i="3" s="1"/>
  <c r="AN80" i="3" s="1"/>
  <c r="AK80" i="3"/>
  <c r="AS80" i="3"/>
  <c r="S80" i="3"/>
  <c r="K80" i="3"/>
  <c r="AJ263" i="3"/>
  <c r="AJ255" i="3"/>
  <c r="AJ240" i="3"/>
  <c r="AJ215" i="3"/>
  <c r="AJ195" i="3"/>
  <c r="AJ192" i="3"/>
  <c r="AJ184" i="3"/>
  <c r="AJ166" i="3"/>
  <c r="AJ162" i="3"/>
  <c r="AJ130" i="3"/>
  <c r="AJ108" i="3"/>
  <c r="AJ101" i="3"/>
  <c r="AJ149" i="3"/>
  <c r="AJ153" i="3"/>
  <c r="D252" i="3"/>
  <c r="B78" i="3"/>
  <c r="C78" i="3" s="1"/>
  <c r="M23" i="3"/>
  <c r="A43" i="3" s="1"/>
  <c r="B264" i="3"/>
  <c r="C264" i="3" s="1"/>
  <c r="B262" i="3"/>
  <c r="C262" i="3" s="1"/>
  <c r="B263" i="3"/>
  <c r="C263" i="3" s="1"/>
  <c r="B261" i="3"/>
  <c r="C261" i="3" s="1"/>
  <c r="B259" i="3"/>
  <c r="C259" i="3" s="1"/>
  <c r="B256" i="3"/>
  <c r="C256" i="3" s="1"/>
  <c r="B258" i="3"/>
  <c r="C258" i="3" s="1"/>
  <c r="B253" i="3"/>
  <c r="C253" i="3" s="1"/>
  <c r="B251" i="3"/>
  <c r="C251" i="3" s="1"/>
  <c r="B249" i="3"/>
  <c r="C249" i="3" s="1"/>
  <c r="AJ249" i="3" s="1"/>
  <c r="B260" i="3"/>
  <c r="C260" i="3" s="1"/>
  <c r="B257" i="3"/>
  <c r="C257" i="3" s="1"/>
  <c r="AJ257" i="3" s="1"/>
  <c r="B255" i="3"/>
  <c r="C255" i="3" s="1"/>
  <c r="B254" i="3"/>
  <c r="C254" i="3" s="1"/>
  <c r="B246" i="3"/>
  <c r="C246" i="3" s="1"/>
  <c r="AJ246" i="3" s="1"/>
  <c r="B244" i="3"/>
  <c r="C244" i="3" s="1"/>
  <c r="B242" i="3"/>
  <c r="C242" i="3" s="1"/>
  <c r="B240" i="3"/>
  <c r="C240" i="3" s="1"/>
  <c r="B238" i="3"/>
  <c r="C238" i="3" s="1"/>
  <c r="AJ238" i="3" s="1"/>
  <c r="B236" i="3"/>
  <c r="C236" i="3" s="1"/>
  <c r="B250" i="3"/>
  <c r="C250" i="3" s="1"/>
  <c r="B248" i="3"/>
  <c r="C248" i="3" s="1"/>
  <c r="B235" i="3"/>
  <c r="C235" i="3" s="1"/>
  <c r="B233" i="3"/>
  <c r="C233" i="3" s="1"/>
  <c r="B231" i="3"/>
  <c r="C231" i="3" s="1"/>
  <c r="B229" i="3"/>
  <c r="C229" i="3" s="1"/>
  <c r="B227" i="3"/>
  <c r="C227" i="3" s="1"/>
  <c r="B225" i="3"/>
  <c r="C225" i="3" s="1"/>
  <c r="B223" i="3"/>
  <c r="C223" i="3" s="1"/>
  <c r="B221" i="3"/>
  <c r="C221" i="3" s="1"/>
  <c r="B219" i="3"/>
  <c r="C219" i="3" s="1"/>
  <c r="B247" i="3"/>
  <c r="C247" i="3" s="1"/>
  <c r="B245" i="3"/>
  <c r="C245" i="3" s="1"/>
  <c r="B243" i="3"/>
  <c r="C243" i="3" s="1"/>
  <c r="D243" i="3" s="1"/>
  <c r="B252" i="3"/>
  <c r="C252" i="3" s="1"/>
  <c r="B239" i="3"/>
  <c r="C239" i="3" s="1"/>
  <c r="B237" i="3"/>
  <c r="C237" i="3" s="1"/>
  <c r="B234" i="3"/>
  <c r="C234" i="3" s="1"/>
  <c r="B232" i="3"/>
  <c r="C232" i="3" s="1"/>
  <c r="B230" i="3"/>
  <c r="C230" i="3" s="1"/>
  <c r="B228" i="3"/>
  <c r="C228" i="3" s="1"/>
  <c r="B218" i="3"/>
  <c r="C218" i="3" s="1"/>
  <c r="D218" i="3" s="1"/>
  <c r="B216" i="3"/>
  <c r="C216" i="3" s="1"/>
  <c r="AJ216" i="3" s="1"/>
  <c r="B226" i="3"/>
  <c r="C226" i="3" s="1"/>
  <c r="B224" i="3"/>
  <c r="C224" i="3" s="1"/>
  <c r="B222" i="3"/>
  <c r="C222" i="3" s="1"/>
  <c r="AJ222" i="3" s="1"/>
  <c r="B220" i="3"/>
  <c r="C220" i="3" s="1"/>
  <c r="B214" i="3"/>
  <c r="C214" i="3" s="1"/>
  <c r="B212" i="3"/>
  <c r="C212" i="3" s="1"/>
  <c r="B210" i="3"/>
  <c r="C210" i="3" s="1"/>
  <c r="D210" i="3" s="1"/>
  <c r="B208" i="3"/>
  <c r="C208" i="3" s="1"/>
  <c r="B206" i="3"/>
  <c r="C206" i="3" s="1"/>
  <c r="B215" i="3"/>
  <c r="C215" i="3" s="1"/>
  <c r="B217" i="3"/>
  <c r="C217" i="3" s="1"/>
  <c r="AJ217" i="3" s="1"/>
  <c r="B211" i="3"/>
  <c r="C211" i="3" s="1"/>
  <c r="B205" i="3"/>
  <c r="C205" i="3" s="1"/>
  <c r="AJ205" i="3" s="1"/>
  <c r="B203" i="3"/>
  <c r="C203" i="3" s="1"/>
  <c r="B201" i="3"/>
  <c r="C201" i="3" s="1"/>
  <c r="AJ201" i="3" s="1"/>
  <c r="B199" i="3"/>
  <c r="C199" i="3" s="1"/>
  <c r="B197" i="3"/>
  <c r="C197" i="3" s="1"/>
  <c r="AJ197" i="3" s="1"/>
  <c r="B195" i="3"/>
  <c r="C195" i="3" s="1"/>
  <c r="B193" i="3"/>
  <c r="C193" i="3" s="1"/>
  <c r="AJ193" i="3" s="1"/>
  <c r="B191" i="3"/>
  <c r="C191" i="3" s="1"/>
  <c r="B189" i="3"/>
  <c r="C189" i="3" s="1"/>
  <c r="B241" i="3"/>
  <c r="C241" i="3" s="1"/>
  <c r="B213" i="3"/>
  <c r="C213" i="3" s="1"/>
  <c r="AJ213" i="3" s="1"/>
  <c r="B209" i="3"/>
  <c r="C209" i="3" s="1"/>
  <c r="B204" i="3"/>
  <c r="C204" i="3" s="1"/>
  <c r="B202" i="3"/>
  <c r="C202" i="3" s="1"/>
  <c r="B207" i="3"/>
  <c r="C207" i="3" s="1"/>
  <c r="AJ207" i="3" s="1"/>
  <c r="B200" i="3"/>
  <c r="C200" i="3" s="1"/>
  <c r="AJ200" i="3" s="1"/>
  <c r="B198" i="3"/>
  <c r="C198" i="3" s="1"/>
  <c r="B196" i="3"/>
  <c r="C196" i="3" s="1"/>
  <c r="B186" i="3"/>
  <c r="C186" i="3" s="1"/>
  <c r="AJ186" i="3" s="1"/>
  <c r="B184" i="3"/>
  <c r="C184" i="3" s="1"/>
  <c r="B194" i="3"/>
  <c r="C194" i="3" s="1"/>
  <c r="B190" i="3"/>
  <c r="C190" i="3" s="1"/>
  <c r="B182" i="3"/>
  <c r="C182" i="3" s="1"/>
  <c r="E182" i="3" s="1"/>
  <c r="B180" i="3"/>
  <c r="C180" i="3" s="1"/>
  <c r="B178" i="3"/>
  <c r="C178" i="3" s="1"/>
  <c r="B176" i="3"/>
  <c r="C176" i="3" s="1"/>
  <c r="B174" i="3"/>
  <c r="C174" i="3" s="1"/>
  <c r="B172" i="3"/>
  <c r="C172" i="3" s="1"/>
  <c r="B170" i="3"/>
  <c r="C170" i="3" s="1"/>
  <c r="AJ170" i="3" s="1"/>
  <c r="B169" i="3"/>
  <c r="C169" i="3" s="1"/>
  <c r="AJ169" i="3" s="1"/>
  <c r="B167" i="3"/>
  <c r="C167" i="3" s="1"/>
  <c r="E167" i="3" s="1"/>
  <c r="B165" i="3"/>
  <c r="C165" i="3" s="1"/>
  <c r="B163" i="3"/>
  <c r="C163" i="3" s="1"/>
  <c r="B161" i="3"/>
  <c r="C161" i="3" s="1"/>
  <c r="AJ161" i="3" s="1"/>
  <c r="B159" i="3"/>
  <c r="C159" i="3" s="1"/>
  <c r="AJ159" i="3" s="1"/>
  <c r="B157" i="3"/>
  <c r="C157" i="3" s="1"/>
  <c r="B183" i="3"/>
  <c r="C183" i="3" s="1"/>
  <c r="B192" i="3"/>
  <c r="C192" i="3" s="1"/>
  <c r="B188" i="3"/>
  <c r="C188" i="3" s="1"/>
  <c r="D188" i="3" s="1"/>
  <c r="B187" i="3"/>
  <c r="C187" i="3" s="1"/>
  <c r="B185" i="3"/>
  <c r="C185" i="3" s="1"/>
  <c r="B175" i="3"/>
  <c r="C175" i="3" s="1"/>
  <c r="B181" i="3"/>
  <c r="C181" i="3" s="1"/>
  <c r="E181" i="3" s="1"/>
  <c r="B173" i="3"/>
  <c r="C173" i="3" s="1"/>
  <c r="B168" i="3"/>
  <c r="C168" i="3" s="1"/>
  <c r="B166" i="3"/>
  <c r="C166" i="3" s="1"/>
  <c r="B164" i="3"/>
  <c r="C164" i="3" s="1"/>
  <c r="D164" i="3" s="1"/>
  <c r="B154" i="3"/>
  <c r="C154" i="3" s="1"/>
  <c r="AJ154" i="3" s="1"/>
  <c r="B152" i="3"/>
  <c r="C152" i="3" s="1"/>
  <c r="AJ152" i="3" s="1"/>
  <c r="B150" i="3"/>
  <c r="C150" i="3" s="1"/>
  <c r="B148" i="3"/>
  <c r="C148" i="3" s="1"/>
  <c r="AJ148" i="3" s="1"/>
  <c r="B146" i="3"/>
  <c r="C146" i="3" s="1"/>
  <c r="B144" i="3"/>
  <c r="C144" i="3" s="1"/>
  <c r="B142" i="3"/>
  <c r="C142" i="3" s="1"/>
  <c r="B140" i="3"/>
  <c r="C140" i="3" s="1"/>
  <c r="AJ140" i="3" s="1"/>
  <c r="B138" i="3"/>
  <c r="C138" i="3" s="1"/>
  <c r="AJ138" i="3" s="1"/>
  <c r="B136" i="3"/>
  <c r="C136" i="3" s="1"/>
  <c r="B134" i="3"/>
  <c r="C134" i="3" s="1"/>
  <c r="B132" i="3"/>
  <c r="C132" i="3" s="1"/>
  <c r="AJ132" i="3" s="1"/>
  <c r="B130" i="3"/>
  <c r="C130" i="3" s="1"/>
  <c r="B128" i="3"/>
  <c r="C128" i="3" s="1"/>
  <c r="AJ128" i="3" s="1"/>
  <c r="B126" i="3"/>
  <c r="C126" i="3" s="1"/>
  <c r="B124" i="3"/>
  <c r="C124" i="3" s="1"/>
  <c r="AJ124" i="3" s="1"/>
  <c r="B122" i="3"/>
  <c r="C122" i="3" s="1"/>
  <c r="B120" i="3"/>
  <c r="C120" i="3" s="1"/>
  <c r="B118" i="3"/>
  <c r="C118" i="3" s="1"/>
  <c r="B116" i="3"/>
  <c r="C116" i="3" s="1"/>
  <c r="AJ116" i="3" s="1"/>
  <c r="B179" i="3"/>
  <c r="C179" i="3" s="1"/>
  <c r="B177" i="3"/>
  <c r="C177" i="3" s="1"/>
  <c r="B162" i="3"/>
  <c r="C162" i="3" s="1"/>
  <c r="B160" i="3"/>
  <c r="C160" i="3" s="1"/>
  <c r="AJ160" i="3" s="1"/>
  <c r="B158" i="3"/>
  <c r="C158" i="3" s="1"/>
  <c r="B156" i="3"/>
  <c r="C156" i="3" s="1"/>
  <c r="B133" i="3"/>
  <c r="C133" i="3" s="1"/>
  <c r="B131" i="3"/>
  <c r="C131" i="3" s="1"/>
  <c r="E131" i="3" s="1"/>
  <c r="B129" i="3"/>
  <c r="C129" i="3" s="1"/>
  <c r="B127" i="3"/>
  <c r="C127" i="3" s="1"/>
  <c r="B125" i="3"/>
  <c r="C125" i="3" s="1"/>
  <c r="AJ125" i="3" s="1"/>
  <c r="B123" i="3"/>
  <c r="C123" i="3" s="1"/>
  <c r="AJ123" i="3" s="1"/>
  <c r="B121" i="3"/>
  <c r="C121" i="3" s="1"/>
  <c r="B119" i="3"/>
  <c r="C119" i="3" s="1"/>
  <c r="B117" i="3"/>
  <c r="C117" i="3" s="1"/>
  <c r="B115" i="3"/>
  <c r="C115" i="3" s="1"/>
  <c r="AJ115" i="3" s="1"/>
  <c r="B113" i="3"/>
  <c r="C113" i="3" s="1"/>
  <c r="B111" i="3"/>
  <c r="C111" i="3" s="1"/>
  <c r="B109" i="3"/>
  <c r="C109" i="3" s="1"/>
  <c r="B155" i="3"/>
  <c r="C155" i="3" s="1"/>
  <c r="AJ155" i="3" s="1"/>
  <c r="B153" i="3"/>
  <c r="C153" i="3" s="1"/>
  <c r="B151" i="3"/>
  <c r="C151" i="3" s="1"/>
  <c r="B149" i="3"/>
  <c r="C149" i="3" s="1"/>
  <c r="B147" i="3"/>
  <c r="C147" i="3" s="1"/>
  <c r="D147" i="3" s="1"/>
  <c r="B145" i="3"/>
  <c r="C145" i="3" s="1"/>
  <c r="AJ145" i="3" s="1"/>
  <c r="B143" i="3"/>
  <c r="C143" i="3" s="1"/>
  <c r="B141" i="3"/>
  <c r="C141" i="3" s="1"/>
  <c r="B139" i="3"/>
  <c r="C139" i="3" s="1"/>
  <c r="B137" i="3"/>
  <c r="C137" i="3" s="1"/>
  <c r="B135" i="3"/>
  <c r="C135" i="3" s="1"/>
  <c r="B171" i="3"/>
  <c r="C171" i="3" s="1"/>
  <c r="B114" i="3"/>
  <c r="C114" i="3" s="1"/>
  <c r="E114" i="3" s="1"/>
  <c r="B112" i="3"/>
  <c r="C112" i="3" s="1"/>
  <c r="B110" i="3"/>
  <c r="C110" i="3" s="1"/>
  <c r="AJ110" i="3" s="1"/>
  <c r="B108" i="3"/>
  <c r="C108" i="3" s="1"/>
  <c r="B106" i="3"/>
  <c r="C106" i="3" s="1"/>
  <c r="E106" i="3" s="1"/>
  <c r="B104" i="3"/>
  <c r="C104" i="3" s="1"/>
  <c r="B102" i="3"/>
  <c r="C102" i="3" s="1"/>
  <c r="B100" i="3"/>
  <c r="C100" i="3" s="1"/>
  <c r="B98" i="3"/>
  <c r="C98" i="3" s="1"/>
  <c r="B96" i="3"/>
  <c r="C96" i="3" s="1"/>
  <c r="AJ96" i="3" s="1"/>
  <c r="B94" i="3"/>
  <c r="C94" i="3" s="1"/>
  <c r="B92" i="3"/>
  <c r="C92" i="3" s="1"/>
  <c r="B90" i="3"/>
  <c r="C90" i="3" s="1"/>
  <c r="AJ90" i="3" s="1"/>
  <c r="B88" i="3"/>
  <c r="C88" i="3" s="1"/>
  <c r="B86" i="3"/>
  <c r="C86" i="3" s="1"/>
  <c r="B84" i="3"/>
  <c r="C84" i="3" s="1"/>
  <c r="B82" i="3"/>
  <c r="C82" i="3" s="1"/>
  <c r="AJ82" i="3" s="1"/>
  <c r="B79" i="3"/>
  <c r="C79" i="3" s="1"/>
  <c r="B77" i="3"/>
  <c r="C77" i="3" s="1"/>
  <c r="B75" i="3"/>
  <c r="C75" i="3" s="1"/>
  <c r="B73" i="3"/>
  <c r="C73" i="3" s="1"/>
  <c r="D73" i="3" s="1"/>
  <c r="B71" i="3"/>
  <c r="C71" i="3" s="1"/>
  <c r="B69" i="3"/>
  <c r="C69" i="3" s="1"/>
  <c r="B67" i="3"/>
  <c r="C67" i="3" s="1"/>
  <c r="B65" i="3"/>
  <c r="C65" i="3" s="1"/>
  <c r="B83" i="3"/>
  <c r="C83" i="3" s="1"/>
  <c r="AJ83" i="3" s="1"/>
  <c r="B107" i="3"/>
  <c r="C107" i="3" s="1"/>
  <c r="B105" i="3"/>
  <c r="C105" i="3" s="1"/>
  <c r="B103" i="3"/>
  <c r="C103" i="3" s="1"/>
  <c r="AJ103" i="3" s="1"/>
  <c r="B101" i="3"/>
  <c r="C101" i="3" s="1"/>
  <c r="B99" i="3"/>
  <c r="C99" i="3" s="1"/>
  <c r="AJ99" i="3" s="1"/>
  <c r="B97" i="3"/>
  <c r="C97" i="3" s="1"/>
  <c r="B95" i="3"/>
  <c r="C95" i="3" s="1"/>
  <c r="B93" i="3"/>
  <c r="C93" i="3" s="1"/>
  <c r="B91" i="3"/>
  <c r="C91" i="3" s="1"/>
  <c r="B89" i="3"/>
  <c r="C89" i="3" s="1"/>
  <c r="B87" i="3"/>
  <c r="C87" i="3" s="1"/>
  <c r="E87" i="3" s="1"/>
  <c r="B85" i="3"/>
  <c r="C85" i="3" s="1"/>
  <c r="B81" i="3"/>
  <c r="C81" i="3" s="1"/>
  <c r="M28" i="3"/>
  <c r="K29" i="3" s="1"/>
  <c r="B64" i="3"/>
  <c r="C64" i="3" s="1"/>
  <c r="B66" i="3"/>
  <c r="C66" i="3" s="1"/>
  <c r="B68" i="3"/>
  <c r="C68" i="3" s="1"/>
  <c r="AJ68" i="3" s="1"/>
  <c r="B70" i="3"/>
  <c r="C70" i="3" s="1"/>
  <c r="B72" i="3"/>
  <c r="C72" i="3" s="1"/>
  <c r="B74" i="3"/>
  <c r="C74" i="3" s="1"/>
  <c r="B76" i="3"/>
  <c r="C76" i="3" s="1"/>
  <c r="AJ80" i="3"/>
  <c r="AP80" i="3" s="1"/>
  <c r="AJ84" i="3"/>
  <c r="AJ88" i="3"/>
  <c r="AJ92" i="3"/>
  <c r="AJ100" i="3"/>
  <c r="AJ104" i="3"/>
  <c r="I10" i="2"/>
  <c r="B88" i="1"/>
  <c r="B93" i="1"/>
  <c r="K32" i="1" s="1"/>
  <c r="B56" i="1"/>
  <c r="D248" i="3" l="1"/>
  <c r="D240" i="3"/>
  <c r="D254" i="3"/>
  <c r="E256" i="3"/>
  <c r="D262" i="3"/>
  <c r="D126" i="3"/>
  <c r="D142" i="3"/>
  <c r="E218" i="3"/>
  <c r="F218" i="3" s="1"/>
  <c r="G218" i="3" s="1"/>
  <c r="E70" i="3"/>
  <c r="E100" i="3"/>
  <c r="B53" i="2"/>
  <c r="F22" i="2" s="1"/>
  <c r="B69" i="2"/>
  <c r="J69" i="2" s="1"/>
  <c r="B72" i="2"/>
  <c r="G41" i="2" s="1"/>
  <c r="B46" i="2"/>
  <c r="L69" i="2" s="1"/>
  <c r="B62" i="2"/>
  <c r="F31" i="2" s="1"/>
  <c r="B55" i="2"/>
  <c r="F24" i="2" s="1"/>
  <c r="B71" i="2"/>
  <c r="J71" i="2" s="1"/>
  <c r="B56" i="2"/>
  <c r="F25" i="2" s="1"/>
  <c r="B45" i="2"/>
  <c r="F14" i="2" s="1"/>
  <c r="B61" i="2"/>
  <c r="F30" i="2" s="1"/>
  <c r="B59" i="2"/>
  <c r="F28" i="2" s="1"/>
  <c r="B49" i="2"/>
  <c r="F18" i="2" s="1"/>
  <c r="B65" i="2"/>
  <c r="F34" i="2" s="1"/>
  <c r="B54" i="2"/>
  <c r="F23" i="2" s="1"/>
  <c r="D150" i="3"/>
  <c r="D67" i="3"/>
  <c r="D81" i="3"/>
  <c r="D69" i="3"/>
  <c r="E77" i="3"/>
  <c r="D94" i="3"/>
  <c r="D143" i="3"/>
  <c r="D127" i="3"/>
  <c r="D120" i="3"/>
  <c r="D168" i="3"/>
  <c r="E194" i="3"/>
  <c r="E198" i="3"/>
  <c r="E226" i="3"/>
  <c r="E247" i="3"/>
  <c r="E244" i="3"/>
  <c r="E133" i="3"/>
  <c r="D80" i="3"/>
  <c r="E193" i="3"/>
  <c r="D169" i="3"/>
  <c r="E95" i="3"/>
  <c r="E115" i="3"/>
  <c r="E132" i="3"/>
  <c r="D133" i="3"/>
  <c r="D162" i="3"/>
  <c r="D190" i="3"/>
  <c r="E229" i="3"/>
  <c r="E264" i="3"/>
  <c r="E80" i="3"/>
  <c r="D75" i="3"/>
  <c r="E84" i="3"/>
  <c r="E108" i="3"/>
  <c r="E141" i="3"/>
  <c r="D149" i="3"/>
  <c r="D117" i="3"/>
  <c r="D134" i="3"/>
  <c r="E166" i="3"/>
  <c r="E196" i="3"/>
  <c r="D241" i="3"/>
  <c r="E215" i="3"/>
  <c r="E237" i="3"/>
  <c r="E251" i="3"/>
  <c r="D100" i="3"/>
  <c r="F100" i="3" s="1"/>
  <c r="H100" i="3" s="1"/>
  <c r="E103" i="3"/>
  <c r="E92" i="3"/>
  <c r="D118" i="3"/>
  <c r="D141" i="3"/>
  <c r="E184" i="3"/>
  <c r="E224" i="3"/>
  <c r="E245" i="3"/>
  <c r="D264" i="3"/>
  <c r="D98" i="3"/>
  <c r="E66" i="3"/>
  <c r="E85" i="3"/>
  <c r="E93" i="3"/>
  <c r="E101" i="3"/>
  <c r="E71" i="3"/>
  <c r="D79" i="3"/>
  <c r="D104" i="3"/>
  <c r="D113" i="3"/>
  <c r="E121" i="3"/>
  <c r="E179" i="3"/>
  <c r="E122" i="3"/>
  <c r="E130" i="3"/>
  <c r="D146" i="3"/>
  <c r="D173" i="3"/>
  <c r="D187" i="3"/>
  <c r="E165" i="3"/>
  <c r="E180" i="3"/>
  <c r="E191" i="3"/>
  <c r="E199" i="3"/>
  <c r="D220" i="3"/>
  <c r="E232" i="3"/>
  <c r="E235" i="3"/>
  <c r="E263" i="3"/>
  <c r="D108" i="3"/>
  <c r="F108" i="3" s="1"/>
  <c r="D78" i="3"/>
  <c r="D83" i="3"/>
  <c r="E124" i="3"/>
  <c r="E149" i="3"/>
  <c r="D181" i="3"/>
  <c r="F181" i="3" s="1"/>
  <c r="G181" i="3" s="1"/>
  <c r="D209" i="3"/>
  <c r="E234" i="3"/>
  <c r="D48" i="2"/>
  <c r="E48" i="2" s="1"/>
  <c r="H17" i="2" s="1"/>
  <c r="D69" i="2"/>
  <c r="E69" i="2" s="1"/>
  <c r="H38" i="2" s="1"/>
  <c r="D47" i="2"/>
  <c r="E47" i="2" s="1"/>
  <c r="H16" i="2" s="1"/>
  <c r="D62" i="2"/>
  <c r="E62" i="2" s="1"/>
  <c r="H31" i="2" s="1"/>
  <c r="D63" i="2"/>
  <c r="E63" i="2" s="1"/>
  <c r="H32" i="2" s="1"/>
  <c r="D53" i="2"/>
  <c r="E53" i="2" s="1"/>
  <c r="B48" i="2"/>
  <c r="F17" i="2" s="1"/>
  <c r="B64" i="2"/>
  <c r="F33" i="2" s="1"/>
  <c r="D52" i="2"/>
  <c r="E52" i="2" s="1"/>
  <c r="H21" i="2" s="1"/>
  <c r="D57" i="2"/>
  <c r="E57" i="2" s="1"/>
  <c r="H26" i="2" s="1"/>
  <c r="D51" i="2"/>
  <c r="E51" i="2" s="1"/>
  <c r="H20" i="2" s="1"/>
  <c r="D66" i="2"/>
  <c r="E66" i="2" s="1"/>
  <c r="H35" i="2" s="1"/>
  <c r="D67" i="2"/>
  <c r="E67" i="2" s="1"/>
  <c r="H36" i="2" s="1"/>
  <c r="D56" i="2"/>
  <c r="E56" i="2" s="1"/>
  <c r="H25" i="2" s="1"/>
  <c r="L201" i="3"/>
  <c r="L98" i="3"/>
  <c r="L139" i="3"/>
  <c r="L234" i="3"/>
  <c r="B47" i="2"/>
  <c r="F16" i="2" s="1"/>
  <c r="B63" i="2"/>
  <c r="F32" i="2" s="1"/>
  <c r="B57" i="2"/>
  <c r="F26" i="2" s="1"/>
  <c r="B52" i="2"/>
  <c r="B68" i="2"/>
  <c r="N68" i="2" s="1"/>
  <c r="D46" i="2"/>
  <c r="E46" i="2" s="1"/>
  <c r="H15" i="2" s="1"/>
  <c r="D61" i="2"/>
  <c r="E61" i="2" s="1"/>
  <c r="H30" i="2" s="1"/>
  <c r="D54" i="2"/>
  <c r="E54" i="2" s="1"/>
  <c r="H23" i="2" s="1"/>
  <c r="D70" i="2"/>
  <c r="E70" i="2" s="1"/>
  <c r="H39" i="2" s="1"/>
  <c r="D55" i="2"/>
  <c r="E55" i="2" s="1"/>
  <c r="H24" i="2" s="1"/>
  <c r="D71" i="2"/>
  <c r="E71" i="2" s="1"/>
  <c r="H40" i="2" s="1"/>
  <c r="F72" i="2"/>
  <c r="G72" i="2"/>
  <c r="E41" i="2" s="1"/>
  <c r="D45" i="2"/>
  <c r="E45" i="2" s="1"/>
  <c r="H14" i="2" s="1"/>
  <c r="D60" i="2"/>
  <c r="E60" i="2" s="1"/>
  <c r="H29" i="2" s="1"/>
  <c r="D68" i="2"/>
  <c r="E68" i="2" s="1"/>
  <c r="H37" i="2" s="1"/>
  <c r="L134" i="3"/>
  <c r="L250" i="3"/>
  <c r="B51" i="2"/>
  <c r="F20" i="2" s="1"/>
  <c r="B67" i="2"/>
  <c r="F36" i="2" s="1"/>
  <c r="B70" i="2"/>
  <c r="J70" i="2" s="1"/>
  <c r="D50" i="2"/>
  <c r="E50" i="2" s="1"/>
  <c r="H19" i="2" s="1"/>
  <c r="D65" i="2"/>
  <c r="E65" i="2" s="1"/>
  <c r="H34" i="2" s="1"/>
  <c r="D58" i="2"/>
  <c r="E58" i="2" s="1"/>
  <c r="H27" i="2" s="1"/>
  <c r="D59" i="2"/>
  <c r="E59" i="2" s="1"/>
  <c r="H28" i="2" s="1"/>
  <c r="D49" i="2"/>
  <c r="E49" i="2" s="1"/>
  <c r="H18" i="2" s="1"/>
  <c r="D64" i="2"/>
  <c r="E64" i="2" s="1"/>
  <c r="H33" i="2" s="1"/>
  <c r="F27" i="2"/>
  <c r="F40" i="2"/>
  <c r="F13" i="2"/>
  <c r="G13" i="2"/>
  <c r="F29" i="2"/>
  <c r="F35" i="2"/>
  <c r="F19" i="2"/>
  <c r="B75" i="1"/>
  <c r="L29" i="1" s="1"/>
  <c r="E13" i="2"/>
  <c r="B59" i="1"/>
  <c r="L28" i="1" s="1"/>
  <c r="D13" i="2"/>
  <c r="L148" i="3"/>
  <c r="L205" i="3"/>
  <c r="L260" i="3"/>
  <c r="L106" i="3"/>
  <c r="L169" i="3"/>
  <c r="L217" i="3"/>
  <c r="L162" i="3"/>
  <c r="L93" i="3"/>
  <c r="L174" i="3"/>
  <c r="L231" i="3"/>
  <c r="L88" i="3"/>
  <c r="L112" i="3"/>
  <c r="L137" i="3"/>
  <c r="L129" i="3"/>
  <c r="L158" i="3"/>
  <c r="L157" i="3"/>
  <c r="L172" i="3"/>
  <c r="L184" i="3"/>
  <c r="L219" i="3"/>
  <c r="L227" i="3"/>
  <c r="L114" i="3"/>
  <c r="L80" i="3"/>
  <c r="L101" i="3"/>
  <c r="L141" i="3"/>
  <c r="L182" i="3"/>
  <c r="L238" i="3"/>
  <c r="L242" i="3"/>
  <c r="L263" i="3"/>
  <c r="L79" i="3"/>
  <c r="L92" i="3"/>
  <c r="L118" i="3"/>
  <c r="L155" i="3"/>
  <c r="L211" i="3"/>
  <c r="L210" i="3"/>
  <c r="L249" i="3"/>
  <c r="C27" i="3"/>
  <c r="M261" i="3" s="1"/>
  <c r="L108" i="3"/>
  <c r="L103" i="3"/>
  <c r="L171" i="3"/>
  <c r="L145" i="3"/>
  <c r="L164" i="3"/>
  <c r="L186" i="3"/>
  <c r="L198" i="3"/>
  <c r="L215" i="3"/>
  <c r="L240" i="3"/>
  <c r="L246" i="3"/>
  <c r="L252" i="3"/>
  <c r="L262" i="3"/>
  <c r="L146" i="3"/>
  <c r="L117" i="3"/>
  <c r="L90" i="3"/>
  <c r="L89" i="3"/>
  <c r="L113" i="3"/>
  <c r="L179" i="3"/>
  <c r="L153" i="3"/>
  <c r="L209" i="3"/>
  <c r="L195" i="3"/>
  <c r="L203" i="3"/>
  <c r="L208" i="3"/>
  <c r="L229" i="3"/>
  <c r="L245" i="3"/>
  <c r="L258" i="3"/>
  <c r="L121" i="3"/>
  <c r="L82" i="3"/>
  <c r="L100" i="3"/>
  <c r="L142" i="3"/>
  <c r="L95" i="3"/>
  <c r="L105" i="3"/>
  <c r="L126" i="3"/>
  <c r="L125" i="3"/>
  <c r="L173" i="3"/>
  <c r="L147" i="3"/>
  <c r="L161" i="3"/>
  <c r="L166" i="3"/>
  <c r="L176" i="3"/>
  <c r="L190" i="3"/>
  <c r="L193" i="3"/>
  <c r="L200" i="3"/>
  <c r="L207" i="3"/>
  <c r="L222" i="3"/>
  <c r="L212" i="3"/>
  <c r="L221" i="3"/>
  <c r="L235" i="3"/>
  <c r="L241" i="3"/>
  <c r="L251" i="3"/>
  <c r="L254" i="3"/>
  <c r="L255" i="3"/>
  <c r="L264" i="3"/>
  <c r="L181" i="3"/>
  <c r="L84" i="3"/>
  <c r="L104" i="3"/>
  <c r="L150" i="3"/>
  <c r="L97" i="3"/>
  <c r="L109" i="3"/>
  <c r="L130" i="3"/>
  <c r="L133" i="3"/>
  <c r="L175" i="3"/>
  <c r="L149" i="3"/>
  <c r="L165" i="3"/>
  <c r="L168" i="3"/>
  <c r="L180" i="3"/>
  <c r="L192" i="3"/>
  <c r="L196" i="3"/>
  <c r="L228" i="3"/>
  <c r="L224" i="3"/>
  <c r="L202" i="3"/>
  <c r="L218" i="3"/>
  <c r="L223" i="3"/>
  <c r="L237" i="3"/>
  <c r="L243" i="3"/>
  <c r="L248" i="3"/>
  <c r="L256" i="3"/>
  <c r="L102" i="3"/>
  <c r="L151" i="3"/>
  <c r="L144" i="3"/>
  <c r="L189" i="3"/>
  <c r="L225" i="3"/>
  <c r="B85" i="1"/>
  <c r="L30" i="1"/>
  <c r="F22" i="1"/>
  <c r="B55" i="1" s="1"/>
  <c r="F18" i="1"/>
  <c r="F17" i="1" s="1"/>
  <c r="F23" i="1"/>
  <c r="B72" i="1" s="1"/>
  <c r="D180" i="3"/>
  <c r="L122" i="3"/>
  <c r="L220" i="3"/>
  <c r="E123" i="3"/>
  <c r="D154" i="3"/>
  <c r="D161" i="3"/>
  <c r="E173" i="3"/>
  <c r="E188" i="3"/>
  <c r="F188" i="3" s="1"/>
  <c r="E207" i="3"/>
  <c r="D217" i="3"/>
  <c r="AJ85" i="3"/>
  <c r="AJ114" i="3"/>
  <c r="AJ146" i="3"/>
  <c r="AJ220" i="3"/>
  <c r="AJ248" i="3"/>
  <c r="AO80" i="3"/>
  <c r="L127" i="3"/>
  <c r="L197" i="3"/>
  <c r="L138" i="3"/>
  <c r="D199" i="3"/>
  <c r="D216" i="3"/>
  <c r="E246" i="3"/>
  <c r="L96" i="3"/>
  <c r="L85" i="3"/>
  <c r="L191" i="3"/>
  <c r="L199" i="3"/>
  <c r="L232" i="3"/>
  <c r="D71" i="3"/>
  <c r="L87" i="3"/>
  <c r="L123" i="3"/>
  <c r="L131" i="3"/>
  <c r="L216" i="3"/>
  <c r="L257" i="3"/>
  <c r="E78" i="3"/>
  <c r="E116" i="3"/>
  <c r="D125" i="3"/>
  <c r="E161" i="3"/>
  <c r="E201" i="3"/>
  <c r="D246" i="3"/>
  <c r="D222" i="3"/>
  <c r="D249" i="3"/>
  <c r="E254" i="3"/>
  <c r="AJ93" i="3"/>
  <c r="AJ122" i="3"/>
  <c r="AJ187" i="3"/>
  <c r="AJ218" i="3"/>
  <c r="AJ256" i="3"/>
  <c r="AT80" i="3"/>
  <c r="AU80" i="3" s="1"/>
  <c r="AW80" i="3" s="1"/>
  <c r="AL76" i="3"/>
  <c r="AM76" i="3" s="1"/>
  <c r="AN76" i="3" s="1"/>
  <c r="AR76" i="3"/>
  <c r="S76" i="3"/>
  <c r="AQ76" i="3"/>
  <c r="AK76" i="3"/>
  <c r="AS76" i="3"/>
  <c r="K76" i="3"/>
  <c r="AL64" i="3"/>
  <c r="AM64" i="3" s="1"/>
  <c r="AN64" i="3" s="1"/>
  <c r="AR64" i="3"/>
  <c r="S64" i="3"/>
  <c r="AK64" i="3"/>
  <c r="AQ64" i="3"/>
  <c r="L64" i="3"/>
  <c r="K64" i="3"/>
  <c r="AS64" i="3"/>
  <c r="AS91" i="3"/>
  <c r="AK91" i="3"/>
  <c r="AQ91" i="3"/>
  <c r="AL91" i="3"/>
  <c r="K91" i="3"/>
  <c r="AR91" i="3"/>
  <c r="S91" i="3"/>
  <c r="AM91" i="3"/>
  <c r="AN91" i="3" s="1"/>
  <c r="AS107" i="3"/>
  <c r="AK107" i="3"/>
  <c r="AQ107" i="3"/>
  <c r="AL107" i="3"/>
  <c r="AM107" i="3" s="1"/>
  <c r="AN107" i="3" s="1"/>
  <c r="K107" i="3"/>
  <c r="AR107" i="3"/>
  <c r="S107" i="3"/>
  <c r="AQ86" i="3"/>
  <c r="S86" i="3"/>
  <c r="AR86" i="3"/>
  <c r="AL86" i="3"/>
  <c r="AM86" i="3" s="1"/>
  <c r="AN86" i="3" s="1"/>
  <c r="K86" i="3"/>
  <c r="AK86" i="3"/>
  <c r="AS86" i="3"/>
  <c r="AQ94" i="3"/>
  <c r="S94" i="3"/>
  <c r="AR94" i="3"/>
  <c r="AL94" i="3"/>
  <c r="AM94" i="3" s="1"/>
  <c r="AN94" i="3" s="1"/>
  <c r="AK94" i="3"/>
  <c r="K94" i="3"/>
  <c r="AS94" i="3"/>
  <c r="AS135" i="3"/>
  <c r="AK135" i="3"/>
  <c r="AL135" i="3"/>
  <c r="AM135" i="3"/>
  <c r="AN135" i="3" s="1"/>
  <c r="S135" i="3"/>
  <c r="K135" i="3"/>
  <c r="AQ135" i="3"/>
  <c r="AR135" i="3"/>
  <c r="AR111" i="3"/>
  <c r="K111" i="3"/>
  <c r="AS111" i="3"/>
  <c r="AK111" i="3"/>
  <c r="S111" i="3"/>
  <c r="AQ111" i="3"/>
  <c r="AL111" i="3"/>
  <c r="AM111" i="3" s="1"/>
  <c r="AN111" i="3" s="1"/>
  <c r="AL119" i="3"/>
  <c r="AM119" i="3" s="1"/>
  <c r="AN119" i="3" s="1"/>
  <c r="AR119" i="3"/>
  <c r="S119" i="3"/>
  <c r="AS119" i="3"/>
  <c r="AQ119" i="3"/>
  <c r="K119" i="3"/>
  <c r="AK119" i="3"/>
  <c r="AQ177" i="3"/>
  <c r="S177" i="3"/>
  <c r="AK177" i="3"/>
  <c r="K177" i="3"/>
  <c r="AL177" i="3"/>
  <c r="AM177" i="3" s="1"/>
  <c r="AN177" i="3" s="1"/>
  <c r="AS177" i="3"/>
  <c r="AR177" i="3"/>
  <c r="AQ136" i="3"/>
  <c r="AM136" i="3"/>
  <c r="AN136" i="3" s="1"/>
  <c r="S136" i="3"/>
  <c r="AR136" i="3"/>
  <c r="K136" i="3"/>
  <c r="AS136" i="3"/>
  <c r="AK136" i="3"/>
  <c r="AL136" i="3"/>
  <c r="AQ144" i="3"/>
  <c r="AM144" i="3"/>
  <c r="AN144" i="3" s="1"/>
  <c r="S144" i="3"/>
  <c r="AR144" i="3"/>
  <c r="K144" i="3"/>
  <c r="AS144" i="3"/>
  <c r="AK144" i="3"/>
  <c r="AL144" i="3"/>
  <c r="AL185" i="3"/>
  <c r="AS185" i="3"/>
  <c r="AK185" i="3"/>
  <c r="AQ185" i="3"/>
  <c r="AM185" i="3"/>
  <c r="AN185" i="3" s="1"/>
  <c r="S185" i="3"/>
  <c r="AR185" i="3"/>
  <c r="K185" i="3"/>
  <c r="AL183" i="3"/>
  <c r="AS183" i="3"/>
  <c r="AK183" i="3"/>
  <c r="AQ183" i="3"/>
  <c r="AM183" i="3"/>
  <c r="AN183" i="3" s="1"/>
  <c r="S183" i="3"/>
  <c r="K183" i="3"/>
  <c r="AR183" i="3"/>
  <c r="AS178" i="3"/>
  <c r="AK178" i="3"/>
  <c r="AR178" i="3"/>
  <c r="S178" i="3"/>
  <c r="AQ178" i="3"/>
  <c r="K178" i="3"/>
  <c r="AL178" i="3"/>
  <c r="AM178" i="3" s="1"/>
  <c r="AN178" i="3" s="1"/>
  <c r="AS204" i="3"/>
  <c r="AK204" i="3"/>
  <c r="AR204" i="3"/>
  <c r="S204" i="3"/>
  <c r="AQ204" i="3"/>
  <c r="K204" i="3"/>
  <c r="AL204" i="3"/>
  <c r="AM204" i="3" s="1"/>
  <c r="AN204" i="3" s="1"/>
  <c r="AR189" i="3"/>
  <c r="K189" i="3"/>
  <c r="AS189" i="3"/>
  <c r="AM189" i="3"/>
  <c r="AN189" i="3" s="1"/>
  <c r="S189" i="3"/>
  <c r="AQ189" i="3"/>
  <c r="AL189" i="3"/>
  <c r="AK189" i="3"/>
  <c r="AS206" i="3"/>
  <c r="AK206" i="3"/>
  <c r="AR206" i="3"/>
  <c r="AL206" i="3"/>
  <c r="AM206" i="3" s="1"/>
  <c r="AN206" i="3" s="1"/>
  <c r="S206" i="3"/>
  <c r="K206" i="3"/>
  <c r="AQ206" i="3"/>
  <c r="AS214" i="3"/>
  <c r="AK214" i="3"/>
  <c r="AR214" i="3"/>
  <c r="AM214" i="3"/>
  <c r="AN214" i="3" s="1"/>
  <c r="S214" i="3"/>
  <c r="AQ214" i="3"/>
  <c r="AL214" i="3"/>
  <c r="K214" i="3"/>
  <c r="AL239" i="3"/>
  <c r="AM239" i="3" s="1"/>
  <c r="AN239" i="3" s="1"/>
  <c r="AQ239" i="3"/>
  <c r="AK239" i="3"/>
  <c r="K239" i="3"/>
  <c r="AR239" i="3"/>
  <c r="S239" i="3"/>
  <c r="AS239" i="3"/>
  <c r="AR233" i="3"/>
  <c r="K233" i="3"/>
  <c r="AQ233" i="3"/>
  <c r="S233" i="3"/>
  <c r="AS233" i="3"/>
  <c r="AK233" i="3"/>
  <c r="AL233" i="3"/>
  <c r="AM233" i="3" s="1"/>
  <c r="AN233" i="3" s="1"/>
  <c r="AR236" i="3"/>
  <c r="K236" i="3"/>
  <c r="AS236" i="3"/>
  <c r="S236" i="3"/>
  <c r="AK236" i="3"/>
  <c r="AL236" i="3"/>
  <c r="AM236" i="3" s="1"/>
  <c r="AN236" i="3" s="1"/>
  <c r="AQ236" i="3"/>
  <c r="AS253" i="3"/>
  <c r="AQ253" i="3"/>
  <c r="S253" i="3"/>
  <c r="AR253" i="3"/>
  <c r="AL253" i="3"/>
  <c r="AM253" i="3" s="1"/>
  <c r="AN253" i="3" s="1"/>
  <c r="K253" i="3"/>
  <c r="AK253" i="3"/>
  <c r="AQ261" i="3"/>
  <c r="S261" i="3"/>
  <c r="AL261" i="3"/>
  <c r="AM261" i="3" s="1"/>
  <c r="AN261" i="3" s="1"/>
  <c r="AR261" i="3"/>
  <c r="K261" i="3"/>
  <c r="AS261" i="3"/>
  <c r="AK261" i="3"/>
  <c r="AJ64" i="3"/>
  <c r="E119" i="3"/>
  <c r="D68" i="3"/>
  <c r="D76" i="3"/>
  <c r="D91" i="3"/>
  <c r="E170" i="3"/>
  <c r="E136" i="3"/>
  <c r="D183" i="3"/>
  <c r="D198" i="3"/>
  <c r="AJ177" i="3"/>
  <c r="AJ185" i="3"/>
  <c r="AJ206" i="3"/>
  <c r="AJ239" i="3"/>
  <c r="AJ233" i="3"/>
  <c r="K30" i="3"/>
  <c r="K32" i="3" s="1"/>
  <c r="K31" i="3"/>
  <c r="K33" i="3" s="1"/>
  <c r="L120" i="3"/>
  <c r="AJ143" i="3"/>
  <c r="L110" i="3"/>
  <c r="D102" i="3"/>
  <c r="D86" i="3"/>
  <c r="AL74" i="3"/>
  <c r="AM74" i="3" s="1"/>
  <c r="AN74" i="3" s="1"/>
  <c r="AR74" i="3"/>
  <c r="S74" i="3"/>
  <c r="AQ74" i="3"/>
  <c r="AK74" i="3"/>
  <c r="L74" i="3"/>
  <c r="K74" i="3"/>
  <c r="AS74" i="3"/>
  <c r="AL70" i="3"/>
  <c r="AM70" i="3" s="1"/>
  <c r="AN70" i="3" s="1"/>
  <c r="AR70" i="3"/>
  <c r="S70" i="3"/>
  <c r="AK70" i="3"/>
  <c r="L70" i="3"/>
  <c r="AQ70" i="3"/>
  <c r="AS70" i="3"/>
  <c r="K70" i="3"/>
  <c r="AL66" i="3"/>
  <c r="AR66" i="3"/>
  <c r="AM66" i="3"/>
  <c r="AN66" i="3" s="1"/>
  <c r="S66" i="3"/>
  <c r="AQ66" i="3"/>
  <c r="AK66" i="3"/>
  <c r="L66" i="3"/>
  <c r="AS66" i="3"/>
  <c r="K66" i="3"/>
  <c r="L81" i="3"/>
  <c r="L170" i="3"/>
  <c r="L178" i="3"/>
  <c r="L194" i="3"/>
  <c r="L185" i="3"/>
  <c r="L206" i="3"/>
  <c r="L214" i="3"/>
  <c r="L253" i="3"/>
  <c r="L261" i="3"/>
  <c r="AS87" i="3"/>
  <c r="AK87" i="3"/>
  <c r="AQ87" i="3"/>
  <c r="AL87" i="3"/>
  <c r="AM87" i="3" s="1"/>
  <c r="AN87" i="3" s="1"/>
  <c r="K87" i="3"/>
  <c r="AR87" i="3"/>
  <c r="S87" i="3"/>
  <c r="AS95" i="3"/>
  <c r="AK95" i="3"/>
  <c r="AQ95" i="3"/>
  <c r="AL95" i="3"/>
  <c r="K95" i="3"/>
  <c r="AR95" i="3"/>
  <c r="S95" i="3"/>
  <c r="AM95" i="3"/>
  <c r="AN95" i="3" s="1"/>
  <c r="AR65" i="3"/>
  <c r="K65" i="3"/>
  <c r="AK65" i="3"/>
  <c r="AS65" i="3"/>
  <c r="S65" i="3"/>
  <c r="AQ65" i="3"/>
  <c r="AL65" i="3"/>
  <c r="AM65" i="3" s="1"/>
  <c r="AN65" i="3" s="1"/>
  <c r="AO65" i="3" s="1"/>
  <c r="L65" i="3"/>
  <c r="AQ82" i="3"/>
  <c r="AM82" i="3"/>
  <c r="AN82" i="3" s="1"/>
  <c r="S82" i="3"/>
  <c r="AR82" i="3"/>
  <c r="AL82" i="3"/>
  <c r="AK82" i="3"/>
  <c r="AP82" i="3" s="1"/>
  <c r="K82" i="3"/>
  <c r="AS82" i="3"/>
  <c r="AQ98" i="3"/>
  <c r="AM98" i="3"/>
  <c r="AN98" i="3" s="1"/>
  <c r="S98" i="3"/>
  <c r="AR98" i="3"/>
  <c r="AL98" i="3"/>
  <c r="AK98" i="3"/>
  <c r="K98" i="3"/>
  <c r="AS98" i="3"/>
  <c r="AS139" i="3"/>
  <c r="AK139" i="3"/>
  <c r="AL139" i="3"/>
  <c r="AM139" i="3" s="1"/>
  <c r="AN139" i="3" s="1"/>
  <c r="S139" i="3"/>
  <c r="K139" i="3"/>
  <c r="AQ139" i="3"/>
  <c r="AR139" i="3"/>
  <c r="D106" i="3"/>
  <c r="F106" i="3" s="1"/>
  <c r="D90" i="3"/>
  <c r="AJ78" i="3"/>
  <c r="D77" i="3"/>
  <c r="D65" i="3"/>
  <c r="L140" i="3"/>
  <c r="L136" i="3"/>
  <c r="L86" i="3"/>
  <c r="L94" i="3"/>
  <c r="L115" i="3"/>
  <c r="L83" i="3"/>
  <c r="L91" i="3"/>
  <c r="L99" i="3"/>
  <c r="L107" i="3"/>
  <c r="L116" i="3"/>
  <c r="L124" i="3"/>
  <c r="L132" i="3"/>
  <c r="L160" i="3"/>
  <c r="L135" i="3"/>
  <c r="L143" i="3"/>
  <c r="L159" i="3"/>
  <c r="L167" i="3"/>
  <c r="L188" i="3"/>
  <c r="L187" i="3"/>
  <c r="L213" i="3"/>
  <c r="L226" i="3"/>
  <c r="L233" i="3"/>
  <c r="L244" i="3"/>
  <c r="L247" i="3"/>
  <c r="AS89" i="3"/>
  <c r="AK89" i="3"/>
  <c r="AQ89" i="3"/>
  <c r="AL89" i="3"/>
  <c r="AM89" i="3" s="1"/>
  <c r="AN89" i="3" s="1"/>
  <c r="K89" i="3"/>
  <c r="AR89" i="3"/>
  <c r="S89" i="3"/>
  <c r="AS97" i="3"/>
  <c r="AK97" i="3"/>
  <c r="AQ97" i="3"/>
  <c r="AL97" i="3"/>
  <c r="AM97" i="3" s="1"/>
  <c r="AN97" i="3" s="1"/>
  <c r="K97" i="3"/>
  <c r="AR97" i="3"/>
  <c r="S97" i="3"/>
  <c r="AS105" i="3"/>
  <c r="AK105" i="3"/>
  <c r="AQ105" i="3"/>
  <c r="AL105" i="3"/>
  <c r="AM105" i="3" s="1"/>
  <c r="AN105" i="3" s="1"/>
  <c r="K105" i="3"/>
  <c r="AR105" i="3"/>
  <c r="S105" i="3"/>
  <c r="AR67" i="3"/>
  <c r="K67" i="3"/>
  <c r="AK67" i="3"/>
  <c r="S67" i="3"/>
  <c r="AS67" i="3"/>
  <c r="AQ67" i="3"/>
  <c r="AL67" i="3"/>
  <c r="AM67" i="3" s="1"/>
  <c r="AN67" i="3" s="1"/>
  <c r="AO67" i="3" s="1"/>
  <c r="L67" i="3"/>
  <c r="AR75" i="3"/>
  <c r="K75" i="3"/>
  <c r="AK75" i="3"/>
  <c r="S75" i="3"/>
  <c r="AS75" i="3"/>
  <c r="AQ75" i="3"/>
  <c r="AL75" i="3"/>
  <c r="AM75" i="3" s="1"/>
  <c r="AN75" i="3" s="1"/>
  <c r="AO75" i="3" s="1"/>
  <c r="L75" i="3"/>
  <c r="AQ84" i="3"/>
  <c r="AM84" i="3"/>
  <c r="AN84" i="3" s="1"/>
  <c r="S84" i="3"/>
  <c r="AR84" i="3"/>
  <c r="AL84" i="3"/>
  <c r="AK84" i="3"/>
  <c r="AP84" i="3" s="1"/>
  <c r="K84" i="3"/>
  <c r="AS84" i="3"/>
  <c r="D84" i="3"/>
  <c r="AQ92" i="3"/>
  <c r="S92" i="3"/>
  <c r="AR92" i="3"/>
  <c r="AL92" i="3"/>
  <c r="AM92" i="3" s="1"/>
  <c r="AN92" i="3" s="1"/>
  <c r="AK92" i="3"/>
  <c r="AP92" i="3" s="1"/>
  <c r="K92" i="3"/>
  <c r="AS92" i="3"/>
  <c r="D92" i="3"/>
  <c r="AQ100" i="3"/>
  <c r="AM100" i="3"/>
  <c r="AN100" i="3" s="1"/>
  <c r="S100" i="3"/>
  <c r="AR100" i="3"/>
  <c r="AL100" i="3"/>
  <c r="AK100" i="3"/>
  <c r="AP100" i="3" s="1"/>
  <c r="K100" i="3"/>
  <c r="AS100" i="3"/>
  <c r="AL108" i="3"/>
  <c r="AM108" i="3" s="1"/>
  <c r="AN108" i="3" s="1"/>
  <c r="AQ108" i="3"/>
  <c r="S108" i="3"/>
  <c r="AR108" i="3"/>
  <c r="K108" i="3"/>
  <c r="AS108" i="3"/>
  <c r="AK108" i="3"/>
  <c r="AQ171" i="3"/>
  <c r="S171" i="3"/>
  <c r="AK171" i="3"/>
  <c r="K171" i="3"/>
  <c r="AR171" i="3"/>
  <c r="AS171" i="3"/>
  <c r="AL171" i="3"/>
  <c r="AM171" i="3" s="1"/>
  <c r="AN171" i="3" s="1"/>
  <c r="AO171" i="3" s="1"/>
  <c r="AS141" i="3"/>
  <c r="AK141" i="3"/>
  <c r="AL141" i="3"/>
  <c r="AM141" i="3" s="1"/>
  <c r="AN141" i="3" s="1"/>
  <c r="S141" i="3"/>
  <c r="K141" i="3"/>
  <c r="AQ141" i="3"/>
  <c r="AR141" i="3"/>
  <c r="AS149" i="3"/>
  <c r="AK149" i="3"/>
  <c r="AP149" i="3" s="1"/>
  <c r="AL149" i="3"/>
  <c r="AM149" i="3" s="1"/>
  <c r="AN149" i="3" s="1"/>
  <c r="S149" i="3"/>
  <c r="K149" i="3"/>
  <c r="AQ149" i="3"/>
  <c r="AR149" i="3"/>
  <c r="AR109" i="3"/>
  <c r="K109" i="3"/>
  <c r="AS109" i="3"/>
  <c r="AK109" i="3"/>
  <c r="S109" i="3"/>
  <c r="AQ109" i="3"/>
  <c r="AL109" i="3"/>
  <c r="AM109" i="3" s="1"/>
  <c r="AN109" i="3" s="1"/>
  <c r="AL117" i="3"/>
  <c r="AR117" i="3"/>
  <c r="AM117" i="3"/>
  <c r="AN117" i="3" s="1"/>
  <c r="S117" i="3"/>
  <c r="AS117" i="3"/>
  <c r="K117" i="3"/>
  <c r="AQ117" i="3"/>
  <c r="AK117" i="3"/>
  <c r="AL125" i="3"/>
  <c r="AR125" i="3"/>
  <c r="AM125" i="3"/>
  <c r="AN125" i="3" s="1"/>
  <c r="S125" i="3"/>
  <c r="AQ125" i="3"/>
  <c r="AK125" i="3"/>
  <c r="AP125" i="3" s="1"/>
  <c r="AS125" i="3"/>
  <c r="K125" i="3"/>
  <c r="AL133" i="3"/>
  <c r="AR133" i="3"/>
  <c r="AM133" i="3"/>
  <c r="AN133" i="3" s="1"/>
  <c r="S133" i="3"/>
  <c r="AQ133" i="3"/>
  <c r="AK133" i="3"/>
  <c r="AS133" i="3"/>
  <c r="K133" i="3"/>
  <c r="AL162" i="3"/>
  <c r="AS162" i="3"/>
  <c r="K162" i="3"/>
  <c r="AK162" i="3"/>
  <c r="AP162" i="3" s="1"/>
  <c r="AR162" i="3"/>
  <c r="S162" i="3"/>
  <c r="AM162" i="3"/>
  <c r="AN162" i="3" s="1"/>
  <c r="AQ162" i="3"/>
  <c r="AR118" i="3"/>
  <c r="K118" i="3"/>
  <c r="AK118" i="3"/>
  <c r="AQ118" i="3"/>
  <c r="AL118" i="3"/>
  <c r="AS118" i="3"/>
  <c r="S118" i="3"/>
  <c r="AM118" i="3"/>
  <c r="AN118" i="3" s="1"/>
  <c r="AR126" i="3"/>
  <c r="K126" i="3"/>
  <c r="AK126" i="3"/>
  <c r="AQ126" i="3"/>
  <c r="AL126" i="3"/>
  <c r="AM126" i="3"/>
  <c r="AN126" i="3" s="1"/>
  <c r="S126" i="3"/>
  <c r="AS126" i="3"/>
  <c r="AQ134" i="3"/>
  <c r="S134" i="3"/>
  <c r="AR134" i="3"/>
  <c r="K134" i="3"/>
  <c r="AS134" i="3"/>
  <c r="AK134" i="3"/>
  <c r="AL134" i="3"/>
  <c r="AM134" i="3" s="1"/>
  <c r="AN134" i="3" s="1"/>
  <c r="AQ142" i="3"/>
  <c r="S142" i="3"/>
  <c r="AR142" i="3"/>
  <c r="K142" i="3"/>
  <c r="AS142" i="3"/>
  <c r="AK142" i="3"/>
  <c r="AL142" i="3"/>
  <c r="AM142" i="3" s="1"/>
  <c r="AN142" i="3" s="1"/>
  <c r="AQ150" i="3"/>
  <c r="S150" i="3"/>
  <c r="AR150" i="3"/>
  <c r="K150" i="3"/>
  <c r="AS150" i="3"/>
  <c r="AK150" i="3"/>
  <c r="AL150" i="3"/>
  <c r="AM150" i="3" s="1"/>
  <c r="AN150" i="3" s="1"/>
  <c r="AL166" i="3"/>
  <c r="AS166" i="3"/>
  <c r="AK166" i="3"/>
  <c r="AP166" i="3" s="1"/>
  <c r="AR166" i="3"/>
  <c r="AM166" i="3"/>
  <c r="AN166" i="3" s="1"/>
  <c r="S166" i="3"/>
  <c r="K166" i="3"/>
  <c r="AQ166" i="3"/>
  <c r="AQ175" i="3"/>
  <c r="S175" i="3"/>
  <c r="AK175" i="3"/>
  <c r="K175" i="3"/>
  <c r="AS175" i="3"/>
  <c r="AL175" i="3"/>
  <c r="AM175" i="3" s="1"/>
  <c r="AN175" i="3" s="1"/>
  <c r="AR175" i="3"/>
  <c r="AL192" i="3"/>
  <c r="K192" i="3"/>
  <c r="AS192" i="3"/>
  <c r="AQ192" i="3"/>
  <c r="AK192" i="3"/>
  <c r="AP192" i="3" s="1"/>
  <c r="AR192" i="3"/>
  <c r="S192" i="3"/>
  <c r="AM192" i="3"/>
  <c r="AN192" i="3" s="1"/>
  <c r="AR161" i="3"/>
  <c r="K161" i="3"/>
  <c r="AQ161" i="3"/>
  <c r="AL161" i="3"/>
  <c r="AM161" i="3" s="1"/>
  <c r="AN161" i="3" s="1"/>
  <c r="AS161" i="3"/>
  <c r="S161" i="3"/>
  <c r="AK161" i="3"/>
  <c r="AP161" i="3" s="1"/>
  <c r="AQ169" i="3"/>
  <c r="S169" i="3"/>
  <c r="AK169" i="3"/>
  <c r="AP169" i="3" s="1"/>
  <c r="K169" i="3"/>
  <c r="AL169" i="3"/>
  <c r="AM169" i="3" s="1"/>
  <c r="AN169" i="3" s="1"/>
  <c r="AR169" i="3"/>
  <c r="AS169" i="3"/>
  <c r="AS176" i="3"/>
  <c r="AK176" i="3"/>
  <c r="AR176" i="3"/>
  <c r="S176" i="3"/>
  <c r="AL176" i="3"/>
  <c r="AM176" i="3" s="1"/>
  <c r="AN176" i="3" s="1"/>
  <c r="K176" i="3"/>
  <c r="AQ176" i="3"/>
  <c r="AL190" i="3"/>
  <c r="K190" i="3"/>
  <c r="AS190" i="3"/>
  <c r="AQ190" i="3"/>
  <c r="AK190" i="3"/>
  <c r="AM190" i="3"/>
  <c r="AN190" i="3" s="1"/>
  <c r="S190" i="3"/>
  <c r="AR190" i="3"/>
  <c r="AL196" i="3"/>
  <c r="AS196" i="3"/>
  <c r="AR196" i="3"/>
  <c r="K196" i="3"/>
  <c r="AM196" i="3"/>
  <c r="AN196" i="3" s="1"/>
  <c r="S196" i="3"/>
  <c r="AQ196" i="3"/>
  <c r="AK196" i="3"/>
  <c r="AS202" i="3"/>
  <c r="AK202" i="3"/>
  <c r="AR202" i="3"/>
  <c r="S202" i="3"/>
  <c r="AL202" i="3"/>
  <c r="AM202" i="3" s="1"/>
  <c r="AN202" i="3" s="1"/>
  <c r="K202" i="3"/>
  <c r="AQ202" i="3"/>
  <c r="AL241" i="3"/>
  <c r="AS241" i="3"/>
  <c r="AK241" i="3"/>
  <c r="AQ241" i="3"/>
  <c r="AM241" i="3"/>
  <c r="AN241" i="3" s="1"/>
  <c r="S241" i="3"/>
  <c r="K241" i="3"/>
  <c r="AR241" i="3"/>
  <c r="AR195" i="3"/>
  <c r="K195" i="3"/>
  <c r="AL195" i="3"/>
  <c r="AM195" i="3" s="1"/>
  <c r="AN195" i="3" s="1"/>
  <c r="AS195" i="3"/>
  <c r="AK195" i="3"/>
  <c r="AP195" i="3" s="1"/>
  <c r="AQ195" i="3"/>
  <c r="S195" i="3"/>
  <c r="AQ203" i="3"/>
  <c r="AM203" i="3"/>
  <c r="AN203" i="3" s="1"/>
  <c r="S203" i="3"/>
  <c r="AR203" i="3"/>
  <c r="AL203" i="3"/>
  <c r="AK203" i="3"/>
  <c r="K203" i="3"/>
  <c r="AS203" i="3"/>
  <c r="AL215" i="3"/>
  <c r="AS215" i="3"/>
  <c r="AK215" i="3"/>
  <c r="AP215" i="3" s="1"/>
  <c r="AQ215" i="3"/>
  <c r="AM215" i="3"/>
  <c r="AN215" i="3" s="1"/>
  <c r="S215" i="3"/>
  <c r="AR215" i="3"/>
  <c r="K215" i="3"/>
  <c r="AS212" i="3"/>
  <c r="AK212" i="3"/>
  <c r="AR212" i="3"/>
  <c r="S212" i="3"/>
  <c r="AQ212" i="3"/>
  <c r="AL212" i="3"/>
  <c r="AM212" i="3" s="1"/>
  <c r="AN212" i="3" s="1"/>
  <c r="K212" i="3"/>
  <c r="AL224" i="3"/>
  <c r="AM224" i="3" s="1"/>
  <c r="AN224" i="3" s="1"/>
  <c r="AS224" i="3"/>
  <c r="AR224" i="3"/>
  <c r="S224" i="3"/>
  <c r="K224" i="3"/>
  <c r="AQ224" i="3"/>
  <c r="AK224" i="3"/>
  <c r="AL228" i="3"/>
  <c r="AM228" i="3" s="1"/>
  <c r="AN228" i="3" s="1"/>
  <c r="AS228" i="3"/>
  <c r="AQ228" i="3"/>
  <c r="S228" i="3"/>
  <c r="AR228" i="3"/>
  <c r="AK228" i="3"/>
  <c r="K228" i="3"/>
  <c r="AL237" i="3"/>
  <c r="AQ237" i="3"/>
  <c r="AK237" i="3"/>
  <c r="K237" i="3"/>
  <c r="AR237" i="3"/>
  <c r="AM237" i="3"/>
  <c r="AN237" i="3" s="1"/>
  <c r="S237" i="3"/>
  <c r="AS237" i="3"/>
  <c r="AL245" i="3"/>
  <c r="AS245" i="3"/>
  <c r="AK245" i="3"/>
  <c r="AQ245" i="3"/>
  <c r="AM245" i="3"/>
  <c r="AN245" i="3" s="1"/>
  <c r="S245" i="3"/>
  <c r="K245" i="3"/>
  <c r="AR245" i="3"/>
  <c r="AR223" i="3"/>
  <c r="K223" i="3"/>
  <c r="AQ223" i="3"/>
  <c r="AL223" i="3"/>
  <c r="AM223" i="3" s="1"/>
  <c r="AN223" i="3" s="1"/>
  <c r="AK223" i="3"/>
  <c r="AS223" i="3"/>
  <c r="S223" i="3"/>
  <c r="AR231" i="3"/>
  <c r="K231" i="3"/>
  <c r="AQ231" i="3"/>
  <c r="S231" i="3"/>
  <c r="AS231" i="3"/>
  <c r="AK231" i="3"/>
  <c r="AL231" i="3"/>
  <c r="AM231" i="3" s="1"/>
  <c r="AN231" i="3" s="1"/>
  <c r="AS250" i="3"/>
  <c r="AK250" i="3"/>
  <c r="AQ250" i="3"/>
  <c r="AL250" i="3"/>
  <c r="AM250" i="3" s="1"/>
  <c r="AN250" i="3" s="1"/>
  <c r="K250" i="3"/>
  <c r="AR250" i="3"/>
  <c r="S250" i="3"/>
  <c r="AR242" i="3"/>
  <c r="K242" i="3"/>
  <c r="AQ242" i="3"/>
  <c r="S242" i="3"/>
  <c r="AS242" i="3"/>
  <c r="AK242" i="3"/>
  <c r="AL242" i="3"/>
  <c r="AM242" i="3" s="1"/>
  <c r="AN242" i="3" s="1"/>
  <c r="AL255" i="3"/>
  <c r="AS255" i="3"/>
  <c r="AK255" i="3"/>
  <c r="AP255" i="3" s="1"/>
  <c r="AQ255" i="3"/>
  <c r="AM255" i="3"/>
  <c r="AN255" i="3" s="1"/>
  <c r="S255" i="3"/>
  <c r="AR255" i="3"/>
  <c r="K255" i="3"/>
  <c r="AQ251" i="3"/>
  <c r="S251" i="3"/>
  <c r="AS251" i="3"/>
  <c r="AR251" i="3"/>
  <c r="AL251" i="3"/>
  <c r="AM251" i="3" s="1"/>
  <c r="AN251" i="3" s="1"/>
  <c r="K251" i="3"/>
  <c r="AK251" i="3"/>
  <c r="AR259" i="3"/>
  <c r="K259" i="3"/>
  <c r="AS259" i="3"/>
  <c r="AM259" i="3"/>
  <c r="AN259" i="3" s="1"/>
  <c r="S259" i="3"/>
  <c r="AQ259" i="3"/>
  <c r="AL259" i="3"/>
  <c r="AK259" i="3"/>
  <c r="AS264" i="3"/>
  <c r="AK264" i="3"/>
  <c r="AR264" i="3"/>
  <c r="K264" i="3"/>
  <c r="AL264" i="3"/>
  <c r="AM264" i="3"/>
  <c r="AN264" i="3" s="1"/>
  <c r="S264" i="3"/>
  <c r="AQ264" i="3"/>
  <c r="AJ106" i="3"/>
  <c r="AJ70" i="3"/>
  <c r="E125" i="3"/>
  <c r="L76" i="3"/>
  <c r="AJ74" i="3"/>
  <c r="AJ66" i="3"/>
  <c r="AJ131" i="3"/>
  <c r="E81" i="3"/>
  <c r="E109" i="3"/>
  <c r="E127" i="3"/>
  <c r="D148" i="3"/>
  <c r="D66" i="3"/>
  <c r="D74" i="3"/>
  <c r="D89" i="3"/>
  <c r="D97" i="3"/>
  <c r="D105" i="3"/>
  <c r="E82" i="3"/>
  <c r="E90" i="3"/>
  <c r="E98" i="3"/>
  <c r="D159" i="3"/>
  <c r="E164" i="3"/>
  <c r="F164" i="3" s="1"/>
  <c r="D182" i="3"/>
  <c r="F182" i="3" s="1"/>
  <c r="D116" i="3"/>
  <c r="D124" i="3"/>
  <c r="D132" i="3"/>
  <c r="E139" i="3"/>
  <c r="E147" i="3"/>
  <c r="F147" i="3" s="1"/>
  <c r="E155" i="3"/>
  <c r="D115" i="3"/>
  <c r="D123" i="3"/>
  <c r="D131" i="3"/>
  <c r="F131" i="3" s="1"/>
  <c r="D139" i="3"/>
  <c r="D155" i="3"/>
  <c r="E162" i="3"/>
  <c r="D186" i="3"/>
  <c r="E142" i="3"/>
  <c r="E150" i="3"/>
  <c r="E159" i="3"/>
  <c r="D167" i="3"/>
  <c r="F167" i="3" s="1"/>
  <c r="D178" i="3"/>
  <c r="E202" i="3"/>
  <c r="D171" i="3"/>
  <c r="D179" i="3"/>
  <c r="D160" i="3"/>
  <c r="E171" i="3"/>
  <c r="E187" i="3"/>
  <c r="E204" i="3"/>
  <c r="D197" i="3"/>
  <c r="D205" i="3"/>
  <c r="D196" i="3"/>
  <c r="D204" i="3"/>
  <c r="F204" i="3" s="1"/>
  <c r="E212" i="3"/>
  <c r="D213" i="3"/>
  <c r="E205" i="3"/>
  <c r="E213" i="3"/>
  <c r="E222" i="3"/>
  <c r="E216" i="3"/>
  <c r="D223" i="3"/>
  <c r="D231" i="3"/>
  <c r="D215" i="3"/>
  <c r="E223" i="3"/>
  <c r="D242" i="3"/>
  <c r="D228" i="3"/>
  <c r="E243" i="3"/>
  <c r="F243" i="3" s="1"/>
  <c r="D239" i="3"/>
  <c r="D247" i="3"/>
  <c r="D250" i="3"/>
  <c r="F250" i="3" s="1"/>
  <c r="E248" i="3"/>
  <c r="F248" i="3" s="1"/>
  <c r="E249" i="3"/>
  <c r="E257" i="3"/>
  <c r="D255" i="3"/>
  <c r="E262" i="3"/>
  <c r="F262" i="3" s="1"/>
  <c r="E261" i="3"/>
  <c r="AJ119" i="3"/>
  <c r="AP119" i="3" s="1"/>
  <c r="AJ141" i="3"/>
  <c r="AJ67" i="3"/>
  <c r="AP67" i="3" s="1"/>
  <c r="AJ75" i="3"/>
  <c r="AJ91" i="3"/>
  <c r="AJ107" i="3"/>
  <c r="AJ117" i="3"/>
  <c r="AJ109" i="3"/>
  <c r="AJ178" i="3"/>
  <c r="AJ120" i="3"/>
  <c r="AJ136" i="3"/>
  <c r="AP136" i="3" s="1"/>
  <c r="AJ144" i="3"/>
  <c r="AJ164" i="3"/>
  <c r="AJ182" i="3"/>
  <c r="AJ175" i="3"/>
  <c r="AJ183" i="3"/>
  <c r="AJ167" i="3"/>
  <c r="AJ190" i="3"/>
  <c r="AP190" i="3" s="1"/>
  <c r="AJ198" i="3"/>
  <c r="AJ212" i="3"/>
  <c r="AJ202" i="3"/>
  <c r="AJ214" i="3"/>
  <c r="AP214" i="3" s="1"/>
  <c r="AJ226" i="3"/>
  <c r="AJ237" i="3"/>
  <c r="AJ223" i="3"/>
  <c r="AP223" i="3" s="1"/>
  <c r="AJ231" i="3"/>
  <c r="AJ245" i="3"/>
  <c r="AP245" i="3" s="1"/>
  <c r="AJ253" i="3"/>
  <c r="AJ254" i="3"/>
  <c r="AJ261" i="3"/>
  <c r="AJ264" i="3"/>
  <c r="AL72" i="3"/>
  <c r="AR72" i="3"/>
  <c r="AM72" i="3"/>
  <c r="AN72" i="3" s="1"/>
  <c r="S72" i="3"/>
  <c r="AK72" i="3"/>
  <c r="K72" i="3"/>
  <c r="AQ72" i="3"/>
  <c r="L72" i="3"/>
  <c r="AS72" i="3"/>
  <c r="AS81" i="3"/>
  <c r="AK81" i="3"/>
  <c r="AL81" i="3"/>
  <c r="AM81" i="3" s="1"/>
  <c r="AN81" i="3" s="1"/>
  <c r="K81" i="3"/>
  <c r="AQ81" i="3"/>
  <c r="AR81" i="3"/>
  <c r="S81" i="3"/>
  <c r="AR69" i="3"/>
  <c r="K69" i="3"/>
  <c r="AK69" i="3"/>
  <c r="AS69" i="3"/>
  <c r="S69" i="3"/>
  <c r="AM69" i="3"/>
  <c r="AN69" i="3" s="1"/>
  <c r="AQ69" i="3"/>
  <c r="AL69" i="3"/>
  <c r="L69" i="3"/>
  <c r="AQ102" i="3"/>
  <c r="S102" i="3"/>
  <c r="AR102" i="3"/>
  <c r="AL102" i="3"/>
  <c r="AM102" i="3" s="1"/>
  <c r="AN102" i="3" s="1"/>
  <c r="AK102" i="3"/>
  <c r="K102" i="3"/>
  <c r="AS102" i="3"/>
  <c r="AS151" i="3"/>
  <c r="AK151" i="3"/>
  <c r="AL151" i="3"/>
  <c r="AM151" i="3"/>
  <c r="AN151" i="3" s="1"/>
  <c r="S151" i="3"/>
  <c r="K151" i="3"/>
  <c r="AQ151" i="3"/>
  <c r="AR151" i="3"/>
  <c r="AL156" i="3"/>
  <c r="AM156" i="3" s="1"/>
  <c r="AN156" i="3" s="1"/>
  <c r="AS156" i="3"/>
  <c r="K156" i="3"/>
  <c r="AK156" i="3"/>
  <c r="AR156" i="3"/>
  <c r="S156" i="3"/>
  <c r="AQ156" i="3"/>
  <c r="AR128" i="3"/>
  <c r="K128" i="3"/>
  <c r="AK128" i="3"/>
  <c r="AP128" i="3" s="1"/>
  <c r="AQ128" i="3"/>
  <c r="AL128" i="3"/>
  <c r="AM128" i="3" s="1"/>
  <c r="AN128" i="3" s="1"/>
  <c r="AS128" i="3"/>
  <c r="S128" i="3"/>
  <c r="AL168" i="3"/>
  <c r="AM168" i="3" s="1"/>
  <c r="AN168" i="3" s="1"/>
  <c r="AS168" i="3"/>
  <c r="AK168" i="3"/>
  <c r="AR168" i="3"/>
  <c r="S168" i="3"/>
  <c r="K168" i="3"/>
  <c r="AQ168" i="3"/>
  <c r="AR163" i="3"/>
  <c r="K163" i="3"/>
  <c r="AQ163" i="3"/>
  <c r="AL163" i="3"/>
  <c r="AM163" i="3" s="1"/>
  <c r="AN163" i="3" s="1"/>
  <c r="AS163" i="3"/>
  <c r="S163" i="3"/>
  <c r="AK163" i="3"/>
  <c r="AL194" i="3"/>
  <c r="K194" i="3"/>
  <c r="AS194" i="3"/>
  <c r="AQ194" i="3"/>
  <c r="AK194" i="3"/>
  <c r="AM194" i="3"/>
  <c r="AN194" i="3" s="1"/>
  <c r="AR194" i="3"/>
  <c r="AT194" i="3" s="1"/>
  <c r="S194" i="3"/>
  <c r="AQ205" i="3"/>
  <c r="S205" i="3"/>
  <c r="AK205" i="3"/>
  <c r="AP205" i="3" s="1"/>
  <c r="AS205" i="3"/>
  <c r="AL205" i="3"/>
  <c r="AM205" i="3" s="1"/>
  <c r="AN205" i="3" s="1"/>
  <c r="K205" i="3"/>
  <c r="AR205" i="3"/>
  <c r="AT205" i="3" s="1"/>
  <c r="AL230" i="3"/>
  <c r="AS230" i="3"/>
  <c r="AK230" i="3"/>
  <c r="AQ230" i="3"/>
  <c r="AM230" i="3"/>
  <c r="AN230" i="3" s="1"/>
  <c r="S230" i="3"/>
  <c r="AR230" i="3"/>
  <c r="K230" i="3"/>
  <c r="AR225" i="3"/>
  <c r="K225" i="3"/>
  <c r="AQ225" i="3"/>
  <c r="AL225" i="3"/>
  <c r="AM225" i="3" s="1"/>
  <c r="AN225" i="3" s="1"/>
  <c r="AK225" i="3"/>
  <c r="AS225" i="3"/>
  <c r="S225" i="3"/>
  <c r="AR244" i="3"/>
  <c r="K244" i="3"/>
  <c r="AQ244" i="3"/>
  <c r="S244" i="3"/>
  <c r="AS244" i="3"/>
  <c r="AK244" i="3"/>
  <c r="AL244" i="3"/>
  <c r="AM244" i="3" s="1"/>
  <c r="AN244" i="3" s="1"/>
  <c r="E111" i="3"/>
  <c r="D136" i="3"/>
  <c r="E206" i="3"/>
  <c r="D225" i="3"/>
  <c r="D233" i="3"/>
  <c r="E225" i="3"/>
  <c r="D230" i="3"/>
  <c r="D257" i="3"/>
  <c r="AJ69" i="3"/>
  <c r="AJ230" i="3"/>
  <c r="AJ225" i="3"/>
  <c r="AJ247" i="3"/>
  <c r="L78" i="3"/>
  <c r="L111" i="3"/>
  <c r="L128" i="3"/>
  <c r="L156" i="3"/>
  <c r="L163" i="3"/>
  <c r="L177" i="3"/>
  <c r="L183" i="3"/>
  <c r="L204" i="3"/>
  <c r="L236" i="3"/>
  <c r="L230" i="3"/>
  <c r="L239" i="3"/>
  <c r="AS85" i="3"/>
  <c r="AK85" i="3"/>
  <c r="AQ85" i="3"/>
  <c r="AL85" i="3"/>
  <c r="AM85" i="3" s="1"/>
  <c r="AN85" i="3" s="1"/>
  <c r="K85" i="3"/>
  <c r="AR85" i="3"/>
  <c r="S85" i="3"/>
  <c r="AS93" i="3"/>
  <c r="AK93" i="3"/>
  <c r="AQ93" i="3"/>
  <c r="AL93" i="3"/>
  <c r="AM93" i="3" s="1"/>
  <c r="AN93" i="3" s="1"/>
  <c r="K93" i="3"/>
  <c r="AR93" i="3"/>
  <c r="S93" i="3"/>
  <c r="AS101" i="3"/>
  <c r="AK101" i="3"/>
  <c r="AP101" i="3" s="1"/>
  <c r="AQ101" i="3"/>
  <c r="AL101" i="3"/>
  <c r="AM101" i="3" s="1"/>
  <c r="AN101" i="3" s="1"/>
  <c r="K101" i="3"/>
  <c r="AR101" i="3"/>
  <c r="S101" i="3"/>
  <c r="AS83" i="3"/>
  <c r="AK83" i="3"/>
  <c r="AP83" i="3" s="1"/>
  <c r="AQ83" i="3"/>
  <c r="AL83" i="3"/>
  <c r="AM83" i="3" s="1"/>
  <c r="AN83" i="3" s="1"/>
  <c r="K83" i="3"/>
  <c r="AR83" i="3"/>
  <c r="S83" i="3"/>
  <c r="AR71" i="3"/>
  <c r="K71" i="3"/>
  <c r="AK71" i="3"/>
  <c r="S71" i="3"/>
  <c r="AM71" i="3"/>
  <c r="AN71" i="3" s="1"/>
  <c r="AQ71" i="3"/>
  <c r="AL71" i="3"/>
  <c r="L71" i="3"/>
  <c r="AS71" i="3"/>
  <c r="AR79" i="3"/>
  <c r="K79" i="3"/>
  <c r="AQ79" i="3"/>
  <c r="S79" i="3"/>
  <c r="AL79" i="3"/>
  <c r="AM79" i="3" s="1"/>
  <c r="AN79" i="3" s="1"/>
  <c r="AK79" i="3"/>
  <c r="AS79" i="3"/>
  <c r="AQ88" i="3"/>
  <c r="S88" i="3"/>
  <c r="AR88" i="3"/>
  <c r="AL88" i="3"/>
  <c r="AM88" i="3" s="1"/>
  <c r="AN88" i="3" s="1"/>
  <c r="AK88" i="3"/>
  <c r="AP88" i="3" s="1"/>
  <c r="K88" i="3"/>
  <c r="AS88" i="3"/>
  <c r="D88" i="3"/>
  <c r="AQ96" i="3"/>
  <c r="AM96" i="3"/>
  <c r="AN96" i="3" s="1"/>
  <c r="S96" i="3"/>
  <c r="AR96" i="3"/>
  <c r="AL96" i="3"/>
  <c r="AK96" i="3"/>
  <c r="AP96" i="3" s="1"/>
  <c r="K96" i="3"/>
  <c r="AS96" i="3"/>
  <c r="D96" i="3"/>
  <c r="AQ104" i="3"/>
  <c r="S104" i="3"/>
  <c r="AR104" i="3"/>
  <c r="AL104" i="3"/>
  <c r="AM104" i="3" s="1"/>
  <c r="AN104" i="3" s="1"/>
  <c r="AK104" i="3"/>
  <c r="AP104" i="3" s="1"/>
  <c r="K104" i="3"/>
  <c r="AS104" i="3"/>
  <c r="AL112" i="3"/>
  <c r="AQ112" i="3"/>
  <c r="AM112" i="3"/>
  <c r="AN112" i="3" s="1"/>
  <c r="S112" i="3"/>
  <c r="AR112" i="3"/>
  <c r="AS112" i="3"/>
  <c r="AK112" i="3"/>
  <c r="K112" i="3"/>
  <c r="AS137" i="3"/>
  <c r="AK137" i="3"/>
  <c r="AL137" i="3"/>
  <c r="AM137" i="3" s="1"/>
  <c r="AN137" i="3" s="1"/>
  <c r="S137" i="3"/>
  <c r="K137" i="3"/>
  <c r="AQ137" i="3"/>
  <c r="AR137" i="3"/>
  <c r="AS145" i="3"/>
  <c r="AK145" i="3"/>
  <c r="AP145" i="3" s="1"/>
  <c r="AL145" i="3"/>
  <c r="AM145" i="3" s="1"/>
  <c r="AN145" i="3" s="1"/>
  <c r="S145" i="3"/>
  <c r="K145" i="3"/>
  <c r="AQ145" i="3"/>
  <c r="AR145" i="3"/>
  <c r="AS153" i="3"/>
  <c r="AK153" i="3"/>
  <c r="AP153" i="3" s="1"/>
  <c r="AL153" i="3"/>
  <c r="AM153" i="3" s="1"/>
  <c r="AN153" i="3" s="1"/>
  <c r="S153" i="3"/>
  <c r="K153" i="3"/>
  <c r="AQ153" i="3"/>
  <c r="AR153" i="3"/>
  <c r="AR113" i="3"/>
  <c r="K113" i="3"/>
  <c r="AS113" i="3"/>
  <c r="AK113" i="3"/>
  <c r="AM113" i="3"/>
  <c r="AN113" i="3" s="1"/>
  <c r="S113" i="3"/>
  <c r="AQ113" i="3"/>
  <c r="AL113" i="3"/>
  <c r="AL121" i="3"/>
  <c r="AR121" i="3"/>
  <c r="AM121" i="3"/>
  <c r="AN121" i="3" s="1"/>
  <c r="S121" i="3"/>
  <c r="AS121" i="3"/>
  <c r="AK121" i="3"/>
  <c r="AQ121" i="3"/>
  <c r="K121" i="3"/>
  <c r="AL129" i="3"/>
  <c r="AR129" i="3"/>
  <c r="AM129" i="3"/>
  <c r="AN129" i="3" s="1"/>
  <c r="S129" i="3"/>
  <c r="AQ129" i="3"/>
  <c r="AK129" i="3"/>
  <c r="AS129" i="3"/>
  <c r="K129" i="3"/>
  <c r="AL158" i="3"/>
  <c r="AS158" i="3"/>
  <c r="K158" i="3"/>
  <c r="AK158" i="3"/>
  <c r="AR158" i="3"/>
  <c r="S158" i="3"/>
  <c r="AM158" i="3"/>
  <c r="AN158" i="3" s="1"/>
  <c r="AQ158" i="3"/>
  <c r="AQ179" i="3"/>
  <c r="S179" i="3"/>
  <c r="AK179" i="3"/>
  <c r="K179" i="3"/>
  <c r="AR179" i="3"/>
  <c r="AL179" i="3"/>
  <c r="AM179" i="3" s="1"/>
  <c r="AN179" i="3" s="1"/>
  <c r="AS179" i="3"/>
  <c r="AR122" i="3"/>
  <c r="K122" i="3"/>
  <c r="AK122" i="3"/>
  <c r="AQ122" i="3"/>
  <c r="AL122" i="3"/>
  <c r="AM122" i="3" s="1"/>
  <c r="AN122" i="3" s="1"/>
  <c r="S122" i="3"/>
  <c r="AS122" i="3"/>
  <c r="AR130" i="3"/>
  <c r="K130" i="3"/>
  <c r="AK130" i="3"/>
  <c r="AP130" i="3" s="1"/>
  <c r="AQ130" i="3"/>
  <c r="AL130" i="3"/>
  <c r="AM130" i="3" s="1"/>
  <c r="AN130" i="3" s="1"/>
  <c r="AS130" i="3"/>
  <c r="S130" i="3"/>
  <c r="AQ138" i="3"/>
  <c r="AM138" i="3"/>
  <c r="AN138" i="3" s="1"/>
  <c r="S138" i="3"/>
  <c r="AR138" i="3"/>
  <c r="K138" i="3"/>
  <c r="AS138" i="3"/>
  <c r="AK138" i="3"/>
  <c r="AP138" i="3" s="1"/>
  <c r="AL138" i="3"/>
  <c r="AQ146" i="3"/>
  <c r="AM146" i="3"/>
  <c r="AN146" i="3" s="1"/>
  <c r="S146" i="3"/>
  <c r="AR146" i="3"/>
  <c r="K146" i="3"/>
  <c r="AS146" i="3"/>
  <c r="AK146" i="3"/>
  <c r="AL146" i="3"/>
  <c r="AQ154" i="3"/>
  <c r="AM154" i="3"/>
  <c r="AN154" i="3" s="1"/>
  <c r="S154" i="3"/>
  <c r="AR154" i="3"/>
  <c r="K154" i="3"/>
  <c r="AS154" i="3"/>
  <c r="AK154" i="3"/>
  <c r="AP154" i="3" s="1"/>
  <c r="AL154" i="3"/>
  <c r="AQ173" i="3"/>
  <c r="AM173" i="3"/>
  <c r="AN173" i="3" s="1"/>
  <c r="S173" i="3"/>
  <c r="AK173" i="3"/>
  <c r="K173" i="3"/>
  <c r="AR173" i="3"/>
  <c r="AS173" i="3"/>
  <c r="AL173" i="3"/>
  <c r="AR187" i="3"/>
  <c r="AS187" i="3"/>
  <c r="S187" i="3"/>
  <c r="AQ187" i="3"/>
  <c r="AL187" i="3"/>
  <c r="AM187" i="3" s="1"/>
  <c r="AN187" i="3" s="1"/>
  <c r="AK187" i="3"/>
  <c r="K187" i="3"/>
  <c r="AR157" i="3"/>
  <c r="K157" i="3"/>
  <c r="AQ157" i="3"/>
  <c r="AL157" i="3"/>
  <c r="AS157" i="3"/>
  <c r="AM157" i="3"/>
  <c r="AN157" i="3" s="1"/>
  <c r="S157" i="3"/>
  <c r="AK157" i="3"/>
  <c r="AR165" i="3"/>
  <c r="K165" i="3"/>
  <c r="AQ165" i="3"/>
  <c r="S165" i="3"/>
  <c r="AS165" i="3"/>
  <c r="AK165" i="3"/>
  <c r="AL165" i="3"/>
  <c r="AM165" i="3" s="1"/>
  <c r="AN165" i="3" s="1"/>
  <c r="AS172" i="3"/>
  <c r="AK172" i="3"/>
  <c r="AR172" i="3"/>
  <c r="S172" i="3"/>
  <c r="AQ172" i="3"/>
  <c r="K172" i="3"/>
  <c r="AL172" i="3"/>
  <c r="AM172" i="3" s="1"/>
  <c r="AN172" i="3" s="1"/>
  <c r="AS180" i="3"/>
  <c r="AK180" i="3"/>
  <c r="AR180" i="3"/>
  <c r="S180" i="3"/>
  <c r="AQ180" i="3"/>
  <c r="AL180" i="3"/>
  <c r="AM180" i="3" s="1"/>
  <c r="AN180" i="3" s="1"/>
  <c r="K180" i="3"/>
  <c r="AR184" i="3"/>
  <c r="K184" i="3"/>
  <c r="AQ184" i="3"/>
  <c r="S184" i="3"/>
  <c r="AS184" i="3"/>
  <c r="AK184" i="3"/>
  <c r="AP184" i="3" s="1"/>
  <c r="AL184" i="3"/>
  <c r="AM184" i="3" s="1"/>
  <c r="AN184" i="3" s="1"/>
  <c r="AL200" i="3"/>
  <c r="AM200" i="3" s="1"/>
  <c r="AN200" i="3" s="1"/>
  <c r="AS200" i="3"/>
  <c r="AK200" i="3"/>
  <c r="AP200" i="3" s="1"/>
  <c r="AR200" i="3"/>
  <c r="K200" i="3"/>
  <c r="S200" i="3"/>
  <c r="AQ200" i="3"/>
  <c r="AQ209" i="3"/>
  <c r="AM209" i="3"/>
  <c r="AN209" i="3" s="1"/>
  <c r="S209" i="3"/>
  <c r="AK209" i="3"/>
  <c r="K209" i="3"/>
  <c r="AR209" i="3"/>
  <c r="AS209" i="3"/>
  <c r="AL209" i="3"/>
  <c r="AR191" i="3"/>
  <c r="K191" i="3"/>
  <c r="AS191" i="3"/>
  <c r="S191" i="3"/>
  <c r="AQ191" i="3"/>
  <c r="AL191" i="3"/>
  <c r="AM191" i="3" s="1"/>
  <c r="AN191" i="3" s="1"/>
  <c r="AK191" i="3"/>
  <c r="AR199" i="3"/>
  <c r="K199" i="3"/>
  <c r="AQ199" i="3"/>
  <c r="S199" i="3"/>
  <c r="AL199" i="3"/>
  <c r="AM199" i="3" s="1"/>
  <c r="AN199" i="3" s="1"/>
  <c r="AS199" i="3"/>
  <c r="AK199" i="3"/>
  <c r="AQ211" i="3"/>
  <c r="S211" i="3"/>
  <c r="AK211" i="3"/>
  <c r="K211" i="3"/>
  <c r="AS211" i="3"/>
  <c r="AR211" i="3"/>
  <c r="AL211" i="3"/>
  <c r="AM211" i="3" s="1"/>
  <c r="AN211" i="3" s="1"/>
  <c r="AS208" i="3"/>
  <c r="AK208" i="3"/>
  <c r="AR208" i="3"/>
  <c r="AL208" i="3"/>
  <c r="S208" i="3"/>
  <c r="K208" i="3"/>
  <c r="AQ208" i="3"/>
  <c r="AM208" i="3"/>
  <c r="AN208" i="3" s="1"/>
  <c r="AL220" i="3"/>
  <c r="AM220" i="3" s="1"/>
  <c r="AN220" i="3" s="1"/>
  <c r="AS220" i="3"/>
  <c r="AR220" i="3"/>
  <c r="S220" i="3"/>
  <c r="K220" i="3"/>
  <c r="AQ220" i="3"/>
  <c r="AK220" i="3"/>
  <c r="AR216" i="3"/>
  <c r="K216" i="3"/>
  <c r="AQ216" i="3"/>
  <c r="S216" i="3"/>
  <c r="AS216" i="3"/>
  <c r="AK216" i="3"/>
  <c r="AP216" i="3" s="1"/>
  <c r="AL216" i="3"/>
  <c r="AM216" i="3" s="1"/>
  <c r="AN216" i="3" s="1"/>
  <c r="AL232" i="3"/>
  <c r="AS232" i="3"/>
  <c r="AK232" i="3"/>
  <c r="AQ232" i="3"/>
  <c r="AM232" i="3"/>
  <c r="AN232" i="3" s="1"/>
  <c r="S232" i="3"/>
  <c r="AR232" i="3"/>
  <c r="K232" i="3"/>
  <c r="AS252" i="3"/>
  <c r="AK252" i="3"/>
  <c r="AQ252" i="3"/>
  <c r="AL252" i="3"/>
  <c r="K252" i="3"/>
  <c r="AR252" i="3"/>
  <c r="AM252" i="3"/>
  <c r="AN252" i="3" s="1"/>
  <c r="S252" i="3"/>
  <c r="AR219" i="3"/>
  <c r="K219" i="3"/>
  <c r="AQ219" i="3"/>
  <c r="AL219" i="3"/>
  <c r="AK219" i="3"/>
  <c r="AS219" i="3"/>
  <c r="AM219" i="3"/>
  <c r="AN219" i="3" s="1"/>
  <c r="S219" i="3"/>
  <c r="AR227" i="3"/>
  <c r="K227" i="3"/>
  <c r="AQ227" i="3"/>
  <c r="AL227" i="3"/>
  <c r="AK227" i="3"/>
  <c r="AS227" i="3"/>
  <c r="AM227" i="3"/>
  <c r="AN227" i="3" s="1"/>
  <c r="S227" i="3"/>
  <c r="AL235" i="3"/>
  <c r="AQ235" i="3"/>
  <c r="AK235" i="3"/>
  <c r="K235" i="3"/>
  <c r="S235" i="3"/>
  <c r="AR235" i="3"/>
  <c r="AM235" i="3"/>
  <c r="AN235" i="3" s="1"/>
  <c r="AO235" i="3" s="1"/>
  <c r="AS235" i="3"/>
  <c r="AR238" i="3"/>
  <c r="K238" i="3"/>
  <c r="AS238" i="3"/>
  <c r="S238" i="3"/>
  <c r="AK238" i="3"/>
  <c r="AP238" i="3" s="1"/>
  <c r="AQ238" i="3"/>
  <c r="AL238" i="3"/>
  <c r="AM238" i="3" s="1"/>
  <c r="AN238" i="3" s="1"/>
  <c r="AR246" i="3"/>
  <c r="K246" i="3"/>
  <c r="AQ246" i="3"/>
  <c r="S246" i="3"/>
  <c r="AS246" i="3"/>
  <c r="AK246" i="3"/>
  <c r="AP246" i="3" s="1"/>
  <c r="AL246" i="3"/>
  <c r="AM246" i="3" s="1"/>
  <c r="AN246" i="3" s="1"/>
  <c r="AS260" i="3"/>
  <c r="AK260" i="3"/>
  <c r="AR260" i="3"/>
  <c r="AL260" i="3"/>
  <c r="AM260" i="3"/>
  <c r="AN260" i="3" s="1"/>
  <c r="K260" i="3"/>
  <c r="AQ260" i="3"/>
  <c r="S260" i="3"/>
  <c r="AL258" i="3"/>
  <c r="AM258" i="3" s="1"/>
  <c r="AN258" i="3" s="1"/>
  <c r="K258" i="3"/>
  <c r="AS258" i="3"/>
  <c r="AQ258" i="3"/>
  <c r="AK258" i="3"/>
  <c r="AR258" i="3"/>
  <c r="S258" i="3"/>
  <c r="AQ263" i="3"/>
  <c r="S263" i="3"/>
  <c r="AL263" i="3"/>
  <c r="AM263" i="3" s="1"/>
  <c r="AN263" i="3" s="1"/>
  <c r="AR263" i="3"/>
  <c r="K263" i="3"/>
  <c r="AS263" i="3"/>
  <c r="AK263" i="3"/>
  <c r="AP263" i="3" s="1"/>
  <c r="AJ121" i="3"/>
  <c r="AJ102" i="3"/>
  <c r="E74" i="3"/>
  <c r="AJ76" i="3"/>
  <c r="L119" i="3"/>
  <c r="E83" i="3"/>
  <c r="E75" i="3"/>
  <c r="E67" i="3"/>
  <c r="E89" i="3"/>
  <c r="E97" i="3"/>
  <c r="E105" i="3"/>
  <c r="E113" i="3"/>
  <c r="D144" i="3"/>
  <c r="E79" i="3"/>
  <c r="D70" i="3"/>
  <c r="F70" i="3" s="1"/>
  <c r="D85" i="3"/>
  <c r="D93" i="3"/>
  <c r="D101" i="3"/>
  <c r="D109" i="3"/>
  <c r="E129" i="3"/>
  <c r="D172" i="3"/>
  <c r="E86" i="3"/>
  <c r="E94" i="3"/>
  <c r="E102" i="3"/>
  <c r="E110" i="3"/>
  <c r="E118" i="3"/>
  <c r="E126" i="3"/>
  <c r="E134" i="3"/>
  <c r="D163" i="3"/>
  <c r="E168" i="3"/>
  <c r="D112" i="3"/>
  <c r="D128" i="3"/>
  <c r="E135" i="3"/>
  <c r="E143" i="3"/>
  <c r="E151" i="3"/>
  <c r="D119" i="3"/>
  <c r="D135" i="3"/>
  <c r="F135" i="3" s="1"/>
  <c r="D151" i="3"/>
  <c r="E158" i="3"/>
  <c r="D176" i="3"/>
  <c r="E138" i="3"/>
  <c r="E146" i="3"/>
  <c r="E154" i="3"/>
  <c r="E163" i="3"/>
  <c r="D170" i="3"/>
  <c r="D189" i="3"/>
  <c r="D175" i="3"/>
  <c r="D156" i="3"/>
  <c r="D191" i="3"/>
  <c r="E175" i="3"/>
  <c r="E183" i="3"/>
  <c r="E186" i="3"/>
  <c r="E208" i="3"/>
  <c r="E190" i="3"/>
  <c r="D212" i="3"/>
  <c r="D201" i="3"/>
  <c r="D214" i="3"/>
  <c r="D206" i="3"/>
  <c r="D192" i="3"/>
  <c r="D200" i="3"/>
  <c r="D207" i="3"/>
  <c r="D244" i="3"/>
  <c r="E209" i="3"/>
  <c r="E217" i="3"/>
  <c r="D219" i="3"/>
  <c r="D227" i="3"/>
  <c r="D235" i="3"/>
  <c r="E219" i="3"/>
  <c r="E227" i="3"/>
  <c r="E228" i="3"/>
  <c r="D236" i="3"/>
  <c r="E231" i="3"/>
  <c r="E239" i="3"/>
  <c r="D224" i="3"/>
  <c r="D232" i="3"/>
  <c r="D251" i="3"/>
  <c r="E252" i="3"/>
  <c r="F252" i="3" s="1"/>
  <c r="E253" i="3"/>
  <c r="E258" i="3"/>
  <c r="D258" i="3"/>
  <c r="D261" i="3"/>
  <c r="E72" i="3"/>
  <c r="AJ133" i="3"/>
  <c r="AP133" i="3" s="1"/>
  <c r="AJ71" i="3"/>
  <c r="AP71" i="3" s="1"/>
  <c r="AJ79" i="3"/>
  <c r="AJ87" i="3"/>
  <c r="AJ95" i="3"/>
  <c r="AJ139" i="3"/>
  <c r="AJ113" i="3"/>
  <c r="AJ156" i="3"/>
  <c r="AJ172" i="3"/>
  <c r="AJ168" i="3"/>
  <c r="AJ171" i="3"/>
  <c r="AJ179" i="3"/>
  <c r="AJ163" i="3"/>
  <c r="AJ194" i="3"/>
  <c r="AJ189" i="3"/>
  <c r="AJ209" i="3"/>
  <c r="AJ232" i="3"/>
  <c r="AP232" i="3" s="1"/>
  <c r="AJ228" i="3"/>
  <c r="AP228" i="3" s="1"/>
  <c r="AJ219" i="3"/>
  <c r="AP219" i="3" s="1"/>
  <c r="AJ227" i="3"/>
  <c r="AJ241" i="3"/>
  <c r="AJ242" i="3"/>
  <c r="AP242" i="3" s="1"/>
  <c r="AJ250" i="3"/>
  <c r="AP250" i="3" s="1"/>
  <c r="AJ258" i="3"/>
  <c r="AJ260" i="3"/>
  <c r="L154" i="3"/>
  <c r="AL68" i="3"/>
  <c r="AM68" i="3" s="1"/>
  <c r="AN68" i="3" s="1"/>
  <c r="AR68" i="3"/>
  <c r="S68" i="3"/>
  <c r="AK68" i="3"/>
  <c r="AP68" i="3" s="1"/>
  <c r="L68" i="3"/>
  <c r="AQ68" i="3"/>
  <c r="AS68" i="3"/>
  <c r="K68" i="3"/>
  <c r="AS99" i="3"/>
  <c r="AK99" i="3"/>
  <c r="AP99" i="3" s="1"/>
  <c r="AQ99" i="3"/>
  <c r="AL99" i="3"/>
  <c r="AM99" i="3" s="1"/>
  <c r="AN99" i="3" s="1"/>
  <c r="K99" i="3"/>
  <c r="AR99" i="3"/>
  <c r="S99" i="3"/>
  <c r="AR77" i="3"/>
  <c r="K77" i="3"/>
  <c r="S77" i="3"/>
  <c r="AQ77" i="3"/>
  <c r="AS77" i="3"/>
  <c r="AL77" i="3"/>
  <c r="AM77" i="3" s="1"/>
  <c r="AN77" i="3" s="1"/>
  <c r="AK77" i="3"/>
  <c r="AL110" i="3"/>
  <c r="AM110" i="3" s="1"/>
  <c r="AN110" i="3" s="1"/>
  <c r="AQ110" i="3"/>
  <c r="S110" i="3"/>
  <c r="AR110" i="3"/>
  <c r="AS110" i="3"/>
  <c r="AK110" i="3"/>
  <c r="AP110" i="3" s="1"/>
  <c r="K110" i="3"/>
  <c r="AS143" i="3"/>
  <c r="AK143" i="3"/>
  <c r="AL143" i="3"/>
  <c r="AM143" i="3" s="1"/>
  <c r="AN143" i="3" s="1"/>
  <c r="S143" i="3"/>
  <c r="K143" i="3"/>
  <c r="AQ143" i="3"/>
  <c r="AR143" i="3"/>
  <c r="AL127" i="3"/>
  <c r="AM127" i="3" s="1"/>
  <c r="AN127" i="3" s="1"/>
  <c r="AR127" i="3"/>
  <c r="S127" i="3"/>
  <c r="AQ127" i="3"/>
  <c r="AK127" i="3"/>
  <c r="AS127" i="3"/>
  <c r="K127" i="3"/>
  <c r="AR120" i="3"/>
  <c r="K120" i="3"/>
  <c r="AK120" i="3"/>
  <c r="AQ120" i="3"/>
  <c r="AL120" i="3"/>
  <c r="AM120" i="3" s="1"/>
  <c r="AN120" i="3" s="1"/>
  <c r="AS120" i="3"/>
  <c r="S120" i="3"/>
  <c r="AQ152" i="3"/>
  <c r="S152" i="3"/>
  <c r="AR152" i="3"/>
  <c r="K152" i="3"/>
  <c r="AS152" i="3"/>
  <c r="AK152" i="3"/>
  <c r="AP152" i="3" s="1"/>
  <c r="AL152" i="3"/>
  <c r="AM152" i="3" s="1"/>
  <c r="AN152" i="3" s="1"/>
  <c r="AS170" i="3"/>
  <c r="AK170" i="3"/>
  <c r="AP170" i="3" s="1"/>
  <c r="AR170" i="3"/>
  <c r="S170" i="3"/>
  <c r="AQ170" i="3"/>
  <c r="AL170" i="3"/>
  <c r="AM170" i="3" s="1"/>
  <c r="AN170" i="3" s="1"/>
  <c r="AO170" i="3" s="1"/>
  <c r="K170" i="3"/>
  <c r="AL198" i="3"/>
  <c r="AM198" i="3" s="1"/>
  <c r="AN198" i="3" s="1"/>
  <c r="AS198" i="3"/>
  <c r="AK198" i="3"/>
  <c r="AR198" i="3"/>
  <c r="K198" i="3"/>
  <c r="S198" i="3"/>
  <c r="AQ198" i="3"/>
  <c r="AR197" i="3"/>
  <c r="K197" i="3"/>
  <c r="AQ197" i="3"/>
  <c r="S197" i="3"/>
  <c r="AL197" i="3"/>
  <c r="AM197" i="3" s="1"/>
  <c r="AN197" i="3" s="1"/>
  <c r="AS197" i="3"/>
  <c r="AK197" i="3"/>
  <c r="AP197" i="3" s="1"/>
  <c r="AL226" i="3"/>
  <c r="AM226" i="3" s="1"/>
  <c r="AN226" i="3" s="1"/>
  <c r="AS226" i="3"/>
  <c r="AR226" i="3"/>
  <c r="S226" i="3"/>
  <c r="K226" i="3"/>
  <c r="AK226" i="3"/>
  <c r="AQ226" i="3"/>
  <c r="AS247" i="3"/>
  <c r="AK247" i="3"/>
  <c r="AR247" i="3"/>
  <c r="S247" i="3"/>
  <c r="AQ247" i="3"/>
  <c r="AL247" i="3"/>
  <c r="AM247" i="3" s="1"/>
  <c r="AN247" i="3" s="1"/>
  <c r="AO247" i="3" s="1"/>
  <c r="K247" i="3"/>
  <c r="AL257" i="3"/>
  <c r="AM257" i="3" s="1"/>
  <c r="AN257" i="3" s="1"/>
  <c r="AS257" i="3"/>
  <c r="AK257" i="3"/>
  <c r="AP257" i="3" s="1"/>
  <c r="AQ257" i="3"/>
  <c r="S257" i="3"/>
  <c r="AR257" i="3"/>
  <c r="AT257" i="3" s="1"/>
  <c r="K257" i="3"/>
  <c r="AL78" i="3"/>
  <c r="AM78" i="3" s="1"/>
  <c r="AN78" i="3" s="1"/>
  <c r="AS78" i="3"/>
  <c r="AK78" i="3"/>
  <c r="AR78" i="3"/>
  <c r="AQ78" i="3"/>
  <c r="S78" i="3"/>
  <c r="K78" i="3"/>
  <c r="E69" i="3"/>
  <c r="D99" i="3"/>
  <c r="D107" i="3"/>
  <c r="D110" i="3"/>
  <c r="E156" i="3"/>
  <c r="E144" i="3"/>
  <c r="E152" i="3"/>
  <c r="E214" i="3"/>
  <c r="AJ77" i="3"/>
  <c r="AP108" i="3"/>
  <c r="AJ127" i="3"/>
  <c r="AJ111" i="3"/>
  <c r="AJ204" i="3"/>
  <c r="L152" i="3"/>
  <c r="L77" i="3"/>
  <c r="AS103" i="3"/>
  <c r="AK103" i="3"/>
  <c r="AP103" i="3" s="1"/>
  <c r="AQ103" i="3"/>
  <c r="AL103" i="3"/>
  <c r="AM103" i="3" s="1"/>
  <c r="AN103" i="3" s="1"/>
  <c r="K103" i="3"/>
  <c r="AR103" i="3"/>
  <c r="S103" i="3"/>
  <c r="AR73" i="3"/>
  <c r="K73" i="3"/>
  <c r="AK73" i="3"/>
  <c r="AS73" i="3"/>
  <c r="S73" i="3"/>
  <c r="AQ73" i="3"/>
  <c r="AL73" i="3"/>
  <c r="L73" i="3"/>
  <c r="AM73" i="3"/>
  <c r="AN73" i="3" s="1"/>
  <c r="AQ90" i="3"/>
  <c r="S90" i="3"/>
  <c r="AR90" i="3"/>
  <c r="AL90" i="3"/>
  <c r="AM90" i="3" s="1"/>
  <c r="AN90" i="3" s="1"/>
  <c r="AK90" i="3"/>
  <c r="AP90" i="3" s="1"/>
  <c r="K90" i="3"/>
  <c r="AS90" i="3"/>
  <c r="AQ106" i="3"/>
  <c r="S106" i="3"/>
  <c r="AR106" i="3"/>
  <c r="AL106" i="3"/>
  <c r="AM106" i="3" s="1"/>
  <c r="AN106" i="3" s="1"/>
  <c r="AK106" i="3"/>
  <c r="K106" i="3"/>
  <c r="AS106" i="3"/>
  <c r="AR114" i="3"/>
  <c r="AK114" i="3"/>
  <c r="AQ114" i="3"/>
  <c r="AL114" i="3"/>
  <c r="AM114" i="3" s="1"/>
  <c r="AN114" i="3" s="1"/>
  <c r="S114" i="3"/>
  <c r="K114" i="3"/>
  <c r="AS114" i="3"/>
  <c r="AS147" i="3"/>
  <c r="AK147" i="3"/>
  <c r="AL147" i="3"/>
  <c r="AM147" i="3" s="1"/>
  <c r="AN147" i="3" s="1"/>
  <c r="S147" i="3"/>
  <c r="K147" i="3"/>
  <c r="AQ147" i="3"/>
  <c r="AR147" i="3"/>
  <c r="AR155" i="3"/>
  <c r="AQ155" i="3"/>
  <c r="AL155" i="3"/>
  <c r="AM155" i="3" s="1"/>
  <c r="AN155" i="3" s="1"/>
  <c r="AS155" i="3"/>
  <c r="S155" i="3"/>
  <c r="AK155" i="3"/>
  <c r="AP155" i="3" s="1"/>
  <c r="K155" i="3"/>
  <c r="AL115" i="3"/>
  <c r="AR115" i="3"/>
  <c r="AM115" i="3"/>
  <c r="AN115" i="3" s="1"/>
  <c r="S115" i="3"/>
  <c r="AS115" i="3"/>
  <c r="AK115" i="3"/>
  <c r="AP115" i="3" s="1"/>
  <c r="K115" i="3"/>
  <c r="AQ115" i="3"/>
  <c r="AL123" i="3"/>
  <c r="AR123" i="3"/>
  <c r="AM123" i="3"/>
  <c r="AN123" i="3" s="1"/>
  <c r="S123" i="3"/>
  <c r="AQ123" i="3"/>
  <c r="AK123" i="3"/>
  <c r="AP123" i="3" s="1"/>
  <c r="AS123" i="3"/>
  <c r="K123" i="3"/>
  <c r="AL131" i="3"/>
  <c r="AR131" i="3"/>
  <c r="AM131" i="3"/>
  <c r="AN131" i="3" s="1"/>
  <c r="S131" i="3"/>
  <c r="AQ131" i="3"/>
  <c r="AK131" i="3"/>
  <c r="AS131" i="3"/>
  <c r="K131" i="3"/>
  <c r="AL160" i="3"/>
  <c r="AS160" i="3"/>
  <c r="K160" i="3"/>
  <c r="AK160" i="3"/>
  <c r="AP160" i="3" s="1"/>
  <c r="AR160" i="3"/>
  <c r="S160" i="3"/>
  <c r="AM160" i="3"/>
  <c r="AN160" i="3" s="1"/>
  <c r="AQ160" i="3"/>
  <c r="AR116" i="3"/>
  <c r="K116" i="3"/>
  <c r="AK116" i="3"/>
  <c r="AP116" i="3" s="1"/>
  <c r="AQ116" i="3"/>
  <c r="AL116" i="3"/>
  <c r="AS116" i="3"/>
  <c r="S116" i="3"/>
  <c r="AM116" i="3"/>
  <c r="AN116" i="3" s="1"/>
  <c r="AR124" i="3"/>
  <c r="K124" i="3"/>
  <c r="AK124" i="3"/>
  <c r="AP124" i="3" s="1"/>
  <c r="AQ124" i="3"/>
  <c r="AL124" i="3"/>
  <c r="AS124" i="3"/>
  <c r="S124" i="3"/>
  <c r="AM124" i="3"/>
  <c r="AN124" i="3" s="1"/>
  <c r="AR132" i="3"/>
  <c r="K132" i="3"/>
  <c r="AK132" i="3"/>
  <c r="AP132" i="3" s="1"/>
  <c r="AQ132" i="3"/>
  <c r="AL132" i="3"/>
  <c r="AS132" i="3"/>
  <c r="S132" i="3"/>
  <c r="AM132" i="3"/>
  <c r="AN132" i="3" s="1"/>
  <c r="AQ140" i="3"/>
  <c r="S140" i="3"/>
  <c r="AR140" i="3"/>
  <c r="K140" i="3"/>
  <c r="AS140" i="3"/>
  <c r="AK140" i="3"/>
  <c r="AP140" i="3" s="1"/>
  <c r="AL140" i="3"/>
  <c r="AM140" i="3" s="1"/>
  <c r="AN140" i="3" s="1"/>
  <c r="AQ148" i="3"/>
  <c r="S148" i="3"/>
  <c r="AR148" i="3"/>
  <c r="K148" i="3"/>
  <c r="AS148" i="3"/>
  <c r="AK148" i="3"/>
  <c r="AP148" i="3" s="1"/>
  <c r="AL148" i="3"/>
  <c r="AM148" i="3" s="1"/>
  <c r="AN148" i="3" s="1"/>
  <c r="AL164" i="3"/>
  <c r="AS164" i="3"/>
  <c r="AK164" i="3"/>
  <c r="AR164" i="3"/>
  <c r="AM164" i="3"/>
  <c r="AN164" i="3" s="1"/>
  <c r="S164" i="3"/>
  <c r="K164" i="3"/>
  <c r="AQ164" i="3"/>
  <c r="AQ181" i="3"/>
  <c r="S181" i="3"/>
  <c r="AK181" i="3"/>
  <c r="K181" i="3"/>
  <c r="AR181" i="3"/>
  <c r="AS181" i="3"/>
  <c r="AL181" i="3"/>
  <c r="AM181" i="3" s="1"/>
  <c r="AN181" i="3" s="1"/>
  <c r="AO181" i="3" s="1"/>
  <c r="AL188" i="3"/>
  <c r="AM188" i="3" s="1"/>
  <c r="AN188" i="3" s="1"/>
  <c r="K188" i="3"/>
  <c r="AS188" i="3"/>
  <c r="AQ188" i="3"/>
  <c r="AK188" i="3"/>
  <c r="AR188" i="3"/>
  <c r="S188" i="3"/>
  <c r="AR159" i="3"/>
  <c r="K159" i="3"/>
  <c r="AQ159" i="3"/>
  <c r="AL159" i="3"/>
  <c r="AM159" i="3" s="1"/>
  <c r="AN159" i="3" s="1"/>
  <c r="AS159" i="3"/>
  <c r="S159" i="3"/>
  <c r="AK159" i="3"/>
  <c r="AP159" i="3" s="1"/>
  <c r="AR167" i="3"/>
  <c r="K167" i="3"/>
  <c r="AQ167" i="3"/>
  <c r="S167" i="3"/>
  <c r="AS167" i="3"/>
  <c r="AK167" i="3"/>
  <c r="AL167" i="3"/>
  <c r="AM167" i="3" s="1"/>
  <c r="AN167" i="3" s="1"/>
  <c r="AS174" i="3"/>
  <c r="AK174" i="3"/>
  <c r="AR174" i="3"/>
  <c r="AM174" i="3"/>
  <c r="AN174" i="3" s="1"/>
  <c r="S174" i="3"/>
  <c r="AL174" i="3"/>
  <c r="K174" i="3"/>
  <c r="AQ174" i="3"/>
  <c r="AS182" i="3"/>
  <c r="AK182" i="3"/>
  <c r="AR182" i="3"/>
  <c r="AM182" i="3"/>
  <c r="AN182" i="3" s="1"/>
  <c r="S182" i="3"/>
  <c r="AQ182" i="3"/>
  <c r="AL182" i="3"/>
  <c r="K182" i="3"/>
  <c r="AR186" i="3"/>
  <c r="K186" i="3"/>
  <c r="AQ186" i="3"/>
  <c r="S186" i="3"/>
  <c r="AS186" i="3"/>
  <c r="AK186" i="3"/>
  <c r="AP186" i="3" s="1"/>
  <c r="AL186" i="3"/>
  <c r="AM186" i="3" s="1"/>
  <c r="AN186" i="3" s="1"/>
  <c r="AQ207" i="3"/>
  <c r="S207" i="3"/>
  <c r="AK207" i="3"/>
  <c r="AP207" i="3" s="1"/>
  <c r="K207" i="3"/>
  <c r="AS207" i="3"/>
  <c r="AL207" i="3"/>
  <c r="AM207" i="3" s="1"/>
  <c r="AN207" i="3" s="1"/>
  <c r="AR207" i="3"/>
  <c r="AQ213" i="3"/>
  <c r="S213" i="3"/>
  <c r="AK213" i="3"/>
  <c r="AP213" i="3" s="1"/>
  <c r="K213" i="3"/>
  <c r="AS213" i="3"/>
  <c r="AR213" i="3"/>
  <c r="AL213" i="3"/>
  <c r="AM213" i="3" s="1"/>
  <c r="AN213" i="3" s="1"/>
  <c r="AO213" i="3" s="1"/>
  <c r="AR193" i="3"/>
  <c r="K193" i="3"/>
  <c r="AS193" i="3"/>
  <c r="AM193" i="3"/>
  <c r="AN193" i="3" s="1"/>
  <c r="S193" i="3"/>
  <c r="AQ193" i="3"/>
  <c r="AL193" i="3"/>
  <c r="AK193" i="3"/>
  <c r="AP193" i="3" s="1"/>
  <c r="AQ201" i="3"/>
  <c r="AR201" i="3"/>
  <c r="AL201" i="3"/>
  <c r="AM201" i="3" s="1"/>
  <c r="AN201" i="3" s="1"/>
  <c r="K201" i="3"/>
  <c r="AK201" i="3"/>
  <c r="AP201" i="3" s="1"/>
  <c r="S201" i="3"/>
  <c r="AS201" i="3"/>
  <c r="AL217" i="3"/>
  <c r="AS217" i="3"/>
  <c r="AK217" i="3"/>
  <c r="AP217" i="3" s="1"/>
  <c r="AQ217" i="3"/>
  <c r="AM217" i="3"/>
  <c r="AN217" i="3" s="1"/>
  <c r="S217" i="3"/>
  <c r="AR217" i="3"/>
  <c r="K217" i="3"/>
  <c r="AS210" i="3"/>
  <c r="AK210" i="3"/>
  <c r="AR210" i="3"/>
  <c r="S210" i="3"/>
  <c r="AQ210" i="3"/>
  <c r="AL210" i="3"/>
  <c r="AM210" i="3" s="1"/>
  <c r="AN210" i="3" s="1"/>
  <c r="K210" i="3"/>
  <c r="AL222" i="3"/>
  <c r="AM222" i="3" s="1"/>
  <c r="AN222" i="3" s="1"/>
  <c r="AS222" i="3"/>
  <c r="AR222" i="3"/>
  <c r="S222" i="3"/>
  <c r="K222" i="3"/>
  <c r="AK222" i="3"/>
  <c r="AP222" i="3" s="1"/>
  <c r="AQ222" i="3"/>
  <c r="AS218" i="3"/>
  <c r="K218" i="3"/>
  <c r="AR218" i="3"/>
  <c r="S218" i="3"/>
  <c r="AK218" i="3"/>
  <c r="AL218" i="3"/>
  <c r="AM218" i="3" s="1"/>
  <c r="AN218" i="3" s="1"/>
  <c r="AQ218" i="3"/>
  <c r="AL234" i="3"/>
  <c r="AS234" i="3"/>
  <c r="AK234" i="3"/>
  <c r="AQ234" i="3"/>
  <c r="AM234" i="3"/>
  <c r="AN234" i="3" s="1"/>
  <c r="S234" i="3"/>
  <c r="AR234" i="3"/>
  <c r="K234" i="3"/>
  <c r="AL243" i="3"/>
  <c r="AS243" i="3"/>
  <c r="AK243" i="3"/>
  <c r="AQ243" i="3"/>
  <c r="AM243" i="3"/>
  <c r="AN243" i="3" s="1"/>
  <c r="S243" i="3"/>
  <c r="AR243" i="3"/>
  <c r="K243" i="3"/>
  <c r="AR221" i="3"/>
  <c r="K221" i="3"/>
  <c r="AQ221" i="3"/>
  <c r="AL221" i="3"/>
  <c r="AM221" i="3" s="1"/>
  <c r="AN221" i="3" s="1"/>
  <c r="AK221" i="3"/>
  <c r="AS221" i="3"/>
  <c r="S221" i="3"/>
  <c r="AR229" i="3"/>
  <c r="K229" i="3"/>
  <c r="AQ229" i="3"/>
  <c r="S229" i="3"/>
  <c r="AS229" i="3"/>
  <c r="AK229" i="3"/>
  <c r="AL229" i="3"/>
  <c r="AM229" i="3" s="1"/>
  <c r="AN229" i="3" s="1"/>
  <c r="AS248" i="3"/>
  <c r="AK248" i="3"/>
  <c r="AQ248" i="3"/>
  <c r="AL248" i="3"/>
  <c r="AM248" i="3" s="1"/>
  <c r="AN248" i="3" s="1"/>
  <c r="K248" i="3"/>
  <c r="AR248" i="3"/>
  <c r="S248" i="3"/>
  <c r="AR240" i="3"/>
  <c r="K240" i="3"/>
  <c r="AS240" i="3"/>
  <c r="S240" i="3"/>
  <c r="AK240" i="3"/>
  <c r="AP240" i="3" s="1"/>
  <c r="AQ240" i="3"/>
  <c r="AL240" i="3"/>
  <c r="AM240" i="3" s="1"/>
  <c r="AN240" i="3" s="1"/>
  <c r="AR254" i="3"/>
  <c r="K254" i="3"/>
  <c r="AQ254" i="3"/>
  <c r="S254" i="3"/>
  <c r="AS254" i="3"/>
  <c r="AK254" i="3"/>
  <c r="AL254" i="3"/>
  <c r="AM254" i="3" s="1"/>
  <c r="AN254" i="3" s="1"/>
  <c r="AQ249" i="3"/>
  <c r="S249" i="3"/>
  <c r="AS249" i="3"/>
  <c r="AR249" i="3"/>
  <c r="AL249" i="3"/>
  <c r="AM249" i="3" s="1"/>
  <c r="AN249" i="3" s="1"/>
  <c r="AK249" i="3"/>
  <c r="AP249" i="3" s="1"/>
  <c r="K249" i="3"/>
  <c r="AR256" i="3"/>
  <c r="K256" i="3"/>
  <c r="AQ256" i="3"/>
  <c r="S256" i="3"/>
  <c r="AS256" i="3"/>
  <c r="AK256" i="3"/>
  <c r="AL256" i="3"/>
  <c r="AM256" i="3" s="1"/>
  <c r="AN256" i="3" s="1"/>
  <c r="AS262" i="3"/>
  <c r="AK262" i="3"/>
  <c r="AR262" i="3"/>
  <c r="K262" i="3"/>
  <c r="AL262" i="3"/>
  <c r="AM262" i="3"/>
  <c r="AN262" i="3" s="1"/>
  <c r="AO262" i="3" s="1"/>
  <c r="S262" i="3"/>
  <c r="AQ262" i="3"/>
  <c r="AJ98" i="3"/>
  <c r="AJ86" i="3"/>
  <c r="AP86" i="3" s="1"/>
  <c r="AJ72" i="3"/>
  <c r="AJ151" i="3"/>
  <c r="AJ94" i="3"/>
  <c r="E76" i="3"/>
  <c r="E68" i="3"/>
  <c r="AJ135" i="3"/>
  <c r="AP135" i="3" s="1"/>
  <c r="D82" i="3"/>
  <c r="E73" i="3"/>
  <c r="F73" i="3" s="1"/>
  <c r="E65" i="3"/>
  <c r="E91" i="3"/>
  <c r="E99" i="3"/>
  <c r="E107" i="3"/>
  <c r="E117" i="3"/>
  <c r="D152" i="3"/>
  <c r="D140" i="3"/>
  <c r="D64" i="3"/>
  <c r="D72" i="3"/>
  <c r="D87" i="3"/>
  <c r="F87" i="3" s="1"/>
  <c r="D95" i="3"/>
  <c r="D103" i="3"/>
  <c r="D111" i="3"/>
  <c r="D138" i="3"/>
  <c r="E174" i="3"/>
  <c r="E88" i="3"/>
  <c r="E96" i="3"/>
  <c r="E104" i="3"/>
  <c r="E112" i="3"/>
  <c r="E120" i="3"/>
  <c r="E128" i="3"/>
  <c r="D157" i="3"/>
  <c r="D174" i="3"/>
  <c r="F174" i="3" s="1"/>
  <c r="E176" i="3"/>
  <c r="D114" i="3"/>
  <c r="F114" i="3" s="1"/>
  <c r="D122" i="3"/>
  <c r="D130" i="3"/>
  <c r="E137" i="3"/>
  <c r="E145" i="3"/>
  <c r="E153" i="3"/>
  <c r="D184" i="3"/>
  <c r="D121" i="3"/>
  <c r="D129" i="3"/>
  <c r="D137" i="3"/>
  <c r="D145" i="3"/>
  <c r="D153" i="3"/>
  <c r="E160" i="3"/>
  <c r="E178" i="3"/>
  <c r="E140" i="3"/>
  <c r="E148" i="3"/>
  <c r="E157" i="3"/>
  <c r="D165" i="3"/>
  <c r="E172" i="3"/>
  <c r="D193" i="3"/>
  <c r="E169" i="3"/>
  <c r="D177" i="3"/>
  <c r="D158" i="3"/>
  <c r="D166" i="3"/>
  <c r="E195" i="3"/>
  <c r="E177" i="3"/>
  <c r="E185" i="3"/>
  <c r="E189" i="3"/>
  <c r="D185" i="3"/>
  <c r="E192" i="3"/>
  <c r="E200" i="3"/>
  <c r="D195" i="3"/>
  <c r="D203" i="3"/>
  <c r="E197" i="3"/>
  <c r="E210" i="3"/>
  <c r="F210" i="3" s="1"/>
  <c r="D194" i="3"/>
  <c r="D202" i="3"/>
  <c r="D208" i="3"/>
  <c r="D211" i="3"/>
  <c r="E203" i="3"/>
  <c r="E211" i="3"/>
  <c r="E220" i="3"/>
  <c r="E240" i="3"/>
  <c r="D221" i="3"/>
  <c r="D229" i="3"/>
  <c r="E236" i="3"/>
  <c r="E221" i="3"/>
  <c r="E238" i="3"/>
  <c r="E230" i="3"/>
  <c r="D238" i="3"/>
  <c r="E233" i="3"/>
  <c r="E241" i="3"/>
  <c r="D226" i="3"/>
  <c r="D234" i="3"/>
  <c r="E242" i="3"/>
  <c r="D237" i="3"/>
  <c r="D245" i="3"/>
  <c r="D253" i="3"/>
  <c r="D259" i="3"/>
  <c r="D256" i="3"/>
  <c r="E255" i="3"/>
  <c r="E259" i="3"/>
  <c r="E260" i="3"/>
  <c r="D260" i="3"/>
  <c r="D263" i="3"/>
  <c r="E64" i="3"/>
  <c r="AJ137" i="3"/>
  <c r="AP137" i="3" s="1"/>
  <c r="AJ129" i="3"/>
  <c r="AJ65" i="3"/>
  <c r="AP65" i="3" s="1"/>
  <c r="AJ73" i="3"/>
  <c r="AJ81" i="3"/>
  <c r="AP81" i="3" s="1"/>
  <c r="AJ89" i="3"/>
  <c r="AJ97" i="3"/>
  <c r="AP97" i="3" s="1"/>
  <c r="AJ105" i="3"/>
  <c r="AJ112" i="3"/>
  <c r="AJ147" i="3"/>
  <c r="AJ176" i="3"/>
  <c r="AP176" i="3" s="1"/>
  <c r="AJ118" i="3"/>
  <c r="AJ126" i="3"/>
  <c r="AJ134" i="3"/>
  <c r="AJ142" i="3"/>
  <c r="AJ150" i="3"/>
  <c r="AJ158" i="3"/>
  <c r="AJ180" i="3"/>
  <c r="AJ174" i="3"/>
  <c r="AJ173" i="3"/>
  <c r="AJ181" i="3"/>
  <c r="AJ157" i="3"/>
  <c r="AJ165" i="3"/>
  <c r="AJ188" i="3"/>
  <c r="AP188" i="3" s="1"/>
  <c r="AJ196" i="3"/>
  <c r="AJ203" i="3"/>
  <c r="AJ208" i="3"/>
  <c r="AJ191" i="3"/>
  <c r="AJ199" i="3"/>
  <c r="AP199" i="3" s="1"/>
  <c r="AJ210" i="3"/>
  <c r="AJ211" i="3"/>
  <c r="AJ224" i="3"/>
  <c r="AJ234" i="3"/>
  <c r="AJ235" i="3"/>
  <c r="AJ221" i="3"/>
  <c r="AJ229" i="3"/>
  <c r="AJ243" i="3"/>
  <c r="AJ236" i="3"/>
  <c r="AJ244" i="3"/>
  <c r="AJ251" i="3"/>
  <c r="AJ252" i="3"/>
  <c r="AJ259" i="3"/>
  <c r="AJ262" i="3"/>
  <c r="L31" i="1"/>
  <c r="B90" i="1"/>
  <c r="F254" i="3" l="1"/>
  <c r="H254" i="3" s="1"/>
  <c r="P69" i="2"/>
  <c r="G22" i="2"/>
  <c r="H22" i="2"/>
  <c r="F126" i="3"/>
  <c r="H126" i="3" s="1"/>
  <c r="F240" i="3"/>
  <c r="H240" i="3" s="1"/>
  <c r="F256" i="3"/>
  <c r="G256" i="3" s="1"/>
  <c r="F142" i="3"/>
  <c r="H142" i="3" s="1"/>
  <c r="F66" i="3"/>
  <c r="H66" i="3" s="1"/>
  <c r="F247" i="3"/>
  <c r="H247" i="3" s="1"/>
  <c r="F120" i="3"/>
  <c r="H120" i="3" s="1"/>
  <c r="F190" i="3"/>
  <c r="H190" i="3" s="1"/>
  <c r="F118" i="3"/>
  <c r="H118" i="3" s="1"/>
  <c r="F79" i="3"/>
  <c r="H79" i="3" s="1"/>
  <c r="F83" i="3"/>
  <c r="G83" i="3" s="1"/>
  <c r="F150" i="3"/>
  <c r="G150" i="3" s="1"/>
  <c r="F115" i="3"/>
  <c r="H115" i="3" s="1"/>
  <c r="P71" i="2"/>
  <c r="F117" i="3"/>
  <c r="H117" i="3" s="1"/>
  <c r="F94" i="3"/>
  <c r="G94" i="3" s="1"/>
  <c r="F199" i="3"/>
  <c r="H199" i="3" s="1"/>
  <c r="F251" i="3"/>
  <c r="H251" i="3" s="1"/>
  <c r="F85" i="3"/>
  <c r="H85" i="3" s="1"/>
  <c r="F179" i="3"/>
  <c r="G179" i="3" s="1"/>
  <c r="F77" i="3"/>
  <c r="G77" i="3" s="1"/>
  <c r="F173" i="3"/>
  <c r="H173" i="3" s="1"/>
  <c r="F149" i="3"/>
  <c r="G149" i="3" s="1"/>
  <c r="F241" i="3"/>
  <c r="G241" i="3" s="1"/>
  <c r="F193" i="3"/>
  <c r="H193" i="3" s="1"/>
  <c r="F67" i="3"/>
  <c r="G67" i="3" s="1"/>
  <c r="F41" i="2"/>
  <c r="N71" i="2"/>
  <c r="K69" i="2"/>
  <c r="K71" i="2"/>
  <c r="L70" i="2"/>
  <c r="D41" i="2"/>
  <c r="M71" i="2"/>
  <c r="I69" i="2"/>
  <c r="L68" i="2"/>
  <c r="F15" i="2"/>
  <c r="L72" i="2"/>
  <c r="N69" i="2"/>
  <c r="O69" i="2"/>
  <c r="F38" i="2"/>
  <c r="M69" i="2"/>
  <c r="L71" i="2"/>
  <c r="AT73" i="3"/>
  <c r="AT220" i="3"/>
  <c r="AT211" i="3"/>
  <c r="F245" i="3"/>
  <c r="H245" i="3" s="1"/>
  <c r="F226" i="3"/>
  <c r="H226" i="3" s="1"/>
  <c r="F169" i="3"/>
  <c r="G169" i="3" s="1"/>
  <c r="F235" i="3"/>
  <c r="H235" i="3" s="1"/>
  <c r="F209" i="3"/>
  <c r="G209" i="3" s="1"/>
  <c r="F75" i="3"/>
  <c r="H75" i="3" s="1"/>
  <c r="F196" i="3"/>
  <c r="G196" i="3" s="1"/>
  <c r="I71" i="2"/>
  <c r="O71" i="2"/>
  <c r="F78" i="3"/>
  <c r="G78" i="3" s="1"/>
  <c r="F80" i="3"/>
  <c r="H80" i="3" s="1"/>
  <c r="F191" i="3"/>
  <c r="G191" i="3" s="1"/>
  <c r="F198" i="3"/>
  <c r="H198" i="3" s="1"/>
  <c r="F133" i="3"/>
  <c r="H133" i="3" s="1"/>
  <c r="F166" i="3"/>
  <c r="H166" i="3" s="1"/>
  <c r="F121" i="3"/>
  <c r="H121" i="3" s="1"/>
  <c r="F69" i="3"/>
  <c r="G69" i="3" s="1"/>
  <c r="F232" i="3"/>
  <c r="H232" i="3" s="1"/>
  <c r="F162" i="3"/>
  <c r="H162" i="3" s="1"/>
  <c r="F127" i="3"/>
  <c r="G127" i="3" s="1"/>
  <c r="F92" i="3"/>
  <c r="H92" i="3" s="1"/>
  <c r="F141" i="3"/>
  <c r="H141" i="3" s="1"/>
  <c r="F71" i="3"/>
  <c r="H71" i="3" s="1"/>
  <c r="F180" i="3"/>
  <c r="G180" i="3" s="1"/>
  <c r="F237" i="3"/>
  <c r="H237" i="3" s="1"/>
  <c r="F95" i="3"/>
  <c r="H95" i="3" s="1"/>
  <c r="F224" i="3"/>
  <c r="G224" i="3" s="1"/>
  <c r="F146" i="3"/>
  <c r="H146" i="3" s="1"/>
  <c r="F194" i="3"/>
  <c r="H194" i="3" s="1"/>
  <c r="F103" i="3"/>
  <c r="G103" i="3" s="1"/>
  <c r="F264" i="3"/>
  <c r="H264" i="3" s="1"/>
  <c r="F93" i="3"/>
  <c r="H93" i="3" s="1"/>
  <c r="F124" i="3"/>
  <c r="H124" i="3" s="1"/>
  <c r="F81" i="3"/>
  <c r="G81" i="3" s="1"/>
  <c r="F244" i="3"/>
  <c r="G244" i="3" s="1"/>
  <c r="F143" i="3"/>
  <c r="G143" i="3" s="1"/>
  <c r="F168" i="3"/>
  <c r="H168" i="3" s="1"/>
  <c r="F132" i="3"/>
  <c r="G132" i="3" s="1"/>
  <c r="F113" i="3"/>
  <c r="H113" i="3" s="1"/>
  <c r="F234" i="3"/>
  <c r="G234" i="3" s="1"/>
  <c r="F220" i="3"/>
  <c r="H220" i="3" s="1"/>
  <c r="F165" i="3"/>
  <c r="G165" i="3" s="1"/>
  <c r="F122" i="3"/>
  <c r="H122" i="3" s="1"/>
  <c r="F104" i="3"/>
  <c r="G104" i="3" s="1"/>
  <c r="F98" i="3"/>
  <c r="H98" i="3" s="1"/>
  <c r="F125" i="3"/>
  <c r="H125" i="3" s="1"/>
  <c r="F184" i="3"/>
  <c r="H184" i="3" s="1"/>
  <c r="F130" i="3"/>
  <c r="G130" i="3" s="1"/>
  <c r="F134" i="3"/>
  <c r="G134" i="3" s="1"/>
  <c r="F215" i="3"/>
  <c r="G215" i="3" s="1"/>
  <c r="F263" i="3"/>
  <c r="H263" i="3" s="1"/>
  <c r="F229" i="3"/>
  <c r="G229" i="3" s="1"/>
  <c r="F101" i="3"/>
  <c r="G101" i="3" s="1"/>
  <c r="F187" i="3"/>
  <c r="H187" i="3" s="1"/>
  <c r="F84" i="3"/>
  <c r="H84" i="3" s="1"/>
  <c r="F37" i="2"/>
  <c r="K68" i="2"/>
  <c r="AT232" i="3"/>
  <c r="AT117" i="3"/>
  <c r="AT189" i="3"/>
  <c r="F48" i="2"/>
  <c r="D17" i="2" s="1"/>
  <c r="G17" i="2"/>
  <c r="G25" i="2"/>
  <c r="G21" i="2"/>
  <c r="G50" i="2"/>
  <c r="E19" i="2" s="1"/>
  <c r="G57" i="2"/>
  <c r="E26" i="2" s="1"/>
  <c r="G36" i="2"/>
  <c r="G19" i="2"/>
  <c r="G52" i="2"/>
  <c r="E21" i="2" s="1"/>
  <c r="G53" i="2"/>
  <c r="E22" i="2" s="1"/>
  <c r="G59" i="2"/>
  <c r="E28" i="2" s="1"/>
  <c r="F56" i="2"/>
  <c r="D25" i="2" s="1"/>
  <c r="F57" i="2"/>
  <c r="D26" i="2" s="1"/>
  <c r="G28" i="2"/>
  <c r="G29" i="2"/>
  <c r="G15" i="2"/>
  <c r="F60" i="2"/>
  <c r="D29" i="2" s="1"/>
  <c r="F59" i="2"/>
  <c r="D28" i="2" s="1"/>
  <c r="G51" i="2"/>
  <c r="G60" i="2"/>
  <c r="E29" i="2" s="1"/>
  <c r="G46" i="2"/>
  <c r="E15" i="2" s="1"/>
  <c r="F46" i="2"/>
  <c r="D15" i="2" s="1"/>
  <c r="F67" i="2"/>
  <c r="D36" i="2" s="1"/>
  <c r="B13" i="2"/>
  <c r="C13" i="2" s="1"/>
  <c r="G39" i="2"/>
  <c r="G20" i="2"/>
  <c r="P68" i="2"/>
  <c r="M68" i="2"/>
  <c r="F61" i="2"/>
  <c r="D30" i="2" s="1"/>
  <c r="F58" i="2"/>
  <c r="D27" i="2" s="1"/>
  <c r="M263" i="3"/>
  <c r="T263" i="3" s="1"/>
  <c r="U263" i="3" s="1"/>
  <c r="V263" i="3" s="1"/>
  <c r="AB263" i="3" s="1"/>
  <c r="AD263" i="3" s="1"/>
  <c r="K70" i="2"/>
  <c r="J68" i="2"/>
  <c r="G26" i="2"/>
  <c r="G30" i="2"/>
  <c r="G49" i="2"/>
  <c r="E18" i="2" s="1"/>
  <c r="F71" i="2"/>
  <c r="D40" i="2" s="1"/>
  <c r="F62" i="2"/>
  <c r="D31" i="2" s="1"/>
  <c r="E20" i="2"/>
  <c r="P70" i="2"/>
  <c r="O68" i="2"/>
  <c r="G31" i="2"/>
  <c r="G16" i="2"/>
  <c r="G24" i="2"/>
  <c r="G61" i="2"/>
  <c r="E30" i="2" s="1"/>
  <c r="G56" i="2"/>
  <c r="E25" i="2" s="1"/>
  <c r="G55" i="2"/>
  <c r="E24" i="2" s="1"/>
  <c r="F53" i="2"/>
  <c r="D22" i="2" s="1"/>
  <c r="G47" i="2"/>
  <c r="E16" i="2" s="1"/>
  <c r="F68" i="2"/>
  <c r="D37" i="2" s="1"/>
  <c r="F64" i="2"/>
  <c r="D33" i="2" s="1"/>
  <c r="I70" i="2"/>
  <c r="M70" i="2"/>
  <c r="F39" i="2"/>
  <c r="G33" i="2"/>
  <c r="G23" i="2"/>
  <c r="G68" i="2"/>
  <c r="E37" i="2" s="1"/>
  <c r="G58" i="2"/>
  <c r="E27" i="2" s="1"/>
  <c r="G63" i="2"/>
  <c r="E32" i="2" s="1"/>
  <c r="O70" i="2"/>
  <c r="G34" i="2"/>
  <c r="G18" i="2"/>
  <c r="I68" i="2"/>
  <c r="F21" i="2"/>
  <c r="G40" i="2"/>
  <c r="G27" i="2"/>
  <c r="F65" i="2"/>
  <c r="D34" i="2" s="1"/>
  <c r="F49" i="2"/>
  <c r="D18" i="2" s="1"/>
  <c r="G66" i="2"/>
  <c r="E35" i="2" s="1"/>
  <c r="F50" i="2"/>
  <c r="D19" i="2" s="1"/>
  <c r="F69" i="2"/>
  <c r="D38" i="2" s="1"/>
  <c r="F54" i="2"/>
  <c r="D23" i="2" s="1"/>
  <c r="G45" i="2"/>
  <c r="E14" i="2" s="1"/>
  <c r="F55" i="2"/>
  <c r="D24" i="2" s="1"/>
  <c r="G62" i="2"/>
  <c r="E31" i="2" s="1"/>
  <c r="G67" i="2"/>
  <c r="E36" i="2" s="1"/>
  <c r="F51" i="2"/>
  <c r="D20" i="2" s="1"/>
  <c r="F63" i="2"/>
  <c r="D32" i="2" s="1"/>
  <c r="G70" i="2"/>
  <c r="E39" i="2" s="1"/>
  <c r="G48" i="2"/>
  <c r="E17" i="2" s="1"/>
  <c r="N70" i="2"/>
  <c r="G54" i="2"/>
  <c r="E23" i="2" s="1"/>
  <c r="F47" i="2"/>
  <c r="D16" i="2" s="1"/>
  <c r="G37" i="2"/>
  <c r="G32" i="2"/>
  <c r="G38" i="2"/>
  <c r="G14" i="2"/>
  <c r="G35" i="2"/>
  <c r="G65" i="2"/>
  <c r="E34" i="2" s="1"/>
  <c r="F66" i="2"/>
  <c r="D35" i="2" s="1"/>
  <c r="G69" i="2"/>
  <c r="E38" i="2" s="1"/>
  <c r="F45" i="2"/>
  <c r="D14" i="2" s="1"/>
  <c r="G71" i="2"/>
  <c r="E40" i="2" s="1"/>
  <c r="F52" i="2"/>
  <c r="D21" i="2" s="1"/>
  <c r="G64" i="2"/>
  <c r="E33" i="2" s="1"/>
  <c r="F70" i="2"/>
  <c r="D39" i="2" s="1"/>
  <c r="B76" i="1"/>
  <c r="B60" i="1"/>
  <c r="F123" i="3"/>
  <c r="H123" i="3" s="1"/>
  <c r="M99" i="3"/>
  <c r="N99" i="3" s="1"/>
  <c r="O99" i="3" s="1"/>
  <c r="P99" i="3" s="1"/>
  <c r="M110" i="3"/>
  <c r="T110" i="3" s="1"/>
  <c r="U110" i="3" s="1"/>
  <c r="V110" i="3" s="1"/>
  <c r="AB110" i="3" s="1"/>
  <c r="M204" i="3"/>
  <c r="T204" i="3" s="1"/>
  <c r="U204" i="3" s="1"/>
  <c r="V204" i="3" s="1"/>
  <c r="AB204" i="3" s="1"/>
  <c r="M132" i="3"/>
  <c r="T132" i="3" s="1"/>
  <c r="U132" i="3" s="1"/>
  <c r="V132" i="3" s="1"/>
  <c r="AB132" i="3" s="1"/>
  <c r="M171" i="3"/>
  <c r="N171" i="3" s="1"/>
  <c r="O171" i="3" s="1"/>
  <c r="P171" i="3" s="1"/>
  <c r="M238" i="3"/>
  <c r="T238" i="3" s="1"/>
  <c r="U238" i="3" s="1"/>
  <c r="V238" i="3" s="1"/>
  <c r="AB238" i="3" s="1"/>
  <c r="M120" i="3"/>
  <c r="T120" i="3" s="1"/>
  <c r="U120" i="3" s="1"/>
  <c r="V120" i="3" s="1"/>
  <c r="AB120" i="3" s="1"/>
  <c r="M141" i="3"/>
  <c r="T141" i="3" s="1"/>
  <c r="U141" i="3" s="1"/>
  <c r="V141" i="3" s="1"/>
  <c r="AB141" i="3" s="1"/>
  <c r="M214" i="3"/>
  <c r="N214" i="3" s="1"/>
  <c r="O214" i="3" s="1"/>
  <c r="P214" i="3" s="1"/>
  <c r="M126" i="3"/>
  <c r="T126" i="3" s="1"/>
  <c r="U126" i="3" s="1"/>
  <c r="V126" i="3" s="1"/>
  <c r="AB126" i="3" s="1"/>
  <c r="M184" i="3"/>
  <c r="T184" i="3" s="1"/>
  <c r="U184" i="3" s="1"/>
  <c r="V184" i="3" s="1"/>
  <c r="AB184" i="3" s="1"/>
  <c r="AD184" i="3" s="1"/>
  <c r="M245" i="3"/>
  <c r="T245" i="3" s="1"/>
  <c r="U245" i="3" s="1"/>
  <c r="V245" i="3" s="1"/>
  <c r="AB245" i="3" s="1"/>
  <c r="AD245" i="3" s="1"/>
  <c r="M117" i="3"/>
  <c r="N117" i="3" s="1"/>
  <c r="O117" i="3" s="1"/>
  <c r="P117" i="3" s="1"/>
  <c r="M73" i="3"/>
  <c r="T73" i="3" s="1"/>
  <c r="U73" i="3" s="1"/>
  <c r="V73" i="3" s="1"/>
  <c r="AB73" i="3" s="1"/>
  <c r="M89" i="3"/>
  <c r="N89" i="3" s="1"/>
  <c r="O89" i="3" s="1"/>
  <c r="P89" i="3" s="1"/>
  <c r="M98" i="3"/>
  <c r="T98" i="3" s="1"/>
  <c r="U98" i="3" s="1"/>
  <c r="V98" i="3" s="1"/>
  <c r="AB98" i="3" s="1"/>
  <c r="AC98" i="3" s="1"/>
  <c r="M74" i="3"/>
  <c r="N74" i="3" s="1"/>
  <c r="O74" i="3" s="1"/>
  <c r="P74" i="3" s="1"/>
  <c r="M144" i="3"/>
  <c r="N144" i="3" s="1"/>
  <c r="O144" i="3" s="1"/>
  <c r="P144" i="3" s="1"/>
  <c r="M125" i="3"/>
  <c r="N125" i="3" s="1"/>
  <c r="O125" i="3" s="1"/>
  <c r="P125" i="3" s="1"/>
  <c r="M157" i="3"/>
  <c r="N157" i="3" s="1"/>
  <c r="O157" i="3" s="1"/>
  <c r="P157" i="3" s="1"/>
  <c r="M182" i="3"/>
  <c r="N182" i="3" s="1"/>
  <c r="O182" i="3" s="1"/>
  <c r="P182" i="3" s="1"/>
  <c r="X182" i="3" s="1"/>
  <c r="Y182" i="3" s="1"/>
  <c r="M191" i="3"/>
  <c r="N191" i="3" s="1"/>
  <c r="O191" i="3" s="1"/>
  <c r="P191" i="3" s="1"/>
  <c r="M200" i="3"/>
  <c r="N200" i="3" s="1"/>
  <c r="O200" i="3" s="1"/>
  <c r="P200" i="3" s="1"/>
  <c r="M225" i="3"/>
  <c r="T225" i="3" s="1"/>
  <c r="U225" i="3" s="1"/>
  <c r="V225" i="3" s="1"/>
  <c r="AB225" i="3" s="1"/>
  <c r="AC225" i="3" s="1"/>
  <c r="M232" i="3"/>
  <c r="N232" i="3" s="1"/>
  <c r="O232" i="3" s="1"/>
  <c r="P232" i="3" s="1"/>
  <c r="M255" i="3"/>
  <c r="N255" i="3" s="1"/>
  <c r="O255" i="3" s="1"/>
  <c r="P255" i="3" s="1"/>
  <c r="M69" i="3"/>
  <c r="N69" i="3" s="1"/>
  <c r="O69" i="3" s="1"/>
  <c r="P69" i="3" s="1"/>
  <c r="M90" i="3"/>
  <c r="T90" i="3" s="1"/>
  <c r="U90" i="3" s="1"/>
  <c r="V90" i="3" s="1"/>
  <c r="AB90" i="3" s="1"/>
  <c r="AC90" i="3" s="1"/>
  <c r="M66" i="3"/>
  <c r="T66" i="3" s="1"/>
  <c r="U66" i="3" s="1"/>
  <c r="V66" i="3" s="1"/>
  <c r="AB66" i="3" s="1"/>
  <c r="M136" i="3"/>
  <c r="N136" i="3" s="1"/>
  <c r="O136" i="3" s="1"/>
  <c r="P136" i="3" s="1"/>
  <c r="M149" i="3"/>
  <c r="T149" i="3" s="1"/>
  <c r="U149" i="3" s="1"/>
  <c r="V149" i="3" s="1"/>
  <c r="AB149" i="3" s="1"/>
  <c r="AD149" i="3" s="1"/>
  <c r="M174" i="3"/>
  <c r="T174" i="3" s="1"/>
  <c r="U174" i="3" s="1"/>
  <c r="V174" i="3" s="1"/>
  <c r="AB174" i="3" s="1"/>
  <c r="M203" i="3"/>
  <c r="T203" i="3" s="1"/>
  <c r="U203" i="3" s="1"/>
  <c r="V203" i="3" s="1"/>
  <c r="AB203" i="3" s="1"/>
  <c r="M192" i="3"/>
  <c r="T192" i="3" s="1"/>
  <c r="U192" i="3" s="1"/>
  <c r="V192" i="3" s="1"/>
  <c r="AB192" i="3" s="1"/>
  <c r="M233" i="3"/>
  <c r="T233" i="3" s="1"/>
  <c r="U233" i="3" s="1"/>
  <c r="V233" i="3" s="1"/>
  <c r="AB233" i="3" s="1"/>
  <c r="M224" i="3"/>
  <c r="T224" i="3" s="1"/>
  <c r="U224" i="3" s="1"/>
  <c r="V224" i="3" s="1"/>
  <c r="AB224" i="3" s="1"/>
  <c r="AC224" i="3" s="1"/>
  <c r="M256" i="3"/>
  <c r="T256" i="3" s="1"/>
  <c r="U256" i="3" s="1"/>
  <c r="V256" i="3" s="1"/>
  <c r="AB256" i="3" s="1"/>
  <c r="M83" i="3"/>
  <c r="T83" i="3" s="1"/>
  <c r="U83" i="3" s="1"/>
  <c r="V83" i="3" s="1"/>
  <c r="AB83" i="3" s="1"/>
  <c r="M105" i="3"/>
  <c r="N105" i="3" s="1"/>
  <c r="O105" i="3" s="1"/>
  <c r="P105" i="3" s="1"/>
  <c r="M106" i="3"/>
  <c r="N106" i="3" s="1"/>
  <c r="O106" i="3" s="1"/>
  <c r="P106" i="3" s="1"/>
  <c r="X106" i="3" s="1"/>
  <c r="M109" i="3"/>
  <c r="N109" i="3" s="1"/>
  <c r="O109" i="3" s="1"/>
  <c r="P109" i="3" s="1"/>
  <c r="M152" i="3"/>
  <c r="N152" i="3" s="1"/>
  <c r="O152" i="3" s="1"/>
  <c r="P152" i="3" s="1"/>
  <c r="M133" i="3"/>
  <c r="N133" i="3" s="1"/>
  <c r="O133" i="3" s="1"/>
  <c r="P133" i="3" s="1"/>
  <c r="M165" i="3"/>
  <c r="N165" i="3" s="1"/>
  <c r="O165" i="3" s="1"/>
  <c r="P165" i="3" s="1"/>
  <c r="M162" i="3"/>
  <c r="T162" i="3" s="1"/>
  <c r="U162" i="3" s="1"/>
  <c r="V162" i="3" s="1"/>
  <c r="AB162" i="3" s="1"/>
  <c r="M197" i="3"/>
  <c r="T197" i="3" s="1"/>
  <c r="U197" i="3" s="1"/>
  <c r="V197" i="3" s="1"/>
  <c r="AB197" i="3" s="1"/>
  <c r="M231" i="3"/>
  <c r="T231" i="3" s="1"/>
  <c r="U231" i="3" s="1"/>
  <c r="V231" i="3" s="1"/>
  <c r="AB231" i="3" s="1"/>
  <c r="AD231" i="3" s="1"/>
  <c r="M242" i="3"/>
  <c r="T242" i="3" s="1"/>
  <c r="U242" i="3" s="1"/>
  <c r="V242" i="3" s="1"/>
  <c r="AB242" i="3" s="1"/>
  <c r="M237" i="3"/>
  <c r="T237" i="3" s="1"/>
  <c r="U237" i="3" s="1"/>
  <c r="V237" i="3" s="1"/>
  <c r="AB237" i="3" s="1"/>
  <c r="M260" i="3"/>
  <c r="T260" i="3" s="1"/>
  <c r="U260" i="3" s="1"/>
  <c r="V260" i="3" s="1"/>
  <c r="AB260" i="3" s="1"/>
  <c r="M77" i="3"/>
  <c r="N77" i="3" s="1"/>
  <c r="O77" i="3" s="1"/>
  <c r="P77" i="3" s="1"/>
  <c r="M103" i="3"/>
  <c r="N103" i="3" s="1"/>
  <c r="O103" i="3" s="1"/>
  <c r="P103" i="3" s="1"/>
  <c r="M93" i="3"/>
  <c r="T93" i="3" s="1"/>
  <c r="U93" i="3" s="1"/>
  <c r="V93" i="3" s="1"/>
  <c r="AB93" i="3" s="1"/>
  <c r="AD93" i="3" s="1"/>
  <c r="M84" i="3"/>
  <c r="T84" i="3" s="1"/>
  <c r="U84" i="3" s="1"/>
  <c r="V84" i="3" s="1"/>
  <c r="AB84" i="3" s="1"/>
  <c r="M100" i="3"/>
  <c r="N100" i="3" s="1"/>
  <c r="O100" i="3" s="1"/>
  <c r="P100" i="3" s="1"/>
  <c r="X100" i="3" s="1"/>
  <c r="M122" i="3"/>
  <c r="N122" i="3" s="1"/>
  <c r="O122" i="3" s="1"/>
  <c r="P122" i="3" s="1"/>
  <c r="M76" i="3"/>
  <c r="T76" i="3" s="1"/>
  <c r="U76" i="3" s="1"/>
  <c r="V76" i="3" s="1"/>
  <c r="AB76" i="3" s="1"/>
  <c r="M134" i="3"/>
  <c r="T134" i="3" s="1"/>
  <c r="U134" i="3" s="1"/>
  <c r="V134" i="3" s="1"/>
  <c r="AB134" i="3" s="1"/>
  <c r="AC134" i="3" s="1"/>
  <c r="M146" i="3"/>
  <c r="N146" i="3" s="1"/>
  <c r="O146" i="3" s="1"/>
  <c r="P146" i="3" s="1"/>
  <c r="M112" i="3"/>
  <c r="N112" i="3" s="1"/>
  <c r="O112" i="3" s="1"/>
  <c r="P112" i="3" s="1"/>
  <c r="M127" i="3"/>
  <c r="T127" i="3" s="1"/>
  <c r="U127" i="3" s="1"/>
  <c r="V127" i="3" s="1"/>
  <c r="AB127" i="3" s="1"/>
  <c r="AC127" i="3" s="1"/>
  <c r="M143" i="3"/>
  <c r="T143" i="3" s="1"/>
  <c r="U143" i="3" s="1"/>
  <c r="V143" i="3" s="1"/>
  <c r="AB143" i="3" s="1"/>
  <c r="M159" i="3"/>
  <c r="T159" i="3" s="1"/>
  <c r="U159" i="3" s="1"/>
  <c r="V159" i="3" s="1"/>
  <c r="AB159" i="3" s="1"/>
  <c r="M179" i="3"/>
  <c r="T179" i="3" s="1"/>
  <c r="U179" i="3" s="1"/>
  <c r="V179" i="3" s="1"/>
  <c r="AB179" i="3" s="1"/>
  <c r="AD179" i="3" s="1"/>
  <c r="M156" i="3"/>
  <c r="N156" i="3" s="1"/>
  <c r="O156" i="3" s="1"/>
  <c r="P156" i="3" s="1"/>
  <c r="M186" i="3"/>
  <c r="N186" i="3" s="1"/>
  <c r="O186" i="3" s="1"/>
  <c r="P186" i="3" s="1"/>
  <c r="M193" i="3"/>
  <c r="T193" i="3" s="1"/>
  <c r="U193" i="3" s="1"/>
  <c r="V193" i="3" s="1"/>
  <c r="AB193" i="3" s="1"/>
  <c r="M209" i="3"/>
  <c r="N209" i="3" s="1"/>
  <c r="O209" i="3" s="1"/>
  <c r="P209" i="3" s="1"/>
  <c r="M206" i="3"/>
  <c r="N206" i="3" s="1"/>
  <c r="O206" i="3" s="1"/>
  <c r="P206" i="3" s="1"/>
  <c r="M216" i="3"/>
  <c r="T216" i="3" s="1"/>
  <c r="U216" i="3" s="1"/>
  <c r="V216" i="3" s="1"/>
  <c r="M219" i="3"/>
  <c r="N219" i="3" s="1"/>
  <c r="O219" i="3" s="1"/>
  <c r="P219" i="3" s="1"/>
  <c r="M244" i="3"/>
  <c r="T244" i="3" s="1"/>
  <c r="U244" i="3" s="1"/>
  <c r="V244" i="3" s="1"/>
  <c r="AB244" i="3" s="1"/>
  <c r="M240" i="3"/>
  <c r="N240" i="3" s="1"/>
  <c r="O240" i="3" s="1"/>
  <c r="P240" i="3" s="1"/>
  <c r="M226" i="3"/>
  <c r="N226" i="3" s="1"/>
  <c r="O226" i="3" s="1"/>
  <c r="P226" i="3" s="1"/>
  <c r="M239" i="3"/>
  <c r="N239" i="3" s="1"/>
  <c r="O239" i="3" s="1"/>
  <c r="P239" i="3" s="1"/>
  <c r="M250" i="3"/>
  <c r="N250" i="3" s="1"/>
  <c r="O250" i="3" s="1"/>
  <c r="P250" i="3" s="1"/>
  <c r="X250" i="3" s="1"/>
  <c r="M249" i="3"/>
  <c r="T249" i="3" s="1"/>
  <c r="U249" i="3" s="1"/>
  <c r="V249" i="3" s="1"/>
  <c r="AB249" i="3" s="1"/>
  <c r="AC249" i="3" s="1"/>
  <c r="M257" i="3"/>
  <c r="N257" i="3" s="1"/>
  <c r="O257" i="3" s="1"/>
  <c r="P257" i="3" s="1"/>
  <c r="M262" i="3"/>
  <c r="N262" i="3" s="1"/>
  <c r="O262" i="3" s="1"/>
  <c r="P262" i="3" s="1"/>
  <c r="X262" i="3" s="1"/>
  <c r="Y262" i="3" s="1"/>
  <c r="M79" i="3"/>
  <c r="T79" i="3" s="1"/>
  <c r="U79" i="3" s="1"/>
  <c r="V79" i="3" s="1"/>
  <c r="AB79" i="3" s="1"/>
  <c r="AD79" i="3" s="1"/>
  <c r="M91" i="3"/>
  <c r="T91" i="3" s="1"/>
  <c r="U91" i="3" s="1"/>
  <c r="V91" i="3" s="1"/>
  <c r="AB91" i="3" s="1"/>
  <c r="M107" i="3"/>
  <c r="T107" i="3" s="1"/>
  <c r="U107" i="3" s="1"/>
  <c r="V107" i="3" s="1"/>
  <c r="AB107" i="3" s="1"/>
  <c r="M75" i="3"/>
  <c r="N75" i="3" s="1"/>
  <c r="O75" i="3" s="1"/>
  <c r="P75" i="3" s="1"/>
  <c r="M97" i="3"/>
  <c r="T97" i="3" s="1"/>
  <c r="U97" i="3" s="1"/>
  <c r="V97" i="3" s="1"/>
  <c r="AB97" i="3" s="1"/>
  <c r="M130" i="3"/>
  <c r="N130" i="3" s="1"/>
  <c r="O130" i="3" s="1"/>
  <c r="P130" i="3" s="1"/>
  <c r="M86" i="3"/>
  <c r="N86" i="3" s="1"/>
  <c r="O86" i="3" s="1"/>
  <c r="P86" i="3" s="1"/>
  <c r="M94" i="3"/>
  <c r="T94" i="3" s="1"/>
  <c r="U94" i="3" s="1"/>
  <c r="V94" i="3" s="1"/>
  <c r="AB94" i="3" s="1"/>
  <c r="M102" i="3"/>
  <c r="N102" i="3" s="1"/>
  <c r="O102" i="3" s="1"/>
  <c r="P102" i="3" s="1"/>
  <c r="M118" i="3"/>
  <c r="T118" i="3" s="1"/>
  <c r="U118" i="3" s="1"/>
  <c r="V118" i="3" s="1"/>
  <c r="AB118" i="3" s="1"/>
  <c r="M128" i="3"/>
  <c r="T128" i="3" s="1"/>
  <c r="U128" i="3" s="1"/>
  <c r="V128" i="3" s="1"/>
  <c r="AB128" i="3" s="1"/>
  <c r="M70" i="3"/>
  <c r="N70" i="3" s="1"/>
  <c r="O70" i="3" s="1"/>
  <c r="P70" i="3" s="1"/>
  <c r="X70" i="3" s="1"/>
  <c r="M78" i="3"/>
  <c r="N78" i="3" s="1"/>
  <c r="O78" i="3" s="1"/>
  <c r="P78" i="3" s="1"/>
  <c r="M113" i="3"/>
  <c r="T113" i="3" s="1"/>
  <c r="U113" i="3" s="1"/>
  <c r="V113" i="3" s="1"/>
  <c r="AB113" i="3" s="1"/>
  <c r="M173" i="3"/>
  <c r="T173" i="3" s="1"/>
  <c r="U173" i="3" s="1"/>
  <c r="V173" i="3" s="1"/>
  <c r="AB173" i="3" s="1"/>
  <c r="AD173" i="3" s="1"/>
  <c r="M140" i="3"/>
  <c r="T140" i="3" s="1"/>
  <c r="U140" i="3" s="1"/>
  <c r="V140" i="3" s="1"/>
  <c r="AB140" i="3" s="1"/>
  <c r="M148" i="3"/>
  <c r="N148" i="3" s="1"/>
  <c r="O148" i="3" s="1"/>
  <c r="P148" i="3" s="1"/>
  <c r="M175" i="3"/>
  <c r="N175" i="3" s="1"/>
  <c r="O175" i="3" s="1"/>
  <c r="P175" i="3" s="1"/>
  <c r="M114" i="3"/>
  <c r="N114" i="3" s="1"/>
  <c r="O114" i="3" s="1"/>
  <c r="P114" i="3" s="1"/>
  <c r="X114" i="3" s="1"/>
  <c r="M121" i="3"/>
  <c r="T121" i="3" s="1"/>
  <c r="U121" i="3" s="1"/>
  <c r="V121" i="3" s="1"/>
  <c r="AB121" i="3" s="1"/>
  <c r="M129" i="3"/>
  <c r="N129" i="3" s="1"/>
  <c r="O129" i="3" s="1"/>
  <c r="P129" i="3" s="1"/>
  <c r="M137" i="3"/>
  <c r="T137" i="3" s="1"/>
  <c r="U137" i="3" s="1"/>
  <c r="V137" i="3" s="1"/>
  <c r="AB137" i="3" s="1"/>
  <c r="M145" i="3"/>
  <c r="N145" i="3" s="1"/>
  <c r="O145" i="3" s="1"/>
  <c r="P145" i="3" s="1"/>
  <c r="M153" i="3"/>
  <c r="T153" i="3" s="1"/>
  <c r="U153" i="3" s="1"/>
  <c r="V153" i="3" s="1"/>
  <c r="AB153" i="3" s="1"/>
  <c r="AD153" i="3" s="1"/>
  <c r="M161" i="3"/>
  <c r="T161" i="3" s="1"/>
  <c r="U161" i="3" s="1"/>
  <c r="V161" i="3" s="1"/>
  <c r="AB161" i="3" s="1"/>
  <c r="M169" i="3"/>
  <c r="N169" i="3" s="1"/>
  <c r="O169" i="3" s="1"/>
  <c r="P169" i="3" s="1"/>
  <c r="M170" i="3"/>
  <c r="T170" i="3" s="1"/>
  <c r="U170" i="3" s="1"/>
  <c r="V170" i="3" s="1"/>
  <c r="AB170" i="3" s="1"/>
  <c r="M178" i="3"/>
  <c r="T178" i="3" s="1"/>
  <c r="U178" i="3" s="1"/>
  <c r="V178" i="3" s="1"/>
  <c r="AB178" i="3" s="1"/>
  <c r="M158" i="3"/>
  <c r="N158" i="3" s="1"/>
  <c r="O158" i="3" s="1"/>
  <c r="P158" i="3" s="1"/>
  <c r="M166" i="3"/>
  <c r="T166" i="3" s="1"/>
  <c r="U166" i="3" s="1"/>
  <c r="V166" i="3" s="1"/>
  <c r="AB166" i="3" s="1"/>
  <c r="M205" i="3"/>
  <c r="T205" i="3" s="1"/>
  <c r="U205" i="3" s="1"/>
  <c r="V205" i="3" s="1"/>
  <c r="AB205" i="3" s="1"/>
  <c r="M187" i="3"/>
  <c r="N187" i="3" s="1"/>
  <c r="O187" i="3" s="1"/>
  <c r="P187" i="3" s="1"/>
  <c r="M207" i="3"/>
  <c r="T207" i="3" s="1"/>
  <c r="U207" i="3" s="1"/>
  <c r="V207" i="3" s="1"/>
  <c r="AB207" i="3" s="1"/>
  <c r="M201" i="3"/>
  <c r="N201" i="3" s="1"/>
  <c r="O201" i="3" s="1"/>
  <c r="P201" i="3" s="1"/>
  <c r="M188" i="3"/>
  <c r="N188" i="3" s="1"/>
  <c r="O188" i="3" s="1"/>
  <c r="P188" i="3" s="1"/>
  <c r="X188" i="3" s="1"/>
  <c r="M196" i="3"/>
  <c r="N196" i="3" s="1"/>
  <c r="O196" i="3" s="1"/>
  <c r="P196" i="3" s="1"/>
  <c r="M211" i="3"/>
  <c r="T211" i="3" s="1"/>
  <c r="U211" i="3" s="1"/>
  <c r="V211" i="3" s="1"/>
  <c r="AB211" i="3" s="1"/>
  <c r="M210" i="3"/>
  <c r="T210" i="3" s="1"/>
  <c r="U210" i="3" s="1"/>
  <c r="V210" i="3" s="1"/>
  <c r="AB210" i="3" s="1"/>
  <c r="M218" i="3"/>
  <c r="T218" i="3" s="1"/>
  <c r="U218" i="3" s="1"/>
  <c r="V218" i="3" s="1"/>
  <c r="M221" i="3"/>
  <c r="T221" i="3" s="1"/>
  <c r="U221" i="3" s="1"/>
  <c r="V221" i="3" s="1"/>
  <c r="AB221" i="3" s="1"/>
  <c r="AC221" i="3" s="1"/>
  <c r="M215" i="3"/>
  <c r="N215" i="3" s="1"/>
  <c r="O215" i="3" s="1"/>
  <c r="P215" i="3" s="1"/>
  <c r="M246" i="3"/>
  <c r="N246" i="3" s="1"/>
  <c r="O246" i="3" s="1"/>
  <c r="P246" i="3" s="1"/>
  <c r="M220" i="3"/>
  <c r="T220" i="3" s="1"/>
  <c r="U220" i="3" s="1"/>
  <c r="V220" i="3" s="1"/>
  <c r="AB220" i="3" s="1"/>
  <c r="M228" i="3"/>
  <c r="N228" i="3" s="1"/>
  <c r="O228" i="3" s="1"/>
  <c r="P228" i="3" s="1"/>
  <c r="M247" i="3"/>
  <c r="N247" i="3" s="1"/>
  <c r="O247" i="3" s="1"/>
  <c r="P247" i="3" s="1"/>
  <c r="M241" i="3"/>
  <c r="N241" i="3" s="1"/>
  <c r="O241" i="3" s="1"/>
  <c r="P241" i="3" s="1"/>
  <c r="M252" i="3"/>
  <c r="T252" i="3" s="1"/>
  <c r="U252" i="3" s="1"/>
  <c r="V252" i="3" s="1"/>
  <c r="AB252" i="3" s="1"/>
  <c r="M251" i="3"/>
  <c r="T251" i="3" s="1"/>
  <c r="U251" i="3" s="1"/>
  <c r="V251" i="3" s="1"/>
  <c r="AB251" i="3" s="1"/>
  <c r="M259" i="3"/>
  <c r="N259" i="3" s="1"/>
  <c r="O259" i="3" s="1"/>
  <c r="P259" i="3" s="1"/>
  <c r="M264" i="3"/>
  <c r="N264" i="3" s="1"/>
  <c r="O264" i="3" s="1"/>
  <c r="P264" i="3" s="1"/>
  <c r="M87" i="3"/>
  <c r="N87" i="3" s="1"/>
  <c r="O87" i="3" s="1"/>
  <c r="P87" i="3" s="1"/>
  <c r="X87" i="3" s="1"/>
  <c r="M71" i="3"/>
  <c r="N71" i="3" s="1"/>
  <c r="O71" i="3" s="1"/>
  <c r="P71" i="3" s="1"/>
  <c r="M65" i="3"/>
  <c r="N65" i="3" s="1"/>
  <c r="O65" i="3" s="1"/>
  <c r="P65" i="3" s="1"/>
  <c r="M92" i="3"/>
  <c r="N92" i="3" s="1"/>
  <c r="O92" i="3" s="1"/>
  <c r="P92" i="3" s="1"/>
  <c r="M108" i="3"/>
  <c r="T108" i="3" s="1"/>
  <c r="U108" i="3" s="1"/>
  <c r="V108" i="3" s="1"/>
  <c r="AB108" i="3" s="1"/>
  <c r="M68" i="3"/>
  <c r="N68" i="3" s="1"/>
  <c r="O68" i="3" s="1"/>
  <c r="P68" i="3" s="1"/>
  <c r="M111" i="3"/>
  <c r="T111" i="3" s="1"/>
  <c r="U111" i="3" s="1"/>
  <c r="V111" i="3" s="1"/>
  <c r="AB111" i="3" s="1"/>
  <c r="M138" i="3"/>
  <c r="T138" i="3" s="1"/>
  <c r="U138" i="3" s="1"/>
  <c r="V138" i="3" s="1"/>
  <c r="AB138" i="3" s="1"/>
  <c r="AC138" i="3" s="1"/>
  <c r="M154" i="3"/>
  <c r="T154" i="3" s="1"/>
  <c r="U154" i="3" s="1"/>
  <c r="V154" i="3" s="1"/>
  <c r="AB154" i="3" s="1"/>
  <c r="M119" i="3"/>
  <c r="N119" i="3" s="1"/>
  <c r="O119" i="3" s="1"/>
  <c r="P119" i="3" s="1"/>
  <c r="M135" i="3"/>
  <c r="N135" i="3" s="1"/>
  <c r="O135" i="3" s="1"/>
  <c r="P135" i="3" s="1"/>
  <c r="X135" i="3" s="1"/>
  <c r="M151" i="3"/>
  <c r="T151" i="3" s="1"/>
  <c r="U151" i="3" s="1"/>
  <c r="V151" i="3" s="1"/>
  <c r="AB151" i="3" s="1"/>
  <c r="M167" i="3"/>
  <c r="T167" i="3" s="1"/>
  <c r="U167" i="3" s="1"/>
  <c r="V167" i="3" s="1"/>
  <c r="AB167" i="3" s="1"/>
  <c r="M176" i="3"/>
  <c r="T176" i="3" s="1"/>
  <c r="U176" i="3" s="1"/>
  <c r="V176" i="3" s="1"/>
  <c r="AB176" i="3" s="1"/>
  <c r="M164" i="3"/>
  <c r="N164" i="3" s="1"/>
  <c r="O164" i="3" s="1"/>
  <c r="P164" i="3" s="1"/>
  <c r="X164" i="3" s="1"/>
  <c r="M185" i="3"/>
  <c r="N185" i="3" s="1"/>
  <c r="O185" i="3" s="1"/>
  <c r="P185" i="3" s="1"/>
  <c r="M199" i="3"/>
  <c r="N199" i="3" s="1"/>
  <c r="O199" i="3" s="1"/>
  <c r="P199" i="3" s="1"/>
  <c r="M194" i="3"/>
  <c r="T194" i="3" s="1"/>
  <c r="U194" i="3" s="1"/>
  <c r="V194" i="3" s="1"/>
  <c r="AB194" i="3" s="1"/>
  <c r="M235" i="3"/>
  <c r="N235" i="3" s="1"/>
  <c r="O235" i="3" s="1"/>
  <c r="P235" i="3" s="1"/>
  <c r="M227" i="3"/>
  <c r="T227" i="3" s="1"/>
  <c r="U227" i="3" s="1"/>
  <c r="V227" i="3" s="1"/>
  <c r="AB227" i="3" s="1"/>
  <c r="M234" i="3"/>
  <c r="T234" i="3" s="1"/>
  <c r="U234" i="3" s="1"/>
  <c r="V234" i="3" s="1"/>
  <c r="AB234" i="3" s="1"/>
  <c r="AC234" i="3" s="1"/>
  <c r="M81" i="3"/>
  <c r="T81" i="3" s="1"/>
  <c r="U81" i="3" s="1"/>
  <c r="V81" i="3" s="1"/>
  <c r="AB81" i="3" s="1"/>
  <c r="M95" i="3"/>
  <c r="N95" i="3" s="1"/>
  <c r="O95" i="3" s="1"/>
  <c r="P95" i="3" s="1"/>
  <c r="M67" i="3"/>
  <c r="T67" i="3" s="1"/>
  <c r="U67" i="3" s="1"/>
  <c r="V67" i="3" s="1"/>
  <c r="AB67" i="3" s="1"/>
  <c r="M85" i="3"/>
  <c r="N85" i="3" s="1"/>
  <c r="O85" i="3" s="1"/>
  <c r="P85" i="3" s="1"/>
  <c r="M101" i="3"/>
  <c r="N101" i="3" s="1"/>
  <c r="O101" i="3" s="1"/>
  <c r="P101" i="3" s="1"/>
  <c r="M82" i="3"/>
  <c r="N82" i="3" s="1"/>
  <c r="O82" i="3" s="1"/>
  <c r="P82" i="3" s="1"/>
  <c r="M88" i="3"/>
  <c r="T88" i="3" s="1"/>
  <c r="U88" i="3" s="1"/>
  <c r="V88" i="3" s="1"/>
  <c r="AB88" i="3" s="1"/>
  <c r="AC88" i="3" s="1"/>
  <c r="M96" i="3"/>
  <c r="M104" i="3"/>
  <c r="N104" i="3" s="1"/>
  <c r="O104" i="3" s="1"/>
  <c r="P104" i="3" s="1"/>
  <c r="M124" i="3"/>
  <c r="T124" i="3" s="1"/>
  <c r="U124" i="3" s="1"/>
  <c r="V124" i="3" s="1"/>
  <c r="AB124" i="3" s="1"/>
  <c r="M64" i="3"/>
  <c r="T64" i="3" s="1"/>
  <c r="U64" i="3" s="1"/>
  <c r="V64" i="3" s="1"/>
  <c r="M72" i="3"/>
  <c r="N72" i="3" s="1"/>
  <c r="O72" i="3" s="1"/>
  <c r="P72" i="3" s="1"/>
  <c r="M80" i="3"/>
  <c r="N80" i="3" s="1"/>
  <c r="O80" i="3" s="1"/>
  <c r="P80" i="3" s="1"/>
  <c r="M116" i="3"/>
  <c r="T116" i="3" s="1"/>
  <c r="U116" i="3" s="1"/>
  <c r="V116" i="3" s="1"/>
  <c r="AB116" i="3" s="1"/>
  <c r="M183" i="3"/>
  <c r="N183" i="3" s="1"/>
  <c r="O183" i="3" s="1"/>
  <c r="P183" i="3" s="1"/>
  <c r="M142" i="3"/>
  <c r="N142" i="3" s="1"/>
  <c r="O142" i="3" s="1"/>
  <c r="P142" i="3" s="1"/>
  <c r="M150" i="3"/>
  <c r="N150" i="3" s="1"/>
  <c r="O150" i="3" s="1"/>
  <c r="P150" i="3" s="1"/>
  <c r="M181" i="3"/>
  <c r="N181" i="3" s="1"/>
  <c r="O181" i="3" s="1"/>
  <c r="P181" i="3" s="1"/>
  <c r="X181" i="3" s="1"/>
  <c r="Y181" i="3" s="1"/>
  <c r="M115" i="3"/>
  <c r="T115" i="3" s="1"/>
  <c r="U115" i="3" s="1"/>
  <c r="V115" i="3" s="1"/>
  <c r="M123" i="3"/>
  <c r="T123" i="3" s="1"/>
  <c r="U123" i="3" s="1"/>
  <c r="V123" i="3" s="1"/>
  <c r="AB123" i="3" s="1"/>
  <c r="AD123" i="3" s="1"/>
  <c r="M131" i="3"/>
  <c r="T131" i="3" s="1"/>
  <c r="U131" i="3" s="1"/>
  <c r="V131" i="3" s="1"/>
  <c r="AB131" i="3" s="1"/>
  <c r="AD131" i="3" s="1"/>
  <c r="M139" i="3"/>
  <c r="N139" i="3" s="1"/>
  <c r="O139" i="3" s="1"/>
  <c r="P139" i="3" s="1"/>
  <c r="M147" i="3"/>
  <c r="T147" i="3" s="1"/>
  <c r="U147" i="3" s="1"/>
  <c r="V147" i="3" s="1"/>
  <c r="AB147" i="3" s="1"/>
  <c r="M155" i="3"/>
  <c r="T155" i="3" s="1"/>
  <c r="U155" i="3" s="1"/>
  <c r="V155" i="3" s="1"/>
  <c r="AB155" i="3" s="1"/>
  <c r="AD155" i="3" s="1"/>
  <c r="M163" i="3"/>
  <c r="T163" i="3" s="1"/>
  <c r="U163" i="3" s="1"/>
  <c r="V163" i="3" s="1"/>
  <c r="AB163" i="3" s="1"/>
  <c r="M177" i="3"/>
  <c r="T177" i="3" s="1"/>
  <c r="U177" i="3" s="1"/>
  <c r="V177" i="3" s="1"/>
  <c r="AB177" i="3" s="1"/>
  <c r="M172" i="3"/>
  <c r="T172" i="3" s="1"/>
  <c r="U172" i="3" s="1"/>
  <c r="V172" i="3" s="1"/>
  <c r="AB172" i="3" s="1"/>
  <c r="AD172" i="3" s="1"/>
  <c r="M180" i="3"/>
  <c r="T180" i="3" s="1"/>
  <c r="U180" i="3" s="1"/>
  <c r="V180" i="3" s="1"/>
  <c r="AB180" i="3" s="1"/>
  <c r="AD180" i="3" s="1"/>
  <c r="M160" i="3"/>
  <c r="N160" i="3" s="1"/>
  <c r="O160" i="3" s="1"/>
  <c r="P160" i="3" s="1"/>
  <c r="M168" i="3"/>
  <c r="N168" i="3" s="1"/>
  <c r="O168" i="3" s="1"/>
  <c r="P168" i="3" s="1"/>
  <c r="M208" i="3"/>
  <c r="T208" i="3" s="1"/>
  <c r="U208" i="3" s="1"/>
  <c r="V208" i="3" s="1"/>
  <c r="AB208" i="3" s="1"/>
  <c r="AC208" i="3" s="1"/>
  <c r="M189" i="3"/>
  <c r="T189" i="3" s="1"/>
  <c r="U189" i="3" s="1"/>
  <c r="V189" i="3" s="1"/>
  <c r="AB189" i="3" s="1"/>
  <c r="M195" i="3"/>
  <c r="N195" i="3" s="1"/>
  <c r="O195" i="3" s="1"/>
  <c r="P195" i="3" s="1"/>
  <c r="M202" i="3"/>
  <c r="T202" i="3" s="1"/>
  <c r="U202" i="3" s="1"/>
  <c r="V202" i="3" s="1"/>
  <c r="AB202" i="3" s="1"/>
  <c r="M190" i="3"/>
  <c r="T190" i="3" s="1"/>
  <c r="U190" i="3" s="1"/>
  <c r="V190" i="3" s="1"/>
  <c r="AB190" i="3" s="1"/>
  <c r="AD190" i="3" s="1"/>
  <c r="M198" i="3"/>
  <c r="N198" i="3" s="1"/>
  <c r="O198" i="3" s="1"/>
  <c r="P198" i="3" s="1"/>
  <c r="M213" i="3"/>
  <c r="T213" i="3" s="1"/>
  <c r="U213" i="3" s="1"/>
  <c r="V213" i="3" s="1"/>
  <c r="AB213" i="3" s="1"/>
  <c r="M212" i="3"/>
  <c r="T212" i="3" s="1"/>
  <c r="U212" i="3" s="1"/>
  <c r="V212" i="3" s="1"/>
  <c r="AB212" i="3" s="1"/>
  <c r="M229" i="3"/>
  <c r="N229" i="3" s="1"/>
  <c r="O229" i="3" s="1"/>
  <c r="P229" i="3" s="1"/>
  <c r="M223" i="3"/>
  <c r="T223" i="3" s="1"/>
  <c r="U223" i="3" s="1"/>
  <c r="V223" i="3" s="1"/>
  <c r="AB223" i="3" s="1"/>
  <c r="M217" i="3"/>
  <c r="N217" i="3" s="1"/>
  <c r="O217" i="3" s="1"/>
  <c r="P217" i="3" s="1"/>
  <c r="M236" i="3"/>
  <c r="T236" i="3" s="1"/>
  <c r="U236" i="3" s="1"/>
  <c r="V236" i="3" s="1"/>
  <c r="AB236" i="3" s="1"/>
  <c r="M222" i="3"/>
  <c r="N222" i="3" s="1"/>
  <c r="O222" i="3" s="1"/>
  <c r="P222" i="3" s="1"/>
  <c r="M230" i="3"/>
  <c r="N230" i="3" s="1"/>
  <c r="O230" i="3" s="1"/>
  <c r="P230" i="3" s="1"/>
  <c r="M248" i="3"/>
  <c r="T248" i="3" s="1"/>
  <c r="U248" i="3" s="1"/>
  <c r="V248" i="3" s="1"/>
  <c r="AB248" i="3" s="1"/>
  <c r="AD248" i="3" s="1"/>
  <c r="M243" i="3"/>
  <c r="T243" i="3" s="1"/>
  <c r="U243" i="3" s="1"/>
  <c r="V243" i="3" s="1"/>
  <c r="AB243" i="3" s="1"/>
  <c r="AD243" i="3" s="1"/>
  <c r="M254" i="3"/>
  <c r="T254" i="3" s="1"/>
  <c r="U254" i="3" s="1"/>
  <c r="V254" i="3" s="1"/>
  <c r="AB254" i="3" s="1"/>
  <c r="AD254" i="3" s="1"/>
  <c r="M253" i="3"/>
  <c r="N253" i="3" s="1"/>
  <c r="O253" i="3" s="1"/>
  <c r="P253" i="3" s="1"/>
  <c r="M258" i="3"/>
  <c r="N258" i="3" s="1"/>
  <c r="O258" i="3" s="1"/>
  <c r="P258" i="3" s="1"/>
  <c r="T95" i="3"/>
  <c r="U95" i="3" s="1"/>
  <c r="V95" i="3" s="1"/>
  <c r="AB95" i="3" s="1"/>
  <c r="AD95" i="3" s="1"/>
  <c r="N208" i="3"/>
  <c r="O208" i="3" s="1"/>
  <c r="P208" i="3" s="1"/>
  <c r="AT69" i="3"/>
  <c r="F116" i="3"/>
  <c r="H116" i="3" s="1"/>
  <c r="AO210" i="3"/>
  <c r="AP251" i="3"/>
  <c r="AP191" i="3"/>
  <c r="AP118" i="3"/>
  <c r="AP105" i="3"/>
  <c r="T171" i="3"/>
  <c r="U171" i="3" s="1"/>
  <c r="V171" i="3" s="1"/>
  <c r="AB171" i="3" s="1"/>
  <c r="AD171" i="3" s="1"/>
  <c r="K29" i="1"/>
  <c r="AO211" i="3"/>
  <c r="AP157" i="3"/>
  <c r="AP89" i="3"/>
  <c r="AP196" i="3"/>
  <c r="AP224" i="3"/>
  <c r="AP94" i="3"/>
  <c r="AP98" i="3"/>
  <c r="AO204" i="3"/>
  <c r="AO144" i="3"/>
  <c r="AO136" i="3"/>
  <c r="AO111" i="3"/>
  <c r="AO180" i="3"/>
  <c r="AO264" i="3"/>
  <c r="AP181" i="3"/>
  <c r="AO114" i="3"/>
  <c r="AP204" i="3"/>
  <c r="AP77" i="3"/>
  <c r="AO78" i="3"/>
  <c r="AO120" i="3"/>
  <c r="AO99" i="3"/>
  <c r="AP139" i="3"/>
  <c r="AO157" i="3"/>
  <c r="AO93" i="3"/>
  <c r="AO128" i="3"/>
  <c r="AO151" i="3"/>
  <c r="AP264" i="3"/>
  <c r="AO195" i="3"/>
  <c r="AO89" i="3"/>
  <c r="AO119" i="3"/>
  <c r="AO238" i="3"/>
  <c r="AO227" i="3"/>
  <c r="AO219" i="3"/>
  <c r="AO220" i="3"/>
  <c r="AO209" i="3"/>
  <c r="AO200" i="3"/>
  <c r="AO101" i="3"/>
  <c r="AO168" i="3"/>
  <c r="AO72" i="3"/>
  <c r="AO250" i="3"/>
  <c r="AO97" i="3"/>
  <c r="AP134" i="3"/>
  <c r="AP72" i="3"/>
  <c r="AO256" i="3"/>
  <c r="AP209" i="3"/>
  <c r="AP87" i="3"/>
  <c r="AO246" i="3"/>
  <c r="AO184" i="3"/>
  <c r="AO194" i="3"/>
  <c r="AP220" i="3"/>
  <c r="AP173" i="3"/>
  <c r="AP150" i="3"/>
  <c r="AP73" i="3"/>
  <c r="AO254" i="3"/>
  <c r="AO218" i="3"/>
  <c r="AO222" i="3"/>
  <c r="AO167" i="3"/>
  <c r="AO148" i="3"/>
  <c r="AO143" i="3"/>
  <c r="AP168" i="3"/>
  <c r="AP76" i="3"/>
  <c r="AO172" i="3"/>
  <c r="AO137" i="3"/>
  <c r="AO81" i="3"/>
  <c r="AP175" i="3"/>
  <c r="AP117" i="3"/>
  <c r="AO190" i="3"/>
  <c r="AO176" i="3"/>
  <c r="AO134" i="3"/>
  <c r="AP239" i="3"/>
  <c r="AT210" i="3"/>
  <c r="AU210" i="3" s="1"/>
  <c r="AT182" i="3"/>
  <c r="AU182" i="3" s="1"/>
  <c r="AT174" i="3"/>
  <c r="AU174" i="3" s="1"/>
  <c r="AT180" i="3"/>
  <c r="AU180" i="3" s="1"/>
  <c r="AT212" i="3"/>
  <c r="AU212" i="3" s="1"/>
  <c r="AT207" i="3"/>
  <c r="AU207" i="3" s="1"/>
  <c r="AW207" i="3" s="1"/>
  <c r="AT235" i="3"/>
  <c r="AU235" i="3" s="1"/>
  <c r="AP93" i="3"/>
  <c r="AP229" i="3"/>
  <c r="AO182" i="3"/>
  <c r="AO174" i="3"/>
  <c r="AO188" i="3"/>
  <c r="AO71" i="3"/>
  <c r="AO83" i="3"/>
  <c r="AP91" i="3"/>
  <c r="AP66" i="3"/>
  <c r="AO239" i="3"/>
  <c r="AO206" i="3"/>
  <c r="AO177" i="3"/>
  <c r="AO107" i="3"/>
  <c r="AO76" i="3"/>
  <c r="AP244" i="3"/>
  <c r="AP221" i="3"/>
  <c r="AP211" i="3"/>
  <c r="AP208" i="3"/>
  <c r="AP165" i="3"/>
  <c r="AP174" i="3"/>
  <c r="AP142" i="3"/>
  <c r="AO248" i="3"/>
  <c r="AO229" i="3"/>
  <c r="AO186" i="3"/>
  <c r="AO147" i="3"/>
  <c r="AO73" i="3"/>
  <c r="AO103" i="3"/>
  <c r="AO198" i="3"/>
  <c r="AO152" i="3"/>
  <c r="AO77" i="3"/>
  <c r="AO68" i="3"/>
  <c r="AP171" i="3"/>
  <c r="AP113" i="3"/>
  <c r="AO173" i="3"/>
  <c r="AO130" i="3"/>
  <c r="AO158" i="3"/>
  <c r="AO129" i="3"/>
  <c r="AO121" i="3"/>
  <c r="AO88" i="3"/>
  <c r="AO85" i="3"/>
  <c r="AO244" i="3"/>
  <c r="AO163" i="3"/>
  <c r="AO161" i="3"/>
  <c r="AO192" i="3"/>
  <c r="AO118" i="3"/>
  <c r="AO109" i="3"/>
  <c r="AO87" i="3"/>
  <c r="AO66" i="3"/>
  <c r="AO86" i="3"/>
  <c r="AO64" i="3"/>
  <c r="AO263" i="3"/>
  <c r="AO261" i="3"/>
  <c r="AP252" i="3"/>
  <c r="AP158" i="3"/>
  <c r="AO140" i="3"/>
  <c r="AP260" i="3"/>
  <c r="AP241" i="3"/>
  <c r="AP163" i="3"/>
  <c r="AO260" i="3"/>
  <c r="AO252" i="3"/>
  <c r="AO113" i="3"/>
  <c r="AO145" i="3"/>
  <c r="AO225" i="3"/>
  <c r="AP261" i="3"/>
  <c r="AP231" i="3"/>
  <c r="AP107" i="3"/>
  <c r="AP141" i="3"/>
  <c r="AO231" i="3"/>
  <c r="AO142" i="3"/>
  <c r="AO141" i="3"/>
  <c r="G100" i="3"/>
  <c r="F261" i="3"/>
  <c r="H261" i="3" s="1"/>
  <c r="F207" i="3"/>
  <c r="G207" i="3" s="1"/>
  <c r="F170" i="3"/>
  <c r="H170" i="3" s="1"/>
  <c r="F253" i="3"/>
  <c r="G253" i="3" s="1"/>
  <c r="AT188" i="3"/>
  <c r="AU188" i="3" s="1"/>
  <c r="AW188" i="3" s="1"/>
  <c r="AT181" i="3"/>
  <c r="AU181" i="3" s="1"/>
  <c r="AT130" i="3"/>
  <c r="AU130" i="3" s="1"/>
  <c r="AW130" i="3" s="1"/>
  <c r="AT111" i="3"/>
  <c r="AU111" i="3" s="1"/>
  <c r="AT264" i="3"/>
  <c r="AU264" i="3" s="1"/>
  <c r="AT72" i="3"/>
  <c r="AU72" i="3" s="1"/>
  <c r="AT190" i="3"/>
  <c r="AU190" i="3" s="1"/>
  <c r="AW190" i="3" s="1"/>
  <c r="AT95" i="3"/>
  <c r="AU95" i="3" s="1"/>
  <c r="AT239" i="3"/>
  <c r="AU239" i="3" s="1"/>
  <c r="AT218" i="3"/>
  <c r="AU218" i="3" s="1"/>
  <c r="AT140" i="3"/>
  <c r="AU140" i="3" s="1"/>
  <c r="AW140" i="3" s="1"/>
  <c r="AT152" i="3"/>
  <c r="AU152" i="3" s="1"/>
  <c r="AW152" i="3" s="1"/>
  <c r="AT260" i="3"/>
  <c r="AU260" i="3" s="1"/>
  <c r="AT164" i="3"/>
  <c r="AU164" i="3" s="1"/>
  <c r="AT148" i="3"/>
  <c r="AU148" i="3" s="1"/>
  <c r="AW148" i="3" s="1"/>
  <c r="AT115" i="3"/>
  <c r="AU115" i="3" s="1"/>
  <c r="AW115" i="3" s="1"/>
  <c r="AT197" i="3"/>
  <c r="AU197" i="3" s="1"/>
  <c r="AW197" i="3" s="1"/>
  <c r="AT198" i="3"/>
  <c r="AU198" i="3" s="1"/>
  <c r="AT172" i="3"/>
  <c r="AU172" i="3" s="1"/>
  <c r="AT128" i="3"/>
  <c r="AU128" i="3" s="1"/>
  <c r="AW128" i="3" s="1"/>
  <c r="AY128" i="3" s="1"/>
  <c r="AT151" i="3"/>
  <c r="AU151" i="3" s="1"/>
  <c r="AT105" i="3"/>
  <c r="AU105" i="3" s="1"/>
  <c r="AP256" i="3"/>
  <c r="F158" i="3"/>
  <c r="G158" i="3" s="1"/>
  <c r="AP122" i="3"/>
  <c r="AP114" i="3"/>
  <c r="AP248" i="3"/>
  <c r="AP218" i="3"/>
  <c r="AP85" i="3"/>
  <c r="K28" i="1"/>
  <c r="H218" i="3"/>
  <c r="F246" i="3"/>
  <c r="G246" i="3" s="1"/>
  <c r="F217" i="3"/>
  <c r="G217" i="3" s="1"/>
  <c r="F201" i="3"/>
  <c r="G201" i="3" s="1"/>
  <c r="J72" i="2"/>
  <c r="P72" i="2"/>
  <c r="N72" i="2"/>
  <c r="O72" i="2"/>
  <c r="I72" i="2"/>
  <c r="M72" i="2"/>
  <c r="K72" i="2"/>
  <c r="H181" i="3"/>
  <c r="F222" i="3"/>
  <c r="G222" i="3" s="1"/>
  <c r="F152" i="3"/>
  <c r="H152" i="3" s="1"/>
  <c r="AT131" i="3"/>
  <c r="AU131" i="3" s="1"/>
  <c r="AT77" i="3"/>
  <c r="AU77" i="3" s="1"/>
  <c r="AT68" i="3"/>
  <c r="AU68" i="3" s="1"/>
  <c r="AW68" i="3" s="1"/>
  <c r="AO237" i="3"/>
  <c r="AT228" i="3"/>
  <c r="AU228" i="3" s="1"/>
  <c r="AW228" i="3" s="1"/>
  <c r="F161" i="3"/>
  <c r="AP236" i="3"/>
  <c r="AO193" i="3"/>
  <c r="AO159" i="3"/>
  <c r="AT147" i="3"/>
  <c r="AU147" i="3" s="1"/>
  <c r="AP127" i="3"/>
  <c r="AO110" i="3"/>
  <c r="AP179" i="3"/>
  <c r="AO258" i="3"/>
  <c r="AO191" i="3"/>
  <c r="AT165" i="3"/>
  <c r="AU165" i="3" s="1"/>
  <c r="AO79" i="3"/>
  <c r="AP230" i="3"/>
  <c r="AO202" i="3"/>
  <c r="AO127" i="3"/>
  <c r="G254" i="3"/>
  <c r="H188" i="3"/>
  <c r="G188" i="3"/>
  <c r="AP262" i="3"/>
  <c r="AT123" i="3"/>
  <c r="AU123" i="3" s="1"/>
  <c r="AW123" i="3" s="1"/>
  <c r="AP111" i="3"/>
  <c r="AO226" i="3"/>
  <c r="AT120" i="3"/>
  <c r="AU120" i="3" s="1"/>
  <c r="AT184" i="3"/>
  <c r="AU184" i="3" s="1"/>
  <c r="AW184" i="3" s="1"/>
  <c r="AY184" i="3" s="1"/>
  <c r="AT187" i="3"/>
  <c r="AU187" i="3" s="1"/>
  <c r="AO179" i="3"/>
  <c r="AO228" i="3"/>
  <c r="AO175" i="3"/>
  <c r="AP78" i="3"/>
  <c r="AP243" i="3"/>
  <c r="AP234" i="3"/>
  <c r="AP126" i="3"/>
  <c r="AP112" i="3"/>
  <c r="F259" i="3"/>
  <c r="G259" i="3" s="1"/>
  <c r="F64" i="3"/>
  <c r="H64" i="3" s="1"/>
  <c r="AT262" i="3"/>
  <c r="AU262" i="3" s="1"/>
  <c r="AO249" i="3"/>
  <c r="AO240" i="3"/>
  <c r="AT248" i="3"/>
  <c r="AU248" i="3" s="1"/>
  <c r="AO221" i="3"/>
  <c r="AO201" i="3"/>
  <c r="AO132" i="3"/>
  <c r="AO124" i="3"/>
  <c r="AO116" i="3"/>
  <c r="AO155" i="3"/>
  <c r="AO257" i="3"/>
  <c r="AT226" i="3"/>
  <c r="AU226" i="3" s="1"/>
  <c r="AT110" i="3"/>
  <c r="AU110" i="3" s="1"/>
  <c r="AW110" i="3" s="1"/>
  <c r="AP189" i="3"/>
  <c r="AP79" i="3"/>
  <c r="F219" i="3"/>
  <c r="G219" i="3" s="1"/>
  <c r="F214" i="3"/>
  <c r="G214" i="3" s="1"/>
  <c r="F163" i="3"/>
  <c r="H163" i="3" s="1"/>
  <c r="AP121" i="3"/>
  <c r="AT216" i="3"/>
  <c r="AU216" i="3" s="1"/>
  <c r="AW216" i="3" s="1"/>
  <c r="AX216" i="3" s="1"/>
  <c r="AO156" i="3"/>
  <c r="AO150" i="3"/>
  <c r="AO149" i="3"/>
  <c r="AO178" i="3"/>
  <c r="AT227" i="3"/>
  <c r="AU227" i="3" s="1"/>
  <c r="AT219" i="3"/>
  <c r="AU219" i="3" s="1"/>
  <c r="AW219" i="3" s="1"/>
  <c r="AT208" i="3"/>
  <c r="AU208" i="3" s="1"/>
  <c r="AT179" i="3"/>
  <c r="AU179" i="3" s="1"/>
  <c r="AT158" i="3"/>
  <c r="AU158" i="3" s="1"/>
  <c r="F136" i="3"/>
  <c r="G136" i="3" s="1"/>
  <c r="AO205" i="3"/>
  <c r="AT168" i="3"/>
  <c r="AU168" i="3" s="1"/>
  <c r="AP202" i="3"/>
  <c r="AP178" i="3"/>
  <c r="AP70" i="3"/>
  <c r="AO251" i="3"/>
  <c r="AT176" i="3"/>
  <c r="AU176" i="3" s="1"/>
  <c r="AW176" i="3" s="1"/>
  <c r="AX176" i="3" s="1"/>
  <c r="AT192" i="3"/>
  <c r="AU192" i="3" s="1"/>
  <c r="AW192" i="3" s="1"/>
  <c r="AO126" i="3"/>
  <c r="AT133" i="3"/>
  <c r="AU133" i="3" s="1"/>
  <c r="AW133" i="3" s="1"/>
  <c r="AT125" i="3"/>
  <c r="AU125" i="3" s="1"/>
  <c r="AW125" i="3" s="1"/>
  <c r="AO92" i="3"/>
  <c r="AO105" i="3"/>
  <c r="AT89" i="3"/>
  <c r="AU89" i="3" s="1"/>
  <c r="AO95" i="3"/>
  <c r="AT74" i="3"/>
  <c r="AU74" i="3" s="1"/>
  <c r="AP233" i="3"/>
  <c r="AP185" i="3"/>
  <c r="AO253" i="3"/>
  <c r="AT236" i="3"/>
  <c r="AU236" i="3" s="1"/>
  <c r="AO183" i="3"/>
  <c r="AO185" i="3"/>
  <c r="AP172" i="3"/>
  <c r="AP95" i="3"/>
  <c r="F154" i="3"/>
  <c r="H154" i="3" s="1"/>
  <c r="AT246" i="3"/>
  <c r="AU246" i="3" s="1"/>
  <c r="AW246" i="3" s="1"/>
  <c r="AO216" i="3"/>
  <c r="AU220" i="3"/>
  <c r="AO199" i="3"/>
  <c r="AO165" i="3"/>
  <c r="AP187" i="3"/>
  <c r="AP146" i="3"/>
  <c r="AO122" i="3"/>
  <c r="AT122" i="3"/>
  <c r="AU122" i="3" s="1"/>
  <c r="AO153" i="3"/>
  <c r="AT112" i="3"/>
  <c r="AU112" i="3" s="1"/>
  <c r="AO104" i="3"/>
  <c r="AT79" i="3"/>
  <c r="AU79" i="3" s="1"/>
  <c r="AP247" i="3"/>
  <c r="AO230" i="3"/>
  <c r="AU194" i="3"/>
  <c r="AP253" i="3"/>
  <c r="AP183" i="3"/>
  <c r="AP144" i="3"/>
  <c r="F249" i="3"/>
  <c r="H249" i="3" s="1"/>
  <c r="F216" i="3"/>
  <c r="G216" i="3" s="1"/>
  <c r="AO242" i="3"/>
  <c r="AT250" i="3"/>
  <c r="AU250" i="3" s="1"/>
  <c r="AW250" i="3" s="1"/>
  <c r="AO223" i="3"/>
  <c r="AT202" i="3"/>
  <c r="AU202" i="3" s="1"/>
  <c r="AO169" i="3"/>
  <c r="AT149" i="3"/>
  <c r="AU149" i="3" s="1"/>
  <c r="AW149" i="3" s="1"/>
  <c r="AT141" i="3"/>
  <c r="AU141" i="3" s="1"/>
  <c r="AT97" i="3"/>
  <c r="AU97" i="3" s="1"/>
  <c r="AW97" i="3" s="1"/>
  <c r="AO139" i="3"/>
  <c r="AT87" i="3"/>
  <c r="AU87" i="3" s="1"/>
  <c r="AO70" i="3"/>
  <c r="AO74" i="3"/>
  <c r="AP64" i="3"/>
  <c r="AT261" i="3"/>
  <c r="AU261" i="3" s="1"/>
  <c r="AT253" i="3"/>
  <c r="AU253" i="3" s="1"/>
  <c r="AO233" i="3"/>
  <c r="AU189" i="3"/>
  <c r="AT177" i="3"/>
  <c r="AU177" i="3" s="1"/>
  <c r="AT119" i="3"/>
  <c r="AU119" i="3" s="1"/>
  <c r="AW119" i="3" s="1"/>
  <c r="AT91" i="3"/>
  <c r="AU91" i="3" s="1"/>
  <c r="AT64" i="3"/>
  <c r="AU64" i="3" s="1"/>
  <c r="F212" i="3"/>
  <c r="G212" i="3" s="1"/>
  <c r="F223" i="3"/>
  <c r="H223" i="3" s="1"/>
  <c r="F171" i="3"/>
  <c r="H171" i="3" s="1"/>
  <c r="F82" i="3"/>
  <c r="H82" i="3" s="1"/>
  <c r="F202" i="3"/>
  <c r="G202" i="3" s="1"/>
  <c r="F203" i="3"/>
  <c r="G203" i="3" s="1"/>
  <c r="F129" i="3"/>
  <c r="G129" i="3" s="1"/>
  <c r="F111" i="3"/>
  <c r="G111" i="3" s="1"/>
  <c r="F236" i="3"/>
  <c r="G236" i="3" s="1"/>
  <c r="F192" i="3"/>
  <c r="H192" i="3" s="1"/>
  <c r="F175" i="3"/>
  <c r="H175" i="3" s="1"/>
  <c r="F109" i="3"/>
  <c r="G109" i="3" s="1"/>
  <c r="F211" i="3"/>
  <c r="G211" i="3" s="1"/>
  <c r="F145" i="3"/>
  <c r="G145" i="3" s="1"/>
  <c r="F238" i="3"/>
  <c r="G238" i="3" s="1"/>
  <c r="F208" i="3"/>
  <c r="H208" i="3" s="1"/>
  <c r="F137" i="3"/>
  <c r="H137" i="3" s="1"/>
  <c r="F138" i="3"/>
  <c r="G138" i="3" s="1"/>
  <c r="F189" i="3"/>
  <c r="H189" i="3" s="1"/>
  <c r="F88" i="3"/>
  <c r="H88" i="3" s="1"/>
  <c r="F231" i="3"/>
  <c r="H231" i="3" s="1"/>
  <c r="F186" i="3"/>
  <c r="G186" i="3" s="1"/>
  <c r="G252" i="3"/>
  <c r="H252" i="3"/>
  <c r="G262" i="3"/>
  <c r="H262" i="3"/>
  <c r="G248" i="3"/>
  <c r="H248" i="3"/>
  <c r="H243" i="3"/>
  <c r="G243" i="3"/>
  <c r="G147" i="3"/>
  <c r="H147" i="3"/>
  <c r="H164" i="3"/>
  <c r="G164" i="3"/>
  <c r="G210" i="3"/>
  <c r="H210" i="3"/>
  <c r="H73" i="3"/>
  <c r="G73" i="3"/>
  <c r="G174" i="3"/>
  <c r="H174" i="3"/>
  <c r="AT106" i="3"/>
  <c r="AU106" i="3" s="1"/>
  <c r="AT90" i="3"/>
  <c r="AU90" i="3" s="1"/>
  <c r="AW90" i="3" s="1"/>
  <c r="AX80" i="3"/>
  <c r="AY80" i="3"/>
  <c r="F185" i="3"/>
  <c r="H114" i="3"/>
  <c r="G114" i="3"/>
  <c r="AO207" i="3"/>
  <c r="AO106" i="3"/>
  <c r="AO90" i="3"/>
  <c r="AT103" i="3"/>
  <c r="AU103" i="3" s="1"/>
  <c r="AW103" i="3" s="1"/>
  <c r="F107" i="3"/>
  <c r="AT78" i="3"/>
  <c r="AU78" i="3" s="1"/>
  <c r="AT247" i="3"/>
  <c r="AU247" i="3" s="1"/>
  <c r="AT170" i="3"/>
  <c r="AU170" i="3" s="1"/>
  <c r="AW170" i="3" s="1"/>
  <c r="AT99" i="3"/>
  <c r="AU99" i="3" s="1"/>
  <c r="AW99" i="3" s="1"/>
  <c r="G135" i="3"/>
  <c r="H135" i="3"/>
  <c r="F172" i="3"/>
  <c r="F144" i="3"/>
  <c r="AT263" i="3"/>
  <c r="AU263" i="3" s="1"/>
  <c r="AW263" i="3" s="1"/>
  <c r="AT238" i="3"/>
  <c r="AU238" i="3" s="1"/>
  <c r="AW238" i="3" s="1"/>
  <c r="AO232" i="3"/>
  <c r="AU211" i="3"/>
  <c r="AT199" i="3"/>
  <c r="AU199" i="3" s="1"/>
  <c r="AW199" i="3" s="1"/>
  <c r="AT191" i="3"/>
  <c r="AU191" i="3" s="1"/>
  <c r="AT157" i="3"/>
  <c r="AU157" i="3" s="1"/>
  <c r="AT113" i="3"/>
  <c r="AU113" i="3" s="1"/>
  <c r="AO96" i="3"/>
  <c r="F233" i="3"/>
  <c r="AT102" i="3"/>
  <c r="AU102" i="3" s="1"/>
  <c r="AP254" i="3"/>
  <c r="AP167" i="3"/>
  <c r="AP164" i="3"/>
  <c r="F242" i="3"/>
  <c r="G182" i="3"/>
  <c r="H182" i="3"/>
  <c r="F89" i="3"/>
  <c r="AO203" i="3"/>
  <c r="AP259" i="3"/>
  <c r="AP235" i="3"/>
  <c r="AP210" i="3"/>
  <c r="AP203" i="3"/>
  <c r="AP180" i="3"/>
  <c r="AP147" i="3"/>
  <c r="AP129" i="3"/>
  <c r="F260" i="3"/>
  <c r="F221" i="3"/>
  <c r="F195" i="3"/>
  <c r="F153" i="3"/>
  <c r="F72" i="3"/>
  <c r="AP151" i="3"/>
  <c r="G108" i="3"/>
  <c r="H108" i="3"/>
  <c r="AT256" i="3"/>
  <c r="AU256" i="3" s="1"/>
  <c r="AT249" i="3"/>
  <c r="AU249" i="3" s="1"/>
  <c r="AW249" i="3" s="1"/>
  <c r="AT254" i="3"/>
  <c r="AU254" i="3" s="1"/>
  <c r="AT240" i="3"/>
  <c r="AU240" i="3" s="1"/>
  <c r="AW240" i="3" s="1"/>
  <c r="AT229" i="3"/>
  <c r="AU229" i="3" s="1"/>
  <c r="AT221" i="3"/>
  <c r="AU221" i="3" s="1"/>
  <c r="AO243" i="3"/>
  <c r="AO234" i="3"/>
  <c r="AO217" i="3"/>
  <c r="AT193" i="3"/>
  <c r="AU193" i="3" s="1"/>
  <c r="AW193" i="3" s="1"/>
  <c r="AT186" i="3"/>
  <c r="AU186" i="3" s="1"/>
  <c r="AW186" i="3" s="1"/>
  <c r="AT167" i="3"/>
  <c r="AU167" i="3" s="1"/>
  <c r="AT159" i="3"/>
  <c r="AU159" i="3" s="1"/>
  <c r="AW159" i="3" s="1"/>
  <c r="AO164" i="3"/>
  <c r="AT132" i="3"/>
  <c r="AU132" i="3" s="1"/>
  <c r="AW132" i="3" s="1"/>
  <c r="AT124" i="3"/>
  <c r="AU124" i="3" s="1"/>
  <c r="AW124" i="3" s="1"/>
  <c r="AT116" i="3"/>
  <c r="AU116" i="3" s="1"/>
  <c r="AW116" i="3" s="1"/>
  <c r="AT160" i="3"/>
  <c r="AU160" i="3" s="1"/>
  <c r="AW160" i="3" s="1"/>
  <c r="AT155" i="3"/>
  <c r="AU155" i="3" s="1"/>
  <c r="AW155" i="3" s="1"/>
  <c r="AT114" i="3"/>
  <c r="AU114" i="3" s="1"/>
  <c r="AU73" i="3"/>
  <c r="F110" i="3"/>
  <c r="F99" i="3"/>
  <c r="AT127" i="3"/>
  <c r="AU127" i="3" s="1"/>
  <c r="AP194" i="3"/>
  <c r="F258" i="3"/>
  <c r="F200" i="3"/>
  <c r="F156" i="3"/>
  <c r="F176" i="3"/>
  <c r="F119" i="3"/>
  <c r="F128" i="3"/>
  <c r="AU232" i="3"/>
  <c r="AW232" i="3" s="1"/>
  <c r="AO208" i="3"/>
  <c r="AT200" i="3"/>
  <c r="AU200" i="3" s="1"/>
  <c r="AW200" i="3" s="1"/>
  <c r="AT154" i="3"/>
  <c r="AU154" i="3" s="1"/>
  <c r="AW154" i="3" s="1"/>
  <c r="AT146" i="3"/>
  <c r="AU146" i="3" s="1"/>
  <c r="AT138" i="3"/>
  <c r="AU138" i="3" s="1"/>
  <c r="AW138" i="3" s="1"/>
  <c r="AT153" i="3"/>
  <c r="AU153" i="3" s="1"/>
  <c r="AW153" i="3" s="1"/>
  <c r="AT145" i="3"/>
  <c r="AU145" i="3" s="1"/>
  <c r="AW145" i="3" s="1"/>
  <c r="AT137" i="3"/>
  <c r="AU137" i="3" s="1"/>
  <c r="AW137" i="3" s="1"/>
  <c r="AT104" i="3"/>
  <c r="AU104" i="3" s="1"/>
  <c r="AW104" i="3" s="1"/>
  <c r="F96" i="3"/>
  <c r="AT83" i="3"/>
  <c r="AU83" i="3" s="1"/>
  <c r="AW83" i="3" s="1"/>
  <c r="AT101" i="3"/>
  <c r="AU101" i="3" s="1"/>
  <c r="AW101" i="3" s="1"/>
  <c r="AT93" i="3"/>
  <c r="AU93" i="3" s="1"/>
  <c r="AT85" i="3"/>
  <c r="AU85" i="3" s="1"/>
  <c r="AP225" i="3"/>
  <c r="AP69" i="3"/>
  <c r="F230" i="3"/>
  <c r="F225" i="3"/>
  <c r="AT230" i="3"/>
  <c r="AU230" i="3" s="1"/>
  <c r="AP237" i="3"/>
  <c r="AP212" i="3"/>
  <c r="AP109" i="3"/>
  <c r="AP75" i="3"/>
  <c r="F239" i="3"/>
  <c r="F213" i="3"/>
  <c r="F205" i="3"/>
  <c r="F155" i="3"/>
  <c r="F74" i="3"/>
  <c r="AP74" i="3"/>
  <c r="AP106" i="3"/>
  <c r="AT259" i="3"/>
  <c r="AU259" i="3" s="1"/>
  <c r="AT251" i="3"/>
  <c r="AU251" i="3" s="1"/>
  <c r="AO255" i="3"/>
  <c r="AT242" i="3"/>
  <c r="AU242" i="3" s="1"/>
  <c r="AW242" i="3" s="1"/>
  <c r="AT231" i="3"/>
  <c r="AU231" i="3" s="1"/>
  <c r="AT223" i="3"/>
  <c r="AU223" i="3" s="1"/>
  <c r="AW223" i="3" s="1"/>
  <c r="AO245" i="3"/>
  <c r="AT237" i="3"/>
  <c r="AU237" i="3" s="1"/>
  <c r="AO215" i="3"/>
  <c r="AT195" i="3"/>
  <c r="AU195" i="3" s="1"/>
  <c r="AW195" i="3" s="1"/>
  <c r="AO241" i="3"/>
  <c r="AO196" i="3"/>
  <c r="AT161" i="3"/>
  <c r="AU161" i="3" s="1"/>
  <c r="AW161" i="3" s="1"/>
  <c r="AO166" i="3"/>
  <c r="AT126" i="3"/>
  <c r="AU126" i="3" s="1"/>
  <c r="AT118" i="3"/>
  <c r="AU118" i="3" s="1"/>
  <c r="AT162" i="3"/>
  <c r="AU162" i="3" s="1"/>
  <c r="AW162" i="3" s="1"/>
  <c r="AT109" i="3"/>
  <c r="AU109" i="3" s="1"/>
  <c r="AT108" i="3"/>
  <c r="AU108" i="3" s="1"/>
  <c r="AW108" i="3" s="1"/>
  <c r="AT67" i="3"/>
  <c r="AU67" i="3" s="1"/>
  <c r="AW67" i="3" s="1"/>
  <c r="AT139" i="3"/>
  <c r="AU139" i="3" s="1"/>
  <c r="AT98" i="3"/>
  <c r="AU98" i="3" s="1"/>
  <c r="AT82" i="3"/>
  <c r="AU82" i="3" s="1"/>
  <c r="AW82" i="3" s="1"/>
  <c r="AT65" i="3"/>
  <c r="AU65" i="3" s="1"/>
  <c r="AW65" i="3" s="1"/>
  <c r="AT70" i="3"/>
  <c r="AU70" i="3" s="1"/>
  <c r="F86" i="3"/>
  <c r="AP143" i="3"/>
  <c r="AP206" i="3"/>
  <c r="AP177" i="3"/>
  <c r="F91" i="3"/>
  <c r="AT214" i="3"/>
  <c r="AU214" i="3" s="1"/>
  <c r="AW214" i="3" s="1"/>
  <c r="AT204" i="3"/>
  <c r="AU204" i="3" s="1"/>
  <c r="AT178" i="3"/>
  <c r="AU178" i="3" s="1"/>
  <c r="AT185" i="3"/>
  <c r="AU185" i="3" s="1"/>
  <c r="AT107" i="3"/>
  <c r="AU107" i="3" s="1"/>
  <c r="F112" i="3"/>
  <c r="H70" i="3"/>
  <c r="G70" i="3"/>
  <c r="AO187" i="3"/>
  <c r="AO112" i="3"/>
  <c r="AT96" i="3"/>
  <c r="AU96" i="3" s="1"/>
  <c r="AW96" i="3" s="1"/>
  <c r="AO102" i="3"/>
  <c r="AU69" i="3"/>
  <c r="AP226" i="3"/>
  <c r="AP198" i="3"/>
  <c r="F197" i="3"/>
  <c r="F160" i="3"/>
  <c r="F178" i="3"/>
  <c r="F139" i="3"/>
  <c r="F159" i="3"/>
  <c r="F105" i="3"/>
  <c r="AO259" i="3"/>
  <c r="AT245" i="3"/>
  <c r="AU245" i="3" s="1"/>
  <c r="AW245" i="3" s="1"/>
  <c r="AO224" i="3"/>
  <c r="AO212" i="3"/>
  <c r="AT203" i="3"/>
  <c r="AU203" i="3" s="1"/>
  <c r="AT241" i="3"/>
  <c r="AU241" i="3" s="1"/>
  <c r="AT175" i="3"/>
  <c r="AU175" i="3" s="1"/>
  <c r="AT166" i="3"/>
  <c r="AU166" i="3" s="1"/>
  <c r="AW166" i="3" s="1"/>
  <c r="AT150" i="3"/>
  <c r="AU150" i="3" s="1"/>
  <c r="AT142" i="3"/>
  <c r="AU142" i="3" s="1"/>
  <c r="AT134" i="3"/>
  <c r="AU134" i="3" s="1"/>
  <c r="AT100" i="3"/>
  <c r="AU100" i="3" s="1"/>
  <c r="AW100" i="3" s="1"/>
  <c r="AO84" i="3"/>
  <c r="N261" i="3"/>
  <c r="O261" i="3" s="1"/>
  <c r="P261" i="3" s="1"/>
  <c r="T261" i="3"/>
  <c r="U261" i="3" s="1"/>
  <c r="V261" i="3" s="1"/>
  <c r="AB261" i="3" s="1"/>
  <c r="F183" i="3"/>
  <c r="F76" i="3"/>
  <c r="AO94" i="3"/>
  <c r="F177" i="3"/>
  <c r="F157" i="3"/>
  <c r="G87" i="3"/>
  <c r="H87" i="3"/>
  <c r="F140" i="3"/>
  <c r="AT243" i="3"/>
  <c r="AU243" i="3" s="1"/>
  <c r="AT234" i="3"/>
  <c r="AU234" i="3" s="1"/>
  <c r="AT222" i="3"/>
  <c r="AU222" i="3" s="1"/>
  <c r="AW222" i="3" s="1"/>
  <c r="AT217" i="3"/>
  <c r="AU217" i="3" s="1"/>
  <c r="AW217" i="3" s="1"/>
  <c r="AT201" i="3"/>
  <c r="AU201" i="3" s="1"/>
  <c r="AW201" i="3" s="1"/>
  <c r="AT213" i="3"/>
  <c r="AU213" i="3" s="1"/>
  <c r="AW213" i="3" s="1"/>
  <c r="AO160" i="3"/>
  <c r="AO131" i="3"/>
  <c r="AO123" i="3"/>
  <c r="AO115" i="3"/>
  <c r="AU257" i="3"/>
  <c r="AW257" i="3" s="1"/>
  <c r="AO197" i="3"/>
  <c r="AT143" i="3"/>
  <c r="AU143" i="3" s="1"/>
  <c r="AP258" i="3"/>
  <c r="AP227" i="3"/>
  <c r="AP156" i="3"/>
  <c r="F227" i="3"/>
  <c r="F206" i="3"/>
  <c r="F151" i="3"/>
  <c r="AP102" i="3"/>
  <c r="AT258" i="3"/>
  <c r="AU258" i="3" s="1"/>
  <c r="AT252" i="3"/>
  <c r="AU252" i="3" s="1"/>
  <c r="AT209" i="3"/>
  <c r="AU209" i="3" s="1"/>
  <c r="AT173" i="3"/>
  <c r="AU173" i="3" s="1"/>
  <c r="AO154" i="3"/>
  <c r="AO146" i="3"/>
  <c r="AO138" i="3"/>
  <c r="AT129" i="3"/>
  <c r="AU129" i="3" s="1"/>
  <c r="AT121" i="3"/>
  <c r="AU121" i="3" s="1"/>
  <c r="AT88" i="3"/>
  <c r="AU88" i="3" s="1"/>
  <c r="AW88" i="3" s="1"/>
  <c r="AT71" i="3"/>
  <c r="AU71" i="3" s="1"/>
  <c r="AW71" i="3" s="1"/>
  <c r="F257" i="3"/>
  <c r="AT244" i="3"/>
  <c r="AU244" i="3" s="1"/>
  <c r="AT225" i="3"/>
  <c r="AU225" i="3" s="1"/>
  <c r="AU205" i="3"/>
  <c r="AW205" i="3" s="1"/>
  <c r="AT163" i="3"/>
  <c r="AU163" i="3" s="1"/>
  <c r="AT156" i="3"/>
  <c r="AU156" i="3" s="1"/>
  <c r="AO69" i="3"/>
  <c r="AT81" i="3"/>
  <c r="AU81" i="3" s="1"/>
  <c r="AW81" i="3" s="1"/>
  <c r="AP182" i="3"/>
  <c r="AP120" i="3"/>
  <c r="F255" i="3"/>
  <c r="G250" i="3"/>
  <c r="H250" i="3"/>
  <c r="F228" i="3"/>
  <c r="G204" i="3"/>
  <c r="H204" i="3"/>
  <c r="G167" i="3"/>
  <c r="H167" i="3"/>
  <c r="H131" i="3"/>
  <c r="G131" i="3"/>
  <c r="F97" i="3"/>
  <c r="F148" i="3"/>
  <c r="AP131" i="3"/>
  <c r="AT255" i="3"/>
  <c r="AU255" i="3" s="1"/>
  <c r="AW255" i="3" s="1"/>
  <c r="AT224" i="3"/>
  <c r="AU224" i="3" s="1"/>
  <c r="AT215" i="3"/>
  <c r="AU215" i="3" s="1"/>
  <c r="AW215" i="3" s="1"/>
  <c r="AT196" i="3"/>
  <c r="AU196" i="3" s="1"/>
  <c r="AT169" i="3"/>
  <c r="AU169" i="3" s="1"/>
  <c r="AW169" i="3" s="1"/>
  <c r="AO162" i="3"/>
  <c r="AO133" i="3"/>
  <c r="AO125" i="3"/>
  <c r="AU117" i="3"/>
  <c r="AO117" i="3"/>
  <c r="AO108" i="3"/>
  <c r="AT92" i="3"/>
  <c r="AU92" i="3" s="1"/>
  <c r="AW92" i="3" s="1"/>
  <c r="F90" i="3"/>
  <c r="AO98" i="3"/>
  <c r="AO82" i="3"/>
  <c r="F102" i="3"/>
  <c r="F68" i="3"/>
  <c r="AT233" i="3"/>
  <c r="AU233" i="3" s="1"/>
  <c r="AT171" i="3"/>
  <c r="AU171" i="3" s="1"/>
  <c r="AO100" i="3"/>
  <c r="AT84" i="3"/>
  <c r="AU84" i="3" s="1"/>
  <c r="AW84" i="3" s="1"/>
  <c r="AT75" i="3"/>
  <c r="AU75" i="3" s="1"/>
  <c r="F65" i="3"/>
  <c r="G106" i="3"/>
  <c r="H106" i="3"/>
  <c r="AT66" i="3"/>
  <c r="AU66" i="3" s="1"/>
  <c r="AO236" i="3"/>
  <c r="AO214" i="3"/>
  <c r="AT206" i="3"/>
  <c r="AU206" i="3" s="1"/>
  <c r="AO189" i="3"/>
  <c r="AT183" i="3"/>
  <c r="AU183" i="3" s="1"/>
  <c r="AT144" i="3"/>
  <c r="AU144" i="3" s="1"/>
  <c r="AT136" i="3"/>
  <c r="AU136" i="3" s="1"/>
  <c r="AW136" i="3" s="1"/>
  <c r="AT135" i="3"/>
  <c r="AU135" i="3" s="1"/>
  <c r="AW135" i="3" s="1"/>
  <c r="AO135" i="3"/>
  <c r="AT94" i="3"/>
  <c r="AU94" i="3" s="1"/>
  <c r="AT86" i="3"/>
  <c r="AU86" i="3" s="1"/>
  <c r="AW86" i="3" s="1"/>
  <c r="AO91" i="3"/>
  <c r="AT76" i="3"/>
  <c r="AU76" i="3" s="1"/>
  <c r="H256" i="3" l="1"/>
  <c r="G117" i="3"/>
  <c r="G85" i="3"/>
  <c r="X117" i="3"/>
  <c r="Z117" i="3" s="1"/>
  <c r="G66" i="3"/>
  <c r="G193" i="3"/>
  <c r="H83" i="3"/>
  <c r="X168" i="3"/>
  <c r="Z168" i="3" s="1"/>
  <c r="X247" i="3"/>
  <c r="Z247" i="3" s="1"/>
  <c r="X209" i="3"/>
  <c r="Z209" i="3" s="1"/>
  <c r="X77" i="3"/>
  <c r="Z77" i="3" s="1"/>
  <c r="G126" i="3"/>
  <c r="X142" i="3"/>
  <c r="Y142" i="3" s="1"/>
  <c r="B32" i="2"/>
  <c r="C32" i="2" s="1"/>
  <c r="G133" i="3"/>
  <c r="H179" i="3"/>
  <c r="G235" i="3"/>
  <c r="H77" i="3"/>
  <c r="G115" i="3"/>
  <c r="H234" i="3"/>
  <c r="H143" i="3"/>
  <c r="G190" i="3"/>
  <c r="G142" i="3"/>
  <c r="H196" i="3"/>
  <c r="G263" i="3"/>
  <c r="G162" i="3"/>
  <c r="H150" i="3"/>
  <c r="G92" i="3"/>
  <c r="H224" i="3"/>
  <c r="G166" i="3"/>
  <c r="H94" i="3"/>
  <c r="G240" i="3"/>
  <c r="G113" i="3"/>
  <c r="G251" i="3"/>
  <c r="G237" i="3"/>
  <c r="G80" i="3"/>
  <c r="G245" i="3"/>
  <c r="H169" i="3"/>
  <c r="X240" i="3"/>
  <c r="Y240" i="3" s="1"/>
  <c r="G71" i="3"/>
  <c r="H241" i="3"/>
  <c r="X150" i="3"/>
  <c r="Y150" i="3" s="1"/>
  <c r="G247" i="3"/>
  <c r="H67" i="3"/>
  <c r="G93" i="3"/>
  <c r="H191" i="3"/>
  <c r="G79" i="3"/>
  <c r="G198" i="3"/>
  <c r="H130" i="3"/>
  <c r="G220" i="3"/>
  <c r="G199" i="3"/>
  <c r="H127" i="3"/>
  <c r="G118" i="3"/>
  <c r="H149" i="3"/>
  <c r="G120" i="3"/>
  <c r="N203" i="3"/>
  <c r="O203" i="3" s="1"/>
  <c r="P203" i="3" s="1"/>
  <c r="X203" i="3" s="1"/>
  <c r="Y203" i="3" s="1"/>
  <c r="H104" i="3"/>
  <c r="G121" i="3"/>
  <c r="H229" i="3"/>
  <c r="H180" i="3"/>
  <c r="X85" i="3"/>
  <c r="Y85" i="3" s="1"/>
  <c r="X199" i="3"/>
  <c r="Y199" i="3" s="1"/>
  <c r="X191" i="3"/>
  <c r="Y191" i="3" s="1"/>
  <c r="X235" i="3"/>
  <c r="Y235" i="3" s="1"/>
  <c r="H209" i="3"/>
  <c r="G173" i="3"/>
  <c r="X92" i="3"/>
  <c r="Y92" i="3" s="1"/>
  <c r="X264" i="3"/>
  <c r="Y264" i="3" s="1"/>
  <c r="X241" i="3"/>
  <c r="Z241" i="3" s="1"/>
  <c r="X169" i="3"/>
  <c r="Y169" i="3" s="1"/>
  <c r="G264" i="3"/>
  <c r="X261" i="3"/>
  <c r="Y261" i="3" s="1"/>
  <c r="H69" i="3"/>
  <c r="X80" i="3"/>
  <c r="Y80" i="3" s="1"/>
  <c r="X71" i="3"/>
  <c r="Y71" i="3" s="1"/>
  <c r="X196" i="3"/>
  <c r="Y196" i="3" s="1"/>
  <c r="X215" i="3"/>
  <c r="Z215" i="3" s="1"/>
  <c r="X78" i="3"/>
  <c r="Z78" i="3" s="1"/>
  <c r="G124" i="3"/>
  <c r="G194" i="3"/>
  <c r="G170" i="3"/>
  <c r="G168" i="3"/>
  <c r="X101" i="3"/>
  <c r="Y101" i="3" s="1"/>
  <c r="X69" i="3"/>
  <c r="Y69" i="3" s="1"/>
  <c r="X95" i="3"/>
  <c r="Z95" i="3" s="1"/>
  <c r="X103" i="3"/>
  <c r="Y103" i="3" s="1"/>
  <c r="X165" i="3"/>
  <c r="Z165" i="3" s="1"/>
  <c r="H134" i="3"/>
  <c r="G98" i="3"/>
  <c r="X198" i="3"/>
  <c r="Z198" i="3" s="1"/>
  <c r="B41" i="2"/>
  <c r="C41" i="2" s="1"/>
  <c r="G226" i="3"/>
  <c r="G95" i="3"/>
  <c r="G75" i="3"/>
  <c r="H81" i="3"/>
  <c r="X226" i="3"/>
  <c r="Z226" i="3" s="1"/>
  <c r="G116" i="3"/>
  <c r="G232" i="3"/>
  <c r="H132" i="3"/>
  <c r="H103" i="3"/>
  <c r="H136" i="3"/>
  <c r="G146" i="3"/>
  <c r="G141" i="3"/>
  <c r="H78" i="3"/>
  <c r="X75" i="3"/>
  <c r="Z75" i="3" s="1"/>
  <c r="G261" i="3"/>
  <c r="X229" i="3"/>
  <c r="Z229" i="3" s="1"/>
  <c r="X130" i="3"/>
  <c r="Z130" i="3" s="1"/>
  <c r="X232" i="3"/>
  <c r="Z232" i="3" s="1"/>
  <c r="G187" i="3"/>
  <c r="X104" i="3"/>
  <c r="Z104" i="3" s="1"/>
  <c r="X146" i="3"/>
  <c r="Y146" i="3" s="1"/>
  <c r="X133" i="3"/>
  <c r="Z133" i="3" s="1"/>
  <c r="H244" i="3"/>
  <c r="H215" i="3"/>
  <c r="G84" i="3"/>
  <c r="G122" i="3"/>
  <c r="H253" i="3"/>
  <c r="G184" i="3"/>
  <c r="X122" i="3"/>
  <c r="Y122" i="3" s="1"/>
  <c r="H165" i="3"/>
  <c r="H101" i="3"/>
  <c r="H216" i="3"/>
  <c r="G125" i="3"/>
  <c r="X187" i="3"/>
  <c r="Z187" i="3" s="1"/>
  <c r="X125" i="3"/>
  <c r="Z125" i="3" s="1"/>
  <c r="G123" i="3"/>
  <c r="H203" i="3"/>
  <c r="N263" i="3"/>
  <c r="O263" i="3" s="1"/>
  <c r="P263" i="3" s="1"/>
  <c r="X263" i="3" s="1"/>
  <c r="Z263" i="3" s="1"/>
  <c r="B25" i="2"/>
  <c r="C25" i="2" s="1"/>
  <c r="B15" i="2"/>
  <c r="C15" i="2" s="1"/>
  <c r="B17" i="2"/>
  <c r="C17" i="2" s="1"/>
  <c r="B31" i="2"/>
  <c r="C31" i="2" s="1"/>
  <c r="B19" i="2"/>
  <c r="C19" i="2" s="1"/>
  <c r="T99" i="3"/>
  <c r="U99" i="3" s="1"/>
  <c r="V99" i="3" s="1"/>
  <c r="AB99" i="3" s="1"/>
  <c r="AD99" i="3" s="1"/>
  <c r="B21" i="2"/>
  <c r="C21" i="2" s="1"/>
  <c r="B40" i="2"/>
  <c r="C40" i="2" s="1"/>
  <c r="B34" i="2"/>
  <c r="C34" i="2" s="1"/>
  <c r="B14" i="2"/>
  <c r="C14" i="2" s="1"/>
  <c r="B36" i="2"/>
  <c r="C36" i="2" s="1"/>
  <c r="B28" i="2"/>
  <c r="C28" i="2" s="1"/>
  <c r="Q69" i="2"/>
  <c r="B27" i="2"/>
  <c r="C27" i="2" s="1"/>
  <c r="B22" i="2"/>
  <c r="C22" i="2" s="1"/>
  <c r="B29" i="2"/>
  <c r="C29" i="2" s="1"/>
  <c r="T117" i="3"/>
  <c r="U117" i="3" s="1"/>
  <c r="V117" i="3" s="1"/>
  <c r="AB117" i="3" s="1"/>
  <c r="B26" i="2"/>
  <c r="C26" i="2" s="1"/>
  <c r="B95" i="1"/>
  <c r="B41" i="1" s="1"/>
  <c r="N66" i="3"/>
  <c r="O66" i="3" s="1"/>
  <c r="P66" i="3" s="1"/>
  <c r="X66" i="3" s="1"/>
  <c r="Y66" i="3" s="1"/>
  <c r="B23" i="2"/>
  <c r="C23" i="2" s="1"/>
  <c r="T232" i="3"/>
  <c r="U232" i="3" s="1"/>
  <c r="V232" i="3" s="1"/>
  <c r="AB232" i="3" s="1"/>
  <c r="AD232" i="3" s="1"/>
  <c r="B30" i="2"/>
  <c r="C30" i="2" s="1"/>
  <c r="T214" i="3"/>
  <c r="U214" i="3" s="1"/>
  <c r="V214" i="3" s="1"/>
  <c r="AB214" i="3" s="1"/>
  <c r="AC214" i="3" s="1"/>
  <c r="N162" i="3"/>
  <c r="O162" i="3" s="1"/>
  <c r="P162" i="3" s="1"/>
  <c r="X162" i="3" s="1"/>
  <c r="AF162" i="3" s="1"/>
  <c r="N256" i="3"/>
  <c r="O256" i="3" s="1"/>
  <c r="P256" i="3" s="1"/>
  <c r="X256" i="3" s="1"/>
  <c r="Y256" i="3" s="1"/>
  <c r="T109" i="3"/>
  <c r="U109" i="3" s="1"/>
  <c r="V109" i="3" s="1"/>
  <c r="AB109" i="3" s="1"/>
  <c r="AC109" i="3" s="1"/>
  <c r="B38" i="2"/>
  <c r="C38" i="2" s="1"/>
  <c r="B37" i="2"/>
  <c r="C37" i="2" s="1"/>
  <c r="Q70" i="2"/>
  <c r="Q71" i="2"/>
  <c r="B35" i="2"/>
  <c r="C35" i="2" s="1"/>
  <c r="B16" i="2"/>
  <c r="C16" i="2" s="1"/>
  <c r="B20" i="2"/>
  <c r="C20" i="2" s="1"/>
  <c r="B24" i="2"/>
  <c r="C24" i="2" s="1"/>
  <c r="B18" i="2"/>
  <c r="C18" i="2" s="1"/>
  <c r="B33" i="2"/>
  <c r="C33" i="2" s="1"/>
  <c r="Q68" i="2"/>
  <c r="B39" i="2"/>
  <c r="C39" i="2" s="1"/>
  <c r="N179" i="3"/>
  <c r="O179" i="3" s="1"/>
  <c r="P179" i="3" s="1"/>
  <c r="X179" i="3" s="1"/>
  <c r="Y179" i="3" s="1"/>
  <c r="N202" i="3"/>
  <c r="O202" i="3" s="1"/>
  <c r="P202" i="3" s="1"/>
  <c r="X202" i="3" s="1"/>
  <c r="AF202" i="3" s="1"/>
  <c r="T122" i="3"/>
  <c r="U122" i="3" s="1"/>
  <c r="V122" i="3" s="1"/>
  <c r="AB122" i="3" s="1"/>
  <c r="AC122" i="3" s="1"/>
  <c r="N248" i="3"/>
  <c r="O248" i="3" s="1"/>
  <c r="P248" i="3" s="1"/>
  <c r="X248" i="3" s="1"/>
  <c r="Z248" i="3" s="1"/>
  <c r="N110" i="3"/>
  <c r="O110" i="3" s="1"/>
  <c r="P110" i="3" s="1"/>
  <c r="X110" i="3" s="1"/>
  <c r="Y110" i="3" s="1"/>
  <c r="T74" i="3"/>
  <c r="U74" i="3" s="1"/>
  <c r="V74" i="3" s="1"/>
  <c r="AB74" i="3" s="1"/>
  <c r="AC74" i="3" s="1"/>
  <c r="T182" i="3"/>
  <c r="U182" i="3" s="1"/>
  <c r="V182" i="3" s="1"/>
  <c r="AB182" i="3" s="1"/>
  <c r="AC182" i="3" s="1"/>
  <c r="N237" i="3"/>
  <c r="O237" i="3" s="1"/>
  <c r="P237" i="3" s="1"/>
  <c r="X237" i="3" s="1"/>
  <c r="AF237" i="3" s="1"/>
  <c r="T65" i="3"/>
  <c r="U65" i="3" s="1"/>
  <c r="V65" i="3" s="1"/>
  <c r="AB65" i="3" s="1"/>
  <c r="AD65" i="3" s="1"/>
  <c r="N79" i="3"/>
  <c r="O79" i="3" s="1"/>
  <c r="P79" i="3" s="1"/>
  <c r="X79" i="3" s="1"/>
  <c r="AF79" i="3" s="1"/>
  <c r="N141" i="3"/>
  <c r="O141" i="3" s="1"/>
  <c r="P141" i="3" s="1"/>
  <c r="X141" i="3" s="1"/>
  <c r="AF141" i="3" s="1"/>
  <c r="T135" i="3"/>
  <c r="U135" i="3" s="1"/>
  <c r="V135" i="3" s="1"/>
  <c r="AB135" i="3" s="1"/>
  <c r="AC135" i="3" s="1"/>
  <c r="T78" i="3"/>
  <c r="U78" i="3" s="1"/>
  <c r="V78" i="3" s="1"/>
  <c r="AB78" i="3" s="1"/>
  <c r="T82" i="3"/>
  <c r="U82" i="3" s="1"/>
  <c r="V82" i="3" s="1"/>
  <c r="AB82" i="3" s="1"/>
  <c r="AD82" i="3" s="1"/>
  <c r="N207" i="3"/>
  <c r="O207" i="3" s="1"/>
  <c r="P207" i="3" s="1"/>
  <c r="X207" i="3" s="1"/>
  <c r="Y207" i="3" s="1"/>
  <c r="T148" i="3"/>
  <c r="U148" i="3" s="1"/>
  <c r="V148" i="3" s="1"/>
  <c r="AB148" i="3" s="1"/>
  <c r="AD148" i="3" s="1"/>
  <c r="T102" i="3"/>
  <c r="U102" i="3" s="1"/>
  <c r="V102" i="3" s="1"/>
  <c r="AB102" i="3" s="1"/>
  <c r="AC102" i="3" s="1"/>
  <c r="T247" i="3"/>
  <c r="U247" i="3" s="1"/>
  <c r="V247" i="3" s="1"/>
  <c r="AB247" i="3" s="1"/>
  <c r="N73" i="3"/>
  <c r="O73" i="3" s="1"/>
  <c r="P73" i="3" s="1"/>
  <c r="X73" i="3" s="1"/>
  <c r="Z73" i="3" s="1"/>
  <c r="T136" i="3"/>
  <c r="U136" i="3" s="1"/>
  <c r="V136" i="3" s="1"/>
  <c r="AB136" i="3" s="1"/>
  <c r="AD136" i="3" s="1"/>
  <c r="T168" i="3"/>
  <c r="U168" i="3" s="1"/>
  <c r="V168" i="3" s="1"/>
  <c r="AB168" i="3" s="1"/>
  <c r="AC168" i="3" s="1"/>
  <c r="T158" i="3"/>
  <c r="U158" i="3" s="1"/>
  <c r="V158" i="3" s="1"/>
  <c r="AB158" i="3" s="1"/>
  <c r="AD158" i="3" s="1"/>
  <c r="T191" i="3"/>
  <c r="U191" i="3" s="1"/>
  <c r="V191" i="3" s="1"/>
  <c r="AB191" i="3" s="1"/>
  <c r="AC191" i="3" s="1"/>
  <c r="N238" i="3"/>
  <c r="O238" i="3" s="1"/>
  <c r="P238" i="3" s="1"/>
  <c r="X238" i="3" s="1"/>
  <c r="Z238" i="3" s="1"/>
  <c r="N177" i="3"/>
  <c r="O177" i="3" s="1"/>
  <c r="P177" i="3" s="1"/>
  <c r="X177" i="3" s="1"/>
  <c r="AF177" i="3" s="1"/>
  <c r="T77" i="3"/>
  <c r="U77" i="3" s="1"/>
  <c r="V77" i="3" s="1"/>
  <c r="AB77" i="3" s="1"/>
  <c r="AC77" i="3" s="1"/>
  <c r="N260" i="3"/>
  <c r="O260" i="3" s="1"/>
  <c r="P260" i="3" s="1"/>
  <c r="X260" i="3" s="1"/>
  <c r="N192" i="3"/>
  <c r="O192" i="3" s="1"/>
  <c r="P192" i="3" s="1"/>
  <c r="X192" i="3" s="1"/>
  <c r="Y192" i="3" s="1"/>
  <c r="N225" i="3"/>
  <c r="O225" i="3" s="1"/>
  <c r="P225" i="3" s="1"/>
  <c r="X225" i="3" s="1"/>
  <c r="N174" i="3"/>
  <c r="O174" i="3" s="1"/>
  <c r="P174" i="3" s="1"/>
  <c r="X174" i="3" s="1"/>
  <c r="Y174" i="3" s="1"/>
  <c r="N204" i="3"/>
  <c r="O204" i="3" s="1"/>
  <c r="P204" i="3" s="1"/>
  <c r="X204" i="3" s="1"/>
  <c r="Z204" i="3" s="1"/>
  <c r="N138" i="3"/>
  <c r="O138" i="3" s="1"/>
  <c r="P138" i="3" s="1"/>
  <c r="X138" i="3" s="1"/>
  <c r="T152" i="3"/>
  <c r="U152" i="3" s="1"/>
  <c r="V152" i="3" s="1"/>
  <c r="AB152" i="3" s="1"/>
  <c r="AD152" i="3" s="1"/>
  <c r="N151" i="3"/>
  <c r="O151" i="3" s="1"/>
  <c r="P151" i="3" s="1"/>
  <c r="X151" i="3" s="1"/>
  <c r="AF151" i="3" s="1"/>
  <c r="N126" i="3"/>
  <c r="O126" i="3" s="1"/>
  <c r="P126" i="3" s="1"/>
  <c r="X126" i="3" s="1"/>
  <c r="AF126" i="3" s="1"/>
  <c r="N163" i="3"/>
  <c r="O163" i="3" s="1"/>
  <c r="P163" i="3" s="1"/>
  <c r="X163" i="3" s="1"/>
  <c r="Y163" i="3" s="1"/>
  <c r="T71" i="3"/>
  <c r="U71" i="3" s="1"/>
  <c r="V71" i="3" s="1"/>
  <c r="AB71" i="3" s="1"/>
  <c r="T195" i="3"/>
  <c r="U195" i="3" s="1"/>
  <c r="V195" i="3" s="1"/>
  <c r="AB195" i="3" s="1"/>
  <c r="AD195" i="3" s="1"/>
  <c r="N90" i="3"/>
  <c r="O90" i="3" s="1"/>
  <c r="P90" i="3" s="1"/>
  <c r="X90" i="3" s="1"/>
  <c r="N132" i="3"/>
  <c r="O132" i="3" s="1"/>
  <c r="P132" i="3" s="1"/>
  <c r="X132" i="3" s="1"/>
  <c r="Z132" i="3" s="1"/>
  <c r="T160" i="3"/>
  <c r="U160" i="3" s="1"/>
  <c r="V160" i="3" s="1"/>
  <c r="AB160" i="3" s="1"/>
  <c r="AD160" i="3" s="1"/>
  <c r="N94" i="3"/>
  <c r="O94" i="3" s="1"/>
  <c r="P94" i="3" s="1"/>
  <c r="X94" i="3" s="1"/>
  <c r="AF94" i="3" s="1"/>
  <c r="T119" i="3"/>
  <c r="U119" i="3" s="1"/>
  <c r="V119" i="3" s="1"/>
  <c r="AB119" i="3" s="1"/>
  <c r="AD119" i="3" s="1"/>
  <c r="T157" i="3"/>
  <c r="U157" i="3" s="1"/>
  <c r="V157" i="3" s="1"/>
  <c r="AB157" i="3" s="1"/>
  <c r="AC157" i="3" s="1"/>
  <c r="N245" i="3"/>
  <c r="O245" i="3" s="1"/>
  <c r="P245" i="3" s="1"/>
  <c r="X245" i="3" s="1"/>
  <c r="AF245" i="3" s="1"/>
  <c r="N154" i="3"/>
  <c r="O154" i="3" s="1"/>
  <c r="P154" i="3" s="1"/>
  <c r="X154" i="3" s="1"/>
  <c r="Z154" i="3" s="1"/>
  <c r="N233" i="3"/>
  <c r="O233" i="3" s="1"/>
  <c r="P233" i="3" s="1"/>
  <c r="X233" i="3" s="1"/>
  <c r="AF233" i="3" s="1"/>
  <c r="N120" i="3"/>
  <c r="O120" i="3" s="1"/>
  <c r="P120" i="3" s="1"/>
  <c r="X120" i="3" s="1"/>
  <c r="Y120" i="3" s="1"/>
  <c r="N83" i="3"/>
  <c r="O83" i="3" s="1"/>
  <c r="P83" i="3" s="1"/>
  <c r="X83" i="3" s="1"/>
  <c r="Y83" i="3" s="1"/>
  <c r="T130" i="3"/>
  <c r="U130" i="3" s="1"/>
  <c r="V130" i="3" s="1"/>
  <c r="AB130" i="3" s="1"/>
  <c r="AC130" i="3" s="1"/>
  <c r="N197" i="3"/>
  <c r="O197" i="3" s="1"/>
  <c r="P197" i="3" s="1"/>
  <c r="X197" i="3" s="1"/>
  <c r="N184" i="3"/>
  <c r="O184" i="3" s="1"/>
  <c r="P184" i="3" s="1"/>
  <c r="X184" i="3" s="1"/>
  <c r="AF184" i="3" s="1"/>
  <c r="T89" i="3"/>
  <c r="U89" i="3" s="1"/>
  <c r="V89" i="3" s="1"/>
  <c r="AB89" i="3" s="1"/>
  <c r="AC89" i="3" s="1"/>
  <c r="T200" i="3"/>
  <c r="U200" i="3" s="1"/>
  <c r="V200" i="3" s="1"/>
  <c r="AB200" i="3" s="1"/>
  <c r="AC200" i="3" s="1"/>
  <c r="T133" i="3"/>
  <c r="U133" i="3" s="1"/>
  <c r="V133" i="3" s="1"/>
  <c r="AB133" i="3" s="1"/>
  <c r="AD133" i="3" s="1"/>
  <c r="N64" i="3"/>
  <c r="O64" i="3" s="1"/>
  <c r="P64" i="3" s="1"/>
  <c r="X64" i="3" s="1"/>
  <c r="Z64" i="3" s="1"/>
  <c r="T206" i="3"/>
  <c r="U206" i="3" s="1"/>
  <c r="V206" i="3" s="1"/>
  <c r="AB206" i="3" s="1"/>
  <c r="AD206" i="3" s="1"/>
  <c r="N91" i="3"/>
  <c r="O91" i="3" s="1"/>
  <c r="P91" i="3" s="1"/>
  <c r="X91" i="3" s="1"/>
  <c r="Z91" i="3" s="1"/>
  <c r="T156" i="3"/>
  <c r="U156" i="3" s="1"/>
  <c r="V156" i="3" s="1"/>
  <c r="AB156" i="3" s="1"/>
  <c r="AC156" i="3" s="1"/>
  <c r="T185" i="3"/>
  <c r="U185" i="3" s="1"/>
  <c r="V185" i="3" s="1"/>
  <c r="AB185" i="3" s="1"/>
  <c r="AC185" i="3" s="1"/>
  <c r="N115" i="3"/>
  <c r="O115" i="3" s="1"/>
  <c r="P115" i="3" s="1"/>
  <c r="X115" i="3" s="1"/>
  <c r="Y115" i="3" s="1"/>
  <c r="T229" i="3"/>
  <c r="U229" i="3" s="1"/>
  <c r="V229" i="3" s="1"/>
  <c r="AB229" i="3" s="1"/>
  <c r="AD229" i="3" s="1"/>
  <c r="N118" i="3"/>
  <c r="O118" i="3" s="1"/>
  <c r="P118" i="3" s="1"/>
  <c r="X118" i="3" s="1"/>
  <c r="Y118" i="3" s="1"/>
  <c r="T255" i="3"/>
  <c r="U255" i="3" s="1"/>
  <c r="V255" i="3" s="1"/>
  <c r="AB255" i="3" s="1"/>
  <c r="AC255" i="3" s="1"/>
  <c r="T144" i="3"/>
  <c r="U144" i="3" s="1"/>
  <c r="V144" i="3" s="1"/>
  <c r="AB144" i="3" s="1"/>
  <c r="AC144" i="3" s="1"/>
  <c r="N76" i="3"/>
  <c r="O76" i="3" s="1"/>
  <c r="P76" i="3" s="1"/>
  <c r="X76" i="3" s="1"/>
  <c r="Y76" i="3" s="1"/>
  <c r="N67" i="3"/>
  <c r="O67" i="3" s="1"/>
  <c r="P67" i="3" s="1"/>
  <c r="X67" i="3" s="1"/>
  <c r="Y67" i="3" s="1"/>
  <c r="T69" i="3"/>
  <c r="U69" i="3" s="1"/>
  <c r="V69" i="3" s="1"/>
  <c r="AB69" i="3" s="1"/>
  <c r="AC69" i="3" s="1"/>
  <c r="T175" i="3"/>
  <c r="U175" i="3" s="1"/>
  <c r="V175" i="3" s="1"/>
  <c r="AB175" i="3" s="1"/>
  <c r="AC175" i="3" s="1"/>
  <c r="T241" i="3"/>
  <c r="U241" i="3" s="1"/>
  <c r="V241" i="3" s="1"/>
  <c r="AB241" i="3" s="1"/>
  <c r="AC241" i="3" s="1"/>
  <c r="T125" i="3"/>
  <c r="U125" i="3" s="1"/>
  <c r="V125" i="3" s="1"/>
  <c r="AB125" i="3" s="1"/>
  <c r="AD125" i="3" s="1"/>
  <c r="N98" i="3"/>
  <c r="O98" i="3" s="1"/>
  <c r="P98" i="3" s="1"/>
  <c r="X98" i="3" s="1"/>
  <c r="Y98" i="3" s="1"/>
  <c r="T246" i="3"/>
  <c r="U246" i="3" s="1"/>
  <c r="V246" i="3" s="1"/>
  <c r="AZ246" i="3" s="1"/>
  <c r="T240" i="3"/>
  <c r="U240" i="3" s="1"/>
  <c r="V240" i="3" s="1"/>
  <c r="AB240" i="3" s="1"/>
  <c r="AC240" i="3" s="1"/>
  <c r="N147" i="3"/>
  <c r="O147" i="3" s="1"/>
  <c r="P147" i="3" s="1"/>
  <c r="X147" i="3" s="1"/>
  <c r="AF147" i="3" s="1"/>
  <c r="AG147" i="3" s="1"/>
  <c r="N254" i="3"/>
  <c r="O254" i="3" s="1"/>
  <c r="P254" i="3" s="1"/>
  <c r="X254" i="3" s="1"/>
  <c r="Z254" i="3" s="1"/>
  <c r="N127" i="3"/>
  <c r="O127" i="3" s="1"/>
  <c r="P127" i="3" s="1"/>
  <c r="X127" i="3" s="1"/>
  <c r="Z127" i="3" s="1"/>
  <c r="N137" i="3"/>
  <c r="O137" i="3" s="1"/>
  <c r="P137" i="3" s="1"/>
  <c r="X137" i="3" s="1"/>
  <c r="Y137" i="3" s="1"/>
  <c r="N149" i="3"/>
  <c r="O149" i="3" s="1"/>
  <c r="P149" i="3" s="1"/>
  <c r="X149" i="3" s="1"/>
  <c r="Z149" i="3" s="1"/>
  <c r="T106" i="3"/>
  <c r="U106" i="3" s="1"/>
  <c r="V106" i="3" s="1"/>
  <c r="AB106" i="3" s="1"/>
  <c r="AD106" i="3" s="1"/>
  <c r="N242" i="3"/>
  <c r="O242" i="3" s="1"/>
  <c r="P242" i="3" s="1"/>
  <c r="X242" i="3" s="1"/>
  <c r="T165" i="3"/>
  <c r="U165" i="3" s="1"/>
  <c r="V165" i="3" s="1"/>
  <c r="AB165" i="3" s="1"/>
  <c r="AC165" i="3" s="1"/>
  <c r="N143" i="3"/>
  <c r="O143" i="3" s="1"/>
  <c r="P143" i="3" s="1"/>
  <c r="X143" i="3" s="1"/>
  <c r="AF143" i="3" s="1"/>
  <c r="T201" i="3"/>
  <c r="U201" i="3" s="1"/>
  <c r="V201" i="3" s="1"/>
  <c r="AB201" i="3" s="1"/>
  <c r="AD201" i="3" s="1"/>
  <c r="N93" i="3"/>
  <c r="O93" i="3" s="1"/>
  <c r="P93" i="3" s="1"/>
  <c r="X93" i="3" s="1"/>
  <c r="Z93" i="3" s="1"/>
  <c r="N249" i="3"/>
  <c r="O249" i="3" s="1"/>
  <c r="P249" i="3" s="1"/>
  <c r="X249" i="3" s="1"/>
  <c r="Y249" i="3" s="1"/>
  <c r="N224" i="3"/>
  <c r="O224" i="3" s="1"/>
  <c r="P224" i="3" s="1"/>
  <c r="X224" i="3" s="1"/>
  <c r="Y224" i="3" s="1"/>
  <c r="T105" i="3"/>
  <c r="U105" i="3" s="1"/>
  <c r="V105" i="3" s="1"/>
  <c r="AB105" i="3" s="1"/>
  <c r="AC105" i="3" s="1"/>
  <c r="N231" i="3"/>
  <c r="O231" i="3" s="1"/>
  <c r="P231" i="3" s="1"/>
  <c r="X231" i="3" s="1"/>
  <c r="Z231" i="3" s="1"/>
  <c r="T222" i="3"/>
  <c r="U222" i="3" s="1"/>
  <c r="V222" i="3" s="1"/>
  <c r="AB222" i="3" s="1"/>
  <c r="AC222" i="3" s="1"/>
  <c r="N116" i="3"/>
  <c r="O116" i="3" s="1"/>
  <c r="P116" i="3" s="1"/>
  <c r="X116" i="3" s="1"/>
  <c r="AF116" i="3" s="1"/>
  <c r="N236" i="3"/>
  <c r="O236" i="3" s="1"/>
  <c r="P236" i="3" s="1"/>
  <c r="X236" i="3" s="1"/>
  <c r="Y236" i="3" s="1"/>
  <c r="N211" i="3"/>
  <c r="O211" i="3" s="1"/>
  <c r="P211" i="3" s="1"/>
  <c r="X211" i="3" s="1"/>
  <c r="Z211" i="3" s="1"/>
  <c r="T209" i="3"/>
  <c r="U209" i="3" s="1"/>
  <c r="V209" i="3" s="1"/>
  <c r="AB209" i="3" s="1"/>
  <c r="AC209" i="3" s="1"/>
  <c r="T103" i="3"/>
  <c r="U103" i="3" s="1"/>
  <c r="V103" i="3" s="1"/>
  <c r="AB103" i="3" s="1"/>
  <c r="T112" i="3"/>
  <c r="U112" i="3" s="1"/>
  <c r="V112" i="3" s="1"/>
  <c r="AB112" i="3" s="1"/>
  <c r="AC112" i="3" s="1"/>
  <c r="N212" i="3"/>
  <c r="O212" i="3" s="1"/>
  <c r="P212" i="3" s="1"/>
  <c r="X212" i="3" s="1"/>
  <c r="Z212" i="3" s="1"/>
  <c r="T215" i="3"/>
  <c r="U215" i="3" s="1"/>
  <c r="V215" i="3" s="1"/>
  <c r="AB215" i="3" s="1"/>
  <c r="AD215" i="3" s="1"/>
  <c r="T139" i="3"/>
  <c r="U139" i="3" s="1"/>
  <c r="V139" i="3" s="1"/>
  <c r="AB139" i="3" s="1"/>
  <c r="AC139" i="3" s="1"/>
  <c r="N243" i="3"/>
  <c r="O243" i="3" s="1"/>
  <c r="P243" i="3" s="1"/>
  <c r="X243" i="3" s="1"/>
  <c r="Z243" i="3" s="1"/>
  <c r="N97" i="3"/>
  <c r="O97" i="3" s="1"/>
  <c r="P97" i="3" s="1"/>
  <c r="X97" i="3" s="1"/>
  <c r="T181" i="3"/>
  <c r="U181" i="3" s="1"/>
  <c r="V181" i="3" s="1"/>
  <c r="AB181" i="3" s="1"/>
  <c r="AD181" i="3" s="1"/>
  <c r="T250" i="3"/>
  <c r="U250" i="3" s="1"/>
  <c r="V250" i="3" s="1"/>
  <c r="AB250" i="3" s="1"/>
  <c r="AD250" i="3" s="1"/>
  <c r="T164" i="3"/>
  <c r="U164" i="3" s="1"/>
  <c r="V164" i="3" s="1"/>
  <c r="AB164" i="3" s="1"/>
  <c r="AD164" i="3" s="1"/>
  <c r="N251" i="3"/>
  <c r="O251" i="3" s="1"/>
  <c r="P251" i="3" s="1"/>
  <c r="X251" i="3" s="1"/>
  <c r="Y251" i="3" s="1"/>
  <c r="N153" i="3"/>
  <c r="O153" i="3" s="1"/>
  <c r="P153" i="3" s="1"/>
  <c r="X153" i="3" s="1"/>
  <c r="Y153" i="3" s="1"/>
  <c r="N244" i="3"/>
  <c r="O244" i="3" s="1"/>
  <c r="P244" i="3" s="1"/>
  <c r="X244" i="3" s="1"/>
  <c r="Z244" i="3" s="1"/>
  <c r="N194" i="3"/>
  <c r="O194" i="3" s="1"/>
  <c r="P194" i="3" s="1"/>
  <c r="X194" i="3" s="1"/>
  <c r="Z194" i="3" s="1"/>
  <c r="N124" i="3"/>
  <c r="O124" i="3" s="1"/>
  <c r="P124" i="3" s="1"/>
  <c r="X124" i="3" s="1"/>
  <c r="Z124" i="3" s="1"/>
  <c r="N111" i="3"/>
  <c r="O111" i="3" s="1"/>
  <c r="P111" i="3" s="1"/>
  <c r="X111" i="3" s="1"/>
  <c r="Y111" i="3" s="1"/>
  <c r="T70" i="3"/>
  <c r="U70" i="3" s="1"/>
  <c r="V70" i="3" s="1"/>
  <c r="AB70" i="3" s="1"/>
  <c r="AD70" i="3" s="1"/>
  <c r="N81" i="3"/>
  <c r="O81" i="3" s="1"/>
  <c r="P81" i="3" s="1"/>
  <c r="X81" i="3" s="1"/>
  <c r="Z81" i="3" s="1"/>
  <c r="N140" i="3"/>
  <c r="O140" i="3" s="1"/>
  <c r="P140" i="3" s="1"/>
  <c r="X140" i="3" s="1"/>
  <c r="Z140" i="3" s="1"/>
  <c r="T68" i="3"/>
  <c r="U68" i="3" s="1"/>
  <c r="V68" i="3" s="1"/>
  <c r="AB68" i="3" s="1"/>
  <c r="AC68" i="3" s="1"/>
  <c r="N176" i="3"/>
  <c r="O176" i="3" s="1"/>
  <c r="P176" i="3" s="1"/>
  <c r="X176" i="3" s="1"/>
  <c r="T235" i="3"/>
  <c r="U235" i="3" s="1"/>
  <c r="V235" i="3" s="1"/>
  <c r="AB235" i="3" s="1"/>
  <c r="AC235" i="3" s="1"/>
  <c r="T146" i="3"/>
  <c r="U146" i="3" s="1"/>
  <c r="V146" i="3" s="1"/>
  <c r="AB146" i="3" s="1"/>
  <c r="AD146" i="3" s="1"/>
  <c r="T259" i="3"/>
  <c r="U259" i="3" s="1"/>
  <c r="V259" i="3" s="1"/>
  <c r="AB259" i="3" s="1"/>
  <c r="AC259" i="3" s="1"/>
  <c r="T129" i="3"/>
  <c r="U129" i="3" s="1"/>
  <c r="V129" i="3" s="1"/>
  <c r="AB129" i="3" s="1"/>
  <c r="AD129" i="3" s="1"/>
  <c r="N161" i="3"/>
  <c r="O161" i="3" s="1"/>
  <c r="P161" i="3" s="1"/>
  <c r="X161" i="3" s="1"/>
  <c r="AF161" i="3" s="1"/>
  <c r="T104" i="3"/>
  <c r="U104" i="3" s="1"/>
  <c r="V104" i="3" s="1"/>
  <c r="AB104" i="3" s="1"/>
  <c r="AC104" i="3" s="1"/>
  <c r="N193" i="3"/>
  <c r="O193" i="3" s="1"/>
  <c r="P193" i="3" s="1"/>
  <c r="X193" i="3" s="1"/>
  <c r="Y193" i="3" s="1"/>
  <c r="N159" i="3"/>
  <c r="O159" i="3" s="1"/>
  <c r="P159" i="3" s="1"/>
  <c r="X159" i="3" s="1"/>
  <c r="Y159" i="3" s="1"/>
  <c r="T239" i="3"/>
  <c r="U239" i="3" s="1"/>
  <c r="V239" i="3" s="1"/>
  <c r="AB239" i="3" s="1"/>
  <c r="AC239" i="3" s="1"/>
  <c r="T219" i="3"/>
  <c r="U219" i="3" s="1"/>
  <c r="V219" i="3" s="1"/>
  <c r="AB219" i="3" s="1"/>
  <c r="AC219" i="3" s="1"/>
  <c r="T100" i="3"/>
  <c r="U100" i="3" s="1"/>
  <c r="V100" i="3" s="1"/>
  <c r="AB100" i="3" s="1"/>
  <c r="AD100" i="3" s="1"/>
  <c r="T196" i="3"/>
  <c r="U196" i="3" s="1"/>
  <c r="V196" i="3" s="1"/>
  <c r="AB196" i="3" s="1"/>
  <c r="AC196" i="3" s="1"/>
  <c r="T258" i="3"/>
  <c r="U258" i="3" s="1"/>
  <c r="V258" i="3" s="1"/>
  <c r="AB258" i="3" s="1"/>
  <c r="AD258" i="3" s="1"/>
  <c r="N121" i="3"/>
  <c r="O121" i="3" s="1"/>
  <c r="P121" i="3" s="1"/>
  <c r="X121" i="3" s="1"/>
  <c r="Z121" i="3" s="1"/>
  <c r="T75" i="3"/>
  <c r="U75" i="3" s="1"/>
  <c r="V75" i="3" s="1"/>
  <c r="AB75" i="3" s="1"/>
  <c r="N178" i="3"/>
  <c r="O178" i="3" s="1"/>
  <c r="P178" i="3" s="1"/>
  <c r="X178" i="3" s="1"/>
  <c r="AF178" i="3" s="1"/>
  <c r="N213" i="3"/>
  <c r="O213" i="3" s="1"/>
  <c r="P213" i="3" s="1"/>
  <c r="X213" i="3" s="1"/>
  <c r="Y213" i="3" s="1"/>
  <c r="N252" i="3"/>
  <c r="O252" i="3" s="1"/>
  <c r="P252" i="3" s="1"/>
  <c r="X252" i="3" s="1"/>
  <c r="Y252" i="3" s="1"/>
  <c r="T187" i="3"/>
  <c r="U187" i="3" s="1"/>
  <c r="V187" i="3" s="1"/>
  <c r="AB187" i="3" s="1"/>
  <c r="AC187" i="3" s="1"/>
  <c r="T72" i="3"/>
  <c r="U72" i="3" s="1"/>
  <c r="V72" i="3" s="1"/>
  <c r="AB72" i="3" s="1"/>
  <c r="AD72" i="3" s="1"/>
  <c r="T217" i="3"/>
  <c r="U217" i="3" s="1"/>
  <c r="V217" i="3" s="1"/>
  <c r="AB217" i="3" s="1"/>
  <c r="AD217" i="3" s="1"/>
  <c r="T150" i="3"/>
  <c r="U150" i="3" s="1"/>
  <c r="V150" i="3" s="1"/>
  <c r="AB150" i="3" s="1"/>
  <c r="AC150" i="3" s="1"/>
  <c r="N220" i="3"/>
  <c r="O220" i="3" s="1"/>
  <c r="P220" i="3" s="1"/>
  <c r="X220" i="3" s="1"/>
  <c r="Y220" i="3" s="1"/>
  <c r="N189" i="3"/>
  <c r="O189" i="3" s="1"/>
  <c r="P189" i="3" s="1"/>
  <c r="X189" i="3" s="1"/>
  <c r="Z189" i="3" s="1"/>
  <c r="T264" i="3"/>
  <c r="U264" i="3" s="1"/>
  <c r="V264" i="3" s="1"/>
  <c r="AB264" i="3" s="1"/>
  <c r="AC264" i="3" s="1"/>
  <c r="T198" i="3"/>
  <c r="U198" i="3" s="1"/>
  <c r="V198" i="3" s="1"/>
  <c r="AB198" i="3" s="1"/>
  <c r="AC198" i="3" s="1"/>
  <c r="T228" i="3"/>
  <c r="U228" i="3" s="1"/>
  <c r="V228" i="3" s="1"/>
  <c r="AB228" i="3" s="1"/>
  <c r="AC228" i="3" s="1"/>
  <c r="AW264" i="3"/>
  <c r="AY264" i="3" s="1"/>
  <c r="T262" i="3"/>
  <c r="U262" i="3" s="1"/>
  <c r="V262" i="3" s="1"/>
  <c r="AB262" i="3" s="1"/>
  <c r="AD262" i="3" s="1"/>
  <c r="T87" i="3"/>
  <c r="U87" i="3" s="1"/>
  <c r="V87" i="3" s="1"/>
  <c r="AB87" i="3" s="1"/>
  <c r="AF87" i="3" s="1"/>
  <c r="T101" i="3"/>
  <c r="U101" i="3" s="1"/>
  <c r="V101" i="3" s="1"/>
  <c r="AB101" i="3" s="1"/>
  <c r="AD101" i="3" s="1"/>
  <c r="N221" i="3"/>
  <c r="O221" i="3" s="1"/>
  <c r="P221" i="3" s="1"/>
  <c r="X221" i="3" s="1"/>
  <c r="N131" i="3"/>
  <c r="O131" i="3" s="1"/>
  <c r="P131" i="3" s="1"/>
  <c r="X131" i="3" s="1"/>
  <c r="Y131" i="3" s="1"/>
  <c r="T80" i="3"/>
  <c r="U80" i="3" s="1"/>
  <c r="V80" i="3" s="1"/>
  <c r="AB80" i="3" s="1"/>
  <c r="AC80" i="3" s="1"/>
  <c r="H158" i="3"/>
  <c r="X253" i="3"/>
  <c r="Z253" i="3" s="1"/>
  <c r="X72" i="3"/>
  <c r="Y72" i="3" s="1"/>
  <c r="X158" i="3"/>
  <c r="Z158" i="3" s="1"/>
  <c r="AW139" i="3"/>
  <c r="T96" i="3"/>
  <c r="U96" i="3" s="1"/>
  <c r="V96" i="3" s="1"/>
  <c r="AB96" i="3" s="1"/>
  <c r="AD96" i="3" s="1"/>
  <c r="N96" i="3"/>
  <c r="O96" i="3" s="1"/>
  <c r="P96" i="3" s="1"/>
  <c r="X96" i="3" s="1"/>
  <c r="T186" i="3"/>
  <c r="U186" i="3" s="1"/>
  <c r="V186" i="3" s="1"/>
  <c r="AB186" i="3" s="1"/>
  <c r="AD186" i="3" s="1"/>
  <c r="T199" i="3"/>
  <c r="U199" i="3" s="1"/>
  <c r="V199" i="3" s="1"/>
  <c r="AB199" i="3" s="1"/>
  <c r="AC199" i="3" s="1"/>
  <c r="T85" i="3"/>
  <c r="U85" i="3" s="1"/>
  <c r="V85" i="3" s="1"/>
  <c r="AB85" i="3" s="1"/>
  <c r="AD85" i="3" s="1"/>
  <c r="N173" i="3"/>
  <c r="O173" i="3" s="1"/>
  <c r="P173" i="3" s="1"/>
  <c r="X173" i="3" s="1"/>
  <c r="Z173" i="3" s="1"/>
  <c r="T142" i="3"/>
  <c r="U142" i="3" s="1"/>
  <c r="V142" i="3" s="1"/>
  <c r="AB142" i="3" s="1"/>
  <c r="AC142" i="3" s="1"/>
  <c r="N218" i="3"/>
  <c r="O218" i="3" s="1"/>
  <c r="P218" i="3" s="1"/>
  <c r="X218" i="3" s="1"/>
  <c r="Y218" i="3" s="1"/>
  <c r="N170" i="3"/>
  <c r="O170" i="3" s="1"/>
  <c r="P170" i="3" s="1"/>
  <c r="X170" i="3" s="1"/>
  <c r="AF170" i="3" s="1"/>
  <c r="T86" i="3"/>
  <c r="U86" i="3" s="1"/>
  <c r="V86" i="3" s="1"/>
  <c r="AB86" i="3" s="1"/>
  <c r="AC86" i="3" s="1"/>
  <c r="N166" i="3"/>
  <c r="O166" i="3" s="1"/>
  <c r="P166" i="3" s="1"/>
  <c r="X166" i="3" s="1"/>
  <c r="AF166" i="3" s="1"/>
  <c r="T226" i="3"/>
  <c r="U226" i="3" s="1"/>
  <c r="V226" i="3" s="1"/>
  <c r="AB226" i="3" s="1"/>
  <c r="AC226" i="3" s="1"/>
  <c r="T188" i="3"/>
  <c r="U188" i="3" s="1"/>
  <c r="V188" i="3" s="1"/>
  <c r="AB188" i="3" s="1"/>
  <c r="AD188" i="3" s="1"/>
  <c r="N128" i="3"/>
  <c r="O128" i="3" s="1"/>
  <c r="P128" i="3" s="1"/>
  <c r="X128" i="3" s="1"/>
  <c r="AF128" i="3" s="1"/>
  <c r="N205" i="3"/>
  <c r="O205" i="3" s="1"/>
  <c r="P205" i="3" s="1"/>
  <c r="X205" i="3" s="1"/>
  <c r="Y205" i="3" s="1"/>
  <c r="T253" i="3"/>
  <c r="U253" i="3" s="1"/>
  <c r="V253" i="3" s="1"/>
  <c r="AB253" i="3" s="1"/>
  <c r="N107" i="3"/>
  <c r="O107" i="3" s="1"/>
  <c r="P107" i="3" s="1"/>
  <c r="X107" i="3" s="1"/>
  <c r="Z107" i="3" s="1"/>
  <c r="N167" i="3"/>
  <c r="O167" i="3" s="1"/>
  <c r="P167" i="3" s="1"/>
  <c r="X167" i="3" s="1"/>
  <c r="Y167" i="3" s="1"/>
  <c r="T230" i="3"/>
  <c r="U230" i="3" s="1"/>
  <c r="V230" i="3" s="1"/>
  <c r="AB230" i="3" s="1"/>
  <c r="AD230" i="3" s="1"/>
  <c r="T183" i="3"/>
  <c r="U183" i="3" s="1"/>
  <c r="V183" i="3" s="1"/>
  <c r="AB183" i="3" s="1"/>
  <c r="AC183" i="3" s="1"/>
  <c r="N134" i="3"/>
  <c r="O134" i="3" s="1"/>
  <c r="P134" i="3" s="1"/>
  <c r="X134" i="3" s="1"/>
  <c r="Z134" i="3" s="1"/>
  <c r="N234" i="3"/>
  <c r="O234" i="3" s="1"/>
  <c r="P234" i="3" s="1"/>
  <c r="X234" i="3" s="1"/>
  <c r="Y234" i="3" s="1"/>
  <c r="T92" i="3"/>
  <c r="U92" i="3" s="1"/>
  <c r="V92" i="3" s="1"/>
  <c r="AB92" i="3" s="1"/>
  <c r="AC92" i="3" s="1"/>
  <c r="N180" i="3"/>
  <c r="O180" i="3" s="1"/>
  <c r="P180" i="3" s="1"/>
  <c r="X180" i="3" s="1"/>
  <c r="Z180" i="3" s="1"/>
  <c r="N88" i="3"/>
  <c r="O88" i="3" s="1"/>
  <c r="P88" i="3" s="1"/>
  <c r="X88" i="3" s="1"/>
  <c r="Y88" i="3" s="1"/>
  <c r="N210" i="3"/>
  <c r="O210" i="3" s="1"/>
  <c r="P210" i="3" s="1"/>
  <c r="X210" i="3" s="1"/>
  <c r="AF210" i="3" s="1"/>
  <c r="T169" i="3"/>
  <c r="U169" i="3" s="1"/>
  <c r="V169" i="3" s="1"/>
  <c r="AB169" i="3" s="1"/>
  <c r="AC169" i="3" s="1"/>
  <c r="N113" i="3"/>
  <c r="O113" i="3" s="1"/>
  <c r="P113" i="3" s="1"/>
  <c r="X113" i="3" s="1"/>
  <c r="Y113" i="3" s="1"/>
  <c r="N216" i="3"/>
  <c r="O216" i="3" s="1"/>
  <c r="P216" i="3" s="1"/>
  <c r="X216" i="3" s="1"/>
  <c r="Z216" i="3" s="1"/>
  <c r="N123" i="3"/>
  <c r="O123" i="3" s="1"/>
  <c r="P123" i="3" s="1"/>
  <c r="X123" i="3" s="1"/>
  <c r="Y123" i="3" s="1"/>
  <c r="N223" i="3"/>
  <c r="O223" i="3" s="1"/>
  <c r="P223" i="3" s="1"/>
  <c r="X223" i="3" s="1"/>
  <c r="Z223" i="3" s="1"/>
  <c r="N155" i="3"/>
  <c r="O155" i="3" s="1"/>
  <c r="P155" i="3" s="1"/>
  <c r="X155" i="3" s="1"/>
  <c r="Y155" i="3" s="1"/>
  <c r="T114" i="3"/>
  <c r="U114" i="3" s="1"/>
  <c r="V114" i="3" s="1"/>
  <c r="AB114" i="3" s="1"/>
  <c r="AD114" i="3" s="1"/>
  <c r="T145" i="3"/>
  <c r="U145" i="3" s="1"/>
  <c r="V145" i="3" s="1"/>
  <c r="AB145" i="3" s="1"/>
  <c r="AC145" i="3" s="1"/>
  <c r="N190" i="3"/>
  <c r="O190" i="3" s="1"/>
  <c r="P190" i="3" s="1"/>
  <c r="X190" i="3" s="1"/>
  <c r="Y190" i="3" s="1"/>
  <c r="N108" i="3"/>
  <c r="O108" i="3" s="1"/>
  <c r="P108" i="3" s="1"/>
  <c r="X108" i="3" s="1"/>
  <c r="AF108" i="3" s="1"/>
  <c r="N227" i="3"/>
  <c r="O227" i="3" s="1"/>
  <c r="P227" i="3" s="1"/>
  <c r="X227" i="3" s="1"/>
  <c r="AF227" i="3" s="1"/>
  <c r="N84" i="3"/>
  <c r="O84" i="3" s="1"/>
  <c r="P84" i="3" s="1"/>
  <c r="X84" i="3" s="1"/>
  <c r="Y84" i="3" s="1"/>
  <c r="T257" i="3"/>
  <c r="U257" i="3" s="1"/>
  <c r="V257" i="3" s="1"/>
  <c r="AB257" i="3" s="1"/>
  <c r="AC257" i="3" s="1"/>
  <c r="N172" i="3"/>
  <c r="O172" i="3" s="1"/>
  <c r="P172" i="3" s="1"/>
  <c r="X172" i="3" s="1"/>
  <c r="AF172" i="3" s="1"/>
  <c r="AW73" i="3"/>
  <c r="AY73" i="3" s="1"/>
  <c r="AW231" i="3"/>
  <c r="AY231" i="3" s="1"/>
  <c r="AW252" i="3"/>
  <c r="AY252" i="3" s="1"/>
  <c r="AW134" i="3"/>
  <c r="AX134" i="3" s="1"/>
  <c r="G171" i="3"/>
  <c r="H207" i="3"/>
  <c r="G192" i="3"/>
  <c r="AW224" i="3"/>
  <c r="AZ224" i="3" s="1"/>
  <c r="AW241" i="3"/>
  <c r="AX241" i="3" s="1"/>
  <c r="F42" i="1"/>
  <c r="F41" i="1" s="1"/>
  <c r="G41" i="1" s="1"/>
  <c r="AW87" i="3"/>
  <c r="AX87" i="3" s="1"/>
  <c r="AW220" i="3"/>
  <c r="AZ220" i="3" s="1"/>
  <c r="AW77" i="3"/>
  <c r="AY77" i="3" s="1"/>
  <c r="AW168" i="3"/>
  <c r="AY168" i="3" s="1"/>
  <c r="AW118" i="3"/>
  <c r="AX118" i="3" s="1"/>
  <c r="AW191" i="3"/>
  <c r="AW150" i="3"/>
  <c r="AY150" i="3" s="1"/>
  <c r="AW94" i="3"/>
  <c r="AX94" i="3" s="1"/>
  <c r="AW251" i="3"/>
  <c r="AZ251" i="3" s="1"/>
  <c r="AW105" i="3"/>
  <c r="AW117" i="3"/>
  <c r="AY117" i="3" s="1"/>
  <c r="AW239" i="3"/>
  <c r="AX239" i="3" s="1"/>
  <c r="AW98" i="3"/>
  <c r="AZ98" i="3" s="1"/>
  <c r="AW173" i="3"/>
  <c r="AY173" i="3" s="1"/>
  <c r="AW229" i="3"/>
  <c r="AW89" i="3"/>
  <c r="AY89" i="3" s="1"/>
  <c r="AW196" i="3"/>
  <c r="AX196" i="3" s="1"/>
  <c r="AW72" i="3"/>
  <c r="AX72" i="3" s="1"/>
  <c r="AW181" i="3"/>
  <c r="AY181" i="3" s="1"/>
  <c r="AW163" i="3"/>
  <c r="AX163" i="3" s="1"/>
  <c r="AW204" i="3"/>
  <c r="AX204" i="3" s="1"/>
  <c r="AW157" i="3"/>
  <c r="AW76" i="3"/>
  <c r="AY76" i="3" s="1"/>
  <c r="AW175" i="3"/>
  <c r="AX175" i="3" s="1"/>
  <c r="AW209" i="3"/>
  <c r="AY209" i="3" s="1"/>
  <c r="AW261" i="3"/>
  <c r="AX261" i="3" s="1"/>
  <c r="AW142" i="3"/>
  <c r="AY142" i="3" s="1"/>
  <c r="AW93" i="3"/>
  <c r="AX93" i="3" s="1"/>
  <c r="AW66" i="3"/>
  <c r="AZ66" i="3" s="1"/>
  <c r="BD66" i="3" s="1"/>
  <c r="AW244" i="3"/>
  <c r="AX244" i="3" s="1"/>
  <c r="AW113" i="3"/>
  <c r="AY113" i="3" s="1"/>
  <c r="AW211" i="3"/>
  <c r="AY211" i="3" s="1"/>
  <c r="AW243" i="3"/>
  <c r="AY243" i="3" s="1"/>
  <c r="AW208" i="3"/>
  <c r="AZ208" i="3" s="1"/>
  <c r="BA208" i="3" s="1"/>
  <c r="AW107" i="3"/>
  <c r="AX107" i="3" s="1"/>
  <c r="AW158" i="3"/>
  <c r="AW174" i="3"/>
  <c r="AY174" i="3" s="1"/>
  <c r="AW171" i="3"/>
  <c r="AX171" i="3" s="1"/>
  <c r="AW141" i="3"/>
  <c r="AX141" i="3" s="1"/>
  <c r="AW165" i="3"/>
  <c r="AY165" i="3" s="1"/>
  <c r="AW221" i="3"/>
  <c r="AX221" i="3" s="1"/>
  <c r="AW91" i="3"/>
  <c r="AX91" i="3" s="1"/>
  <c r="AW260" i="3"/>
  <c r="AY260" i="3" s="1"/>
  <c r="G189" i="3"/>
  <c r="G208" i="3"/>
  <c r="X219" i="3"/>
  <c r="Z219" i="3" s="1"/>
  <c r="AW178" i="3"/>
  <c r="AZ178" i="3" s="1"/>
  <c r="AW256" i="3"/>
  <c r="AX256" i="3" s="1"/>
  <c r="AW185" i="3"/>
  <c r="AX185" i="3" s="1"/>
  <c r="AW122" i="3"/>
  <c r="AX122" i="3" s="1"/>
  <c r="AW112" i="3"/>
  <c r="AY112" i="3" s="1"/>
  <c r="AW182" i="3"/>
  <c r="AY182" i="3" s="1"/>
  <c r="AW218" i="3"/>
  <c r="AX218" i="3" s="1"/>
  <c r="AW198" i="3"/>
  <c r="AY198" i="3" s="1"/>
  <c r="AW189" i="3"/>
  <c r="AX189" i="3" s="1"/>
  <c r="AW202" i="3"/>
  <c r="AY202" i="3" s="1"/>
  <c r="AW172" i="3"/>
  <c r="AX172" i="3" s="1"/>
  <c r="AW179" i="3"/>
  <c r="AY179" i="3" s="1"/>
  <c r="AW114" i="3"/>
  <c r="AX114" i="3" s="1"/>
  <c r="G137" i="3"/>
  <c r="H212" i="3"/>
  <c r="H246" i="3"/>
  <c r="X136" i="3"/>
  <c r="AW262" i="3"/>
  <c r="AX262" i="3" s="1"/>
  <c r="AC248" i="3"/>
  <c r="AX128" i="3"/>
  <c r="AW111" i="3"/>
  <c r="AY111" i="3" s="1"/>
  <c r="AW85" i="3"/>
  <c r="AY216" i="3"/>
  <c r="AW236" i="3"/>
  <c r="AY236" i="3" s="1"/>
  <c r="AW248" i="3"/>
  <c r="AX248" i="3" s="1"/>
  <c r="AW78" i="3"/>
  <c r="AX78" i="3" s="1"/>
  <c r="AW144" i="3"/>
  <c r="AY144" i="3" s="1"/>
  <c r="AW230" i="3"/>
  <c r="AY230" i="3" s="1"/>
  <c r="AW146" i="3"/>
  <c r="AY146" i="3" s="1"/>
  <c r="AW247" i="3"/>
  <c r="AX184" i="3"/>
  <c r="AW70" i="3"/>
  <c r="AY70" i="3" s="1"/>
  <c r="AW234" i="3"/>
  <c r="AY234" i="3" s="1"/>
  <c r="AW126" i="3"/>
  <c r="AY126" i="3" s="1"/>
  <c r="AW79" i="3"/>
  <c r="AZ79" i="3" s="1"/>
  <c r="AW183" i="3"/>
  <c r="AY183" i="3" s="1"/>
  <c r="AW127" i="3"/>
  <c r="AX127" i="3" s="1"/>
  <c r="AY176" i="3"/>
  <c r="AW253" i="3"/>
  <c r="AX253" i="3" s="1"/>
  <c r="X200" i="3"/>
  <c r="Z200" i="3" s="1"/>
  <c r="AC197" i="3"/>
  <c r="AD197" i="3"/>
  <c r="AC245" i="3"/>
  <c r="X246" i="3"/>
  <c r="Y246" i="3" s="1"/>
  <c r="H259" i="3"/>
  <c r="H219" i="3"/>
  <c r="H217" i="3"/>
  <c r="H222" i="3"/>
  <c r="G64" i="3"/>
  <c r="H201" i="3"/>
  <c r="AC171" i="3"/>
  <c r="G152" i="3"/>
  <c r="X222" i="3"/>
  <c r="X160" i="3"/>
  <c r="X201" i="3"/>
  <c r="Y201" i="3" s="1"/>
  <c r="H214" i="3"/>
  <c r="X217" i="3"/>
  <c r="Y217" i="3" s="1"/>
  <c r="Q72" i="2"/>
  <c r="X206" i="3"/>
  <c r="G82" i="3"/>
  <c r="H138" i="3"/>
  <c r="X214" i="3"/>
  <c r="Z214" i="3" s="1"/>
  <c r="H109" i="3"/>
  <c r="AC95" i="3"/>
  <c r="G163" i="3"/>
  <c r="G154" i="3"/>
  <c r="X129" i="3"/>
  <c r="Y129" i="3" s="1"/>
  <c r="X82" i="3"/>
  <c r="Y82" i="3" s="1"/>
  <c r="X152" i="3"/>
  <c r="X259" i="3"/>
  <c r="Y259" i="3" s="1"/>
  <c r="H129" i="3"/>
  <c r="AC184" i="3"/>
  <c r="X186" i="3"/>
  <c r="Y186" i="3" s="1"/>
  <c r="AD98" i="3"/>
  <c r="AD90" i="3"/>
  <c r="AD249" i="3"/>
  <c r="AZ184" i="3"/>
  <c r="BA184" i="3" s="1"/>
  <c r="AD134" i="3"/>
  <c r="AD207" i="3"/>
  <c r="AC207" i="3"/>
  <c r="AX119" i="3"/>
  <c r="AY119" i="3"/>
  <c r="AX246" i="3"/>
  <c r="AY246" i="3"/>
  <c r="AY115" i="3"/>
  <c r="AX115" i="3"/>
  <c r="AX152" i="3"/>
  <c r="AY152" i="3"/>
  <c r="AW95" i="3"/>
  <c r="AC254" i="3"/>
  <c r="G249" i="3"/>
  <c r="G161" i="3"/>
  <c r="H161" i="3"/>
  <c r="AW121" i="3"/>
  <c r="AY121" i="3" s="1"/>
  <c r="AD224" i="3"/>
  <c r="AW210" i="3"/>
  <c r="AX210" i="3" s="1"/>
  <c r="H111" i="3"/>
  <c r="X109" i="3"/>
  <c r="Y109" i="3" s="1"/>
  <c r="AW177" i="3"/>
  <c r="AZ177" i="3" s="1"/>
  <c r="AW187" i="3"/>
  <c r="AW102" i="3"/>
  <c r="AY102" i="3" s="1"/>
  <c r="AW212" i="3"/>
  <c r="AX212" i="3" s="1"/>
  <c r="AW233" i="3"/>
  <c r="AY233" i="3" s="1"/>
  <c r="X145" i="3"/>
  <c r="Z145" i="3" s="1"/>
  <c r="AW227" i="3"/>
  <c r="AX227" i="3" s="1"/>
  <c r="H145" i="3"/>
  <c r="AW194" i="3"/>
  <c r="AY194" i="3" s="1"/>
  <c r="G223" i="3"/>
  <c r="AW64" i="3"/>
  <c r="AZ64" i="3" s="1"/>
  <c r="AD88" i="3"/>
  <c r="AC79" i="3"/>
  <c r="AC180" i="3"/>
  <c r="AD208" i="3"/>
  <c r="AC155" i="3"/>
  <c r="AB216" i="3"/>
  <c r="AZ216" i="3"/>
  <c r="AZ176" i="3"/>
  <c r="BB176" i="3" s="1"/>
  <c r="AC149" i="3"/>
  <c r="AC231" i="3"/>
  <c r="X156" i="3"/>
  <c r="Z156" i="3" s="1"/>
  <c r="H236" i="3"/>
  <c r="H202" i="3"/>
  <c r="AC173" i="3"/>
  <c r="AC153" i="3"/>
  <c r="H238" i="3"/>
  <c r="AD234" i="3"/>
  <c r="G175" i="3"/>
  <c r="AC93" i="3"/>
  <c r="H211" i="3"/>
  <c r="Z262" i="3"/>
  <c r="H186" i="3"/>
  <c r="AC179" i="3"/>
  <c r="Z182" i="3"/>
  <c r="AC243" i="3"/>
  <c r="X171" i="3"/>
  <c r="AF171" i="3" s="1"/>
  <c r="AC263" i="3"/>
  <c r="X228" i="3"/>
  <c r="Y228" i="3" s="1"/>
  <c r="X144" i="3"/>
  <c r="Y144" i="3" s="1"/>
  <c r="X89" i="3"/>
  <c r="Z89" i="3" s="1"/>
  <c r="X175" i="3"/>
  <c r="AD138" i="3"/>
  <c r="AD221" i="3"/>
  <c r="X86" i="3"/>
  <c r="G231" i="3"/>
  <c r="G88" i="3"/>
  <c r="AC190" i="3"/>
  <c r="AC172" i="3"/>
  <c r="X258" i="3"/>
  <c r="AD225" i="3"/>
  <c r="X119" i="3"/>
  <c r="X183" i="3"/>
  <c r="Z181" i="3"/>
  <c r="AC131" i="3"/>
  <c r="X239" i="3"/>
  <c r="Z239" i="3" s="1"/>
  <c r="X99" i="3"/>
  <c r="Z99" i="3" s="1"/>
  <c r="X74" i="3"/>
  <c r="X65" i="3"/>
  <c r="Z65" i="3" s="1"/>
  <c r="X230" i="3"/>
  <c r="Y230" i="3" s="1"/>
  <c r="X148" i="3"/>
  <c r="Z148" i="3" s="1"/>
  <c r="AD127" i="3"/>
  <c r="X208" i="3"/>
  <c r="AC123" i="3"/>
  <c r="AD116" i="3"/>
  <c r="AC116" i="3"/>
  <c r="AD66" i="3"/>
  <c r="AC66" i="3"/>
  <c r="AX201" i="3"/>
  <c r="AY201" i="3"/>
  <c r="AY162" i="3"/>
  <c r="AZ162" i="3"/>
  <c r="AX162" i="3"/>
  <c r="AX100" i="3"/>
  <c r="AY100" i="3"/>
  <c r="AZ138" i="3"/>
  <c r="AY138" i="3"/>
  <c r="AX138" i="3"/>
  <c r="AZ197" i="3"/>
  <c r="AY197" i="3"/>
  <c r="AX197" i="3"/>
  <c r="AC81" i="3"/>
  <c r="AD81" i="3"/>
  <c r="AY257" i="3"/>
  <c r="AX257" i="3"/>
  <c r="AD73" i="3"/>
  <c r="AC73" i="3"/>
  <c r="AX240" i="3"/>
  <c r="AY240" i="3"/>
  <c r="AX116" i="3"/>
  <c r="AY116" i="3"/>
  <c r="AZ116" i="3"/>
  <c r="AC94" i="3"/>
  <c r="AD94" i="3"/>
  <c r="Z188" i="3"/>
  <c r="Y188" i="3"/>
  <c r="AY190" i="3"/>
  <c r="AZ190" i="3"/>
  <c r="AX190" i="3"/>
  <c r="AD163" i="3"/>
  <c r="AC163" i="3"/>
  <c r="AX145" i="3"/>
  <c r="AY145" i="3"/>
  <c r="AY199" i="3"/>
  <c r="AX199" i="3"/>
  <c r="AC97" i="3"/>
  <c r="AD97" i="3"/>
  <c r="AD67" i="3"/>
  <c r="AC67" i="3"/>
  <c r="AY125" i="3"/>
  <c r="AX125" i="3"/>
  <c r="AC204" i="3"/>
  <c r="AD204" i="3"/>
  <c r="AX104" i="3"/>
  <c r="AY104" i="3"/>
  <c r="AZ154" i="3"/>
  <c r="AY154" i="3"/>
  <c r="AX154" i="3"/>
  <c r="AY160" i="3"/>
  <c r="AX160" i="3"/>
  <c r="AZ140" i="3"/>
  <c r="AY140" i="3"/>
  <c r="AX140" i="3"/>
  <c r="AX103" i="3"/>
  <c r="AY103" i="3"/>
  <c r="AX81" i="3"/>
  <c r="AZ81" i="3"/>
  <c r="AY81" i="3"/>
  <c r="AZ132" i="3"/>
  <c r="AX132" i="3"/>
  <c r="AY132" i="3"/>
  <c r="AX99" i="3"/>
  <c r="AY99" i="3"/>
  <c r="Z135" i="3"/>
  <c r="Y135" i="3"/>
  <c r="AY255" i="3"/>
  <c r="AX255" i="3"/>
  <c r="AX169" i="3"/>
  <c r="AY169" i="3"/>
  <c r="AD111" i="3"/>
  <c r="AC111" i="3"/>
  <c r="AY217" i="3"/>
  <c r="AX217" i="3"/>
  <c r="AZ124" i="3"/>
  <c r="AX124" i="3"/>
  <c r="AY124" i="3"/>
  <c r="AX139" i="3"/>
  <c r="AY139" i="3"/>
  <c r="AY166" i="3"/>
  <c r="AX166" i="3"/>
  <c r="AZ166" i="3"/>
  <c r="AY245" i="3"/>
  <c r="AX245" i="3"/>
  <c r="AZ245" i="3"/>
  <c r="AX214" i="3"/>
  <c r="AY214" i="3"/>
  <c r="AX161" i="3"/>
  <c r="AY161" i="3"/>
  <c r="AZ161" i="3"/>
  <c r="AX130" i="3"/>
  <c r="AY130" i="3"/>
  <c r="AX155" i="3"/>
  <c r="AY155" i="3"/>
  <c r="AZ155" i="3"/>
  <c r="AY148" i="3"/>
  <c r="AX148" i="3"/>
  <c r="AX186" i="3"/>
  <c r="AY186" i="3"/>
  <c r="AX86" i="3"/>
  <c r="AY86" i="3"/>
  <c r="AX82" i="3"/>
  <c r="AY82" i="3"/>
  <c r="AC170" i="3"/>
  <c r="AD170" i="3"/>
  <c r="AZ84" i="3"/>
  <c r="AX84" i="3"/>
  <c r="AY84" i="3"/>
  <c r="AZ242" i="3"/>
  <c r="AX242" i="3"/>
  <c r="AY242" i="3"/>
  <c r="AZ88" i="3"/>
  <c r="AX88" i="3"/>
  <c r="AY88" i="3"/>
  <c r="AB115" i="3"/>
  <c r="AZ115" i="3"/>
  <c r="AY195" i="3"/>
  <c r="AX195" i="3"/>
  <c r="AY193" i="3"/>
  <c r="AX193" i="3"/>
  <c r="AZ193" i="3"/>
  <c r="AX97" i="3"/>
  <c r="AZ97" i="3"/>
  <c r="AY97" i="3"/>
  <c r="AX223" i="3"/>
  <c r="AY223" i="3"/>
  <c r="AZ223" i="3"/>
  <c r="AD233" i="3"/>
  <c r="AC233" i="3"/>
  <c r="AY108" i="3"/>
  <c r="AZ108" i="3"/>
  <c r="AX108" i="3"/>
  <c r="AC121" i="3"/>
  <c r="AD121" i="3"/>
  <c r="AC194" i="3"/>
  <c r="AD194" i="3"/>
  <c r="AD124" i="3"/>
  <c r="AC124" i="3"/>
  <c r="AX135" i="3"/>
  <c r="AY135" i="3"/>
  <c r="AC213" i="3"/>
  <c r="AD213" i="3"/>
  <c r="AB64" i="3"/>
  <c r="AY136" i="3"/>
  <c r="AX136" i="3"/>
  <c r="AY65" i="3"/>
  <c r="AX65" i="3"/>
  <c r="AC140" i="3"/>
  <c r="AD140" i="3"/>
  <c r="AD244" i="3"/>
  <c r="AC244" i="3"/>
  <c r="AY215" i="3"/>
  <c r="AX215" i="3"/>
  <c r="AX250" i="3"/>
  <c r="AY250" i="3"/>
  <c r="AX71" i="3"/>
  <c r="AY71" i="3"/>
  <c r="AZ213" i="3"/>
  <c r="AY213" i="3"/>
  <c r="AX213" i="3"/>
  <c r="AY222" i="3"/>
  <c r="AX222" i="3"/>
  <c r="AC76" i="3"/>
  <c r="AD76" i="3"/>
  <c r="AZ238" i="3"/>
  <c r="AY238" i="3"/>
  <c r="AX238" i="3"/>
  <c r="AB218" i="3"/>
  <c r="AD167" i="3"/>
  <c r="AC167" i="3"/>
  <c r="AX101" i="3"/>
  <c r="AY101" i="3"/>
  <c r="AX96" i="3"/>
  <c r="AY96" i="3"/>
  <c r="AX137" i="3"/>
  <c r="AY137" i="3"/>
  <c r="AZ137" i="3"/>
  <c r="AY200" i="3"/>
  <c r="AX200" i="3"/>
  <c r="AY68" i="3"/>
  <c r="AX68" i="3"/>
  <c r="AX170" i="3"/>
  <c r="AZ170" i="3"/>
  <c r="AY170" i="3"/>
  <c r="AZ90" i="3"/>
  <c r="AX90" i="3"/>
  <c r="AY90" i="3"/>
  <c r="AY123" i="3"/>
  <c r="AX123" i="3"/>
  <c r="AZ123" i="3"/>
  <c r="AZ207" i="3"/>
  <c r="AY207" i="3"/>
  <c r="AX207" i="3"/>
  <c r="AZ249" i="3"/>
  <c r="AY249" i="3"/>
  <c r="AX249" i="3"/>
  <c r="AZ263" i="3"/>
  <c r="AY263" i="3"/>
  <c r="AX263" i="3"/>
  <c r="H65" i="3"/>
  <c r="G65" i="3"/>
  <c r="G102" i="3"/>
  <c r="H102" i="3"/>
  <c r="Y100" i="3"/>
  <c r="Z100" i="3"/>
  <c r="G97" i="3"/>
  <c r="H97" i="3"/>
  <c r="G177" i="3"/>
  <c r="H177" i="3"/>
  <c r="AZ67" i="3"/>
  <c r="AY67" i="3"/>
  <c r="AX67" i="3"/>
  <c r="AX153" i="3"/>
  <c r="AY153" i="3"/>
  <c r="AZ153" i="3"/>
  <c r="Z250" i="3"/>
  <c r="Y250" i="3"/>
  <c r="X102" i="3"/>
  <c r="G176" i="3"/>
  <c r="H176" i="3"/>
  <c r="H72" i="3"/>
  <c r="G72" i="3"/>
  <c r="AW254" i="3"/>
  <c r="AD137" i="3"/>
  <c r="AC137" i="3"/>
  <c r="AD238" i="3"/>
  <c r="AC238" i="3"/>
  <c r="AX159" i="3"/>
  <c r="AY159" i="3"/>
  <c r="AZ159" i="3"/>
  <c r="AY110" i="3"/>
  <c r="AZ110" i="3"/>
  <c r="AX110" i="3"/>
  <c r="X185" i="3"/>
  <c r="AC178" i="3"/>
  <c r="AD178" i="3"/>
  <c r="AW156" i="3"/>
  <c r="AD120" i="3"/>
  <c r="AC120" i="3"/>
  <c r="G157" i="3"/>
  <c r="H157" i="3"/>
  <c r="X157" i="3"/>
  <c r="AX92" i="3"/>
  <c r="AY92" i="3"/>
  <c r="H197" i="3"/>
  <c r="G197" i="3"/>
  <c r="AW226" i="3"/>
  <c r="H112" i="3"/>
  <c r="G112" i="3"/>
  <c r="AC91" i="3"/>
  <c r="AD91" i="3"/>
  <c r="G91" i="3"/>
  <c r="H91" i="3"/>
  <c r="AW206" i="3"/>
  <c r="Z87" i="3"/>
  <c r="Y87" i="3"/>
  <c r="X105" i="3"/>
  <c r="AC202" i="3"/>
  <c r="AD202" i="3"/>
  <c r="AW74" i="3"/>
  <c r="H213" i="3"/>
  <c r="G213" i="3"/>
  <c r="AW69" i="3"/>
  <c r="G96" i="3"/>
  <c r="H96" i="3"/>
  <c r="AD260" i="3"/>
  <c r="AC260" i="3"/>
  <c r="H156" i="3"/>
  <c r="G156" i="3"/>
  <c r="Y77" i="3"/>
  <c r="H110" i="3"/>
  <c r="G110" i="3"/>
  <c r="AD147" i="3"/>
  <c r="AC147" i="3"/>
  <c r="AD193" i="3"/>
  <c r="AC193" i="3"/>
  <c r="AD210" i="3"/>
  <c r="AC210" i="3"/>
  <c r="G153" i="3"/>
  <c r="H153" i="3"/>
  <c r="G221" i="3"/>
  <c r="H221" i="3"/>
  <c r="AW147" i="3"/>
  <c r="AW203" i="3"/>
  <c r="AW259" i="3"/>
  <c r="AX219" i="3"/>
  <c r="AY219" i="3"/>
  <c r="AC107" i="3"/>
  <c r="AD107" i="3"/>
  <c r="AD126" i="3"/>
  <c r="AC126" i="3"/>
  <c r="Y106" i="3"/>
  <c r="Z106" i="3"/>
  <c r="AD159" i="3"/>
  <c r="AC159" i="3"/>
  <c r="H140" i="3"/>
  <c r="G140" i="3"/>
  <c r="H160" i="3"/>
  <c r="G160" i="3"/>
  <c r="AY232" i="3"/>
  <c r="AX232" i="3"/>
  <c r="AC261" i="3"/>
  <c r="AD261" i="3"/>
  <c r="AD141" i="3"/>
  <c r="AC141" i="3"/>
  <c r="AW106" i="3"/>
  <c r="AW237" i="3"/>
  <c r="AY228" i="3"/>
  <c r="AX228" i="3"/>
  <c r="AC83" i="3"/>
  <c r="AD83" i="3"/>
  <c r="AX149" i="3"/>
  <c r="AY149" i="3"/>
  <c r="AZ149" i="3"/>
  <c r="AZ205" i="3"/>
  <c r="AY205" i="3"/>
  <c r="AX205" i="3"/>
  <c r="Z164" i="3"/>
  <c r="Y164" i="3"/>
  <c r="G90" i="3"/>
  <c r="H90" i="3"/>
  <c r="AC192" i="3"/>
  <c r="AD192" i="3"/>
  <c r="AC251" i="3"/>
  <c r="AD251" i="3"/>
  <c r="H257" i="3"/>
  <c r="G257" i="3"/>
  <c r="Y247" i="3"/>
  <c r="H255" i="3"/>
  <c r="G255" i="3"/>
  <c r="X255" i="3"/>
  <c r="G206" i="3"/>
  <c r="H206" i="3"/>
  <c r="Y70" i="3"/>
  <c r="Z70" i="3"/>
  <c r="AC108" i="3"/>
  <c r="AD108" i="3"/>
  <c r="G105" i="3"/>
  <c r="H105" i="3"/>
  <c r="G139" i="3"/>
  <c r="H139" i="3"/>
  <c r="X139" i="3"/>
  <c r="AC154" i="3"/>
  <c r="AD154" i="3"/>
  <c r="AC211" i="3"/>
  <c r="AD211" i="3"/>
  <c r="AY133" i="3"/>
  <c r="AX133" i="3"/>
  <c r="AC177" i="3"/>
  <c r="AD177" i="3"/>
  <c r="AC84" i="3"/>
  <c r="AD84" i="3"/>
  <c r="AD212" i="3"/>
  <c r="AC212" i="3"/>
  <c r="AD242" i="3"/>
  <c r="AC242" i="3"/>
  <c r="H74" i="3"/>
  <c r="G74" i="3"/>
  <c r="H239" i="3"/>
  <c r="G239" i="3"/>
  <c r="AC205" i="3"/>
  <c r="AD205" i="3"/>
  <c r="AW225" i="3"/>
  <c r="AD252" i="3"/>
  <c r="AC252" i="3"/>
  <c r="H128" i="3"/>
  <c r="G128" i="3"/>
  <c r="AD174" i="3"/>
  <c r="AC174" i="3"/>
  <c r="H195" i="3"/>
  <c r="G195" i="3"/>
  <c r="X195" i="3"/>
  <c r="H260" i="3"/>
  <c r="G260" i="3"/>
  <c r="G242" i="3"/>
  <c r="H242" i="3"/>
  <c r="AW164" i="3"/>
  <c r="G233" i="3"/>
  <c r="H233" i="3"/>
  <c r="G172" i="3"/>
  <c r="H172" i="3"/>
  <c r="AZ128" i="3"/>
  <c r="H68" i="3"/>
  <c r="G68" i="3"/>
  <c r="AD151" i="3"/>
  <c r="AC151" i="3"/>
  <c r="AD132" i="3"/>
  <c r="AC132" i="3"/>
  <c r="AD143" i="3"/>
  <c r="AC143" i="3"/>
  <c r="G86" i="3"/>
  <c r="H86" i="3"/>
  <c r="G205" i="3"/>
  <c r="H205" i="3"/>
  <c r="AW109" i="3"/>
  <c r="H230" i="3"/>
  <c r="G230" i="3"/>
  <c r="AD227" i="3"/>
  <c r="AC227" i="3"/>
  <c r="H200" i="3"/>
  <c r="G200" i="3"/>
  <c r="G99" i="3"/>
  <c r="H99" i="3"/>
  <c r="AD256" i="3"/>
  <c r="AC256" i="3"/>
  <c r="AC162" i="3"/>
  <c r="AD162" i="3"/>
  <c r="AD128" i="3"/>
  <c r="AC128" i="3"/>
  <c r="AC220" i="3"/>
  <c r="AD220" i="3"/>
  <c r="H185" i="3"/>
  <c r="G185" i="3"/>
  <c r="AX83" i="3"/>
  <c r="AZ83" i="3"/>
  <c r="AY83" i="3"/>
  <c r="AY192" i="3"/>
  <c r="AZ192" i="3"/>
  <c r="AX192" i="3"/>
  <c r="AC203" i="3"/>
  <c r="AD203" i="3"/>
  <c r="AW120" i="3"/>
  <c r="G227" i="3"/>
  <c r="H227" i="3"/>
  <c r="AW258" i="3"/>
  <c r="AC110" i="3"/>
  <c r="AD110" i="3"/>
  <c r="AD237" i="3"/>
  <c r="AC237" i="3"/>
  <c r="AW131" i="3"/>
  <c r="AD113" i="3"/>
  <c r="AC113" i="3"/>
  <c r="X68" i="3"/>
  <c r="Y114" i="3"/>
  <c r="Z114" i="3"/>
  <c r="AY188" i="3"/>
  <c r="AX188" i="3"/>
  <c r="H76" i="3"/>
  <c r="G76" i="3"/>
  <c r="AD223" i="3"/>
  <c r="AC223" i="3"/>
  <c r="AD189" i="3"/>
  <c r="AC189" i="3"/>
  <c r="AD236" i="3"/>
  <c r="AC236" i="3"/>
  <c r="AD118" i="3"/>
  <c r="AC118" i="3"/>
  <c r="AD161" i="3"/>
  <c r="AC161" i="3"/>
  <c r="H148" i="3"/>
  <c r="G148" i="3"/>
  <c r="H228" i="3"/>
  <c r="G228" i="3"/>
  <c r="G151" i="3"/>
  <c r="H151" i="3"/>
  <c r="X257" i="3"/>
  <c r="G183" i="3"/>
  <c r="H183" i="3"/>
  <c r="G159" i="3"/>
  <c r="H159" i="3"/>
  <c r="G178" i="3"/>
  <c r="H178" i="3"/>
  <c r="AW143" i="3"/>
  <c r="AC176" i="3"/>
  <c r="AD176" i="3"/>
  <c r="G155" i="3"/>
  <c r="H155" i="3"/>
  <c r="AW75" i="3"/>
  <c r="G225" i="3"/>
  <c r="H225" i="3"/>
  <c r="X112" i="3"/>
  <c r="H119" i="3"/>
  <c r="G119" i="3"/>
  <c r="H258" i="3"/>
  <c r="G258" i="3"/>
  <c r="AW151" i="3"/>
  <c r="AW129" i="3"/>
  <c r="AW180" i="3"/>
  <c r="AW235" i="3"/>
  <c r="AC166" i="3"/>
  <c r="AD166" i="3"/>
  <c r="G89" i="3"/>
  <c r="H89" i="3"/>
  <c r="AW167" i="3"/>
  <c r="H144" i="3"/>
  <c r="G144" i="3"/>
  <c r="G107" i="3"/>
  <c r="H107" i="3"/>
  <c r="AF247" i="3" l="1"/>
  <c r="Y117" i="3"/>
  <c r="AF117" i="3"/>
  <c r="AH117" i="3" s="1"/>
  <c r="Z142" i="3"/>
  <c r="Y263" i="3"/>
  <c r="Y168" i="3"/>
  <c r="Y209" i="3"/>
  <c r="Z191" i="3"/>
  <c r="Z85" i="3"/>
  <c r="Z240" i="3"/>
  <c r="Z196" i="3"/>
  <c r="Z150" i="3"/>
  <c r="AF95" i="3"/>
  <c r="AH95" i="3" s="1"/>
  <c r="Z199" i="3"/>
  <c r="Y241" i="3"/>
  <c r="Y215" i="3"/>
  <c r="Y95" i="3"/>
  <c r="Z264" i="3"/>
  <c r="Z71" i="3"/>
  <c r="Y75" i="3"/>
  <c r="Y229" i="3"/>
  <c r="Y165" i="3"/>
  <c r="Z101" i="3"/>
  <c r="AF71" i="3"/>
  <c r="AG71" i="3" s="1"/>
  <c r="Z80" i="3"/>
  <c r="Z169" i="3"/>
  <c r="Z92" i="3"/>
  <c r="Z261" i="3"/>
  <c r="Y78" i="3"/>
  <c r="Z235" i="3"/>
  <c r="Y125" i="3"/>
  <c r="AF261" i="3"/>
  <c r="AH261" i="3" s="1"/>
  <c r="Z69" i="3"/>
  <c r="Y198" i="3"/>
  <c r="AF103" i="3"/>
  <c r="AH103" i="3" s="1"/>
  <c r="Z103" i="3"/>
  <c r="AF78" i="3"/>
  <c r="AG78" i="3" s="1"/>
  <c r="Y226" i="3"/>
  <c r="Y130" i="3"/>
  <c r="AZ214" i="3"/>
  <c r="BB214" i="3" s="1"/>
  <c r="Y187" i="3"/>
  <c r="AF75" i="3"/>
  <c r="AH75" i="3" s="1"/>
  <c r="Y104" i="3"/>
  <c r="Y232" i="3"/>
  <c r="AD214" i="3"/>
  <c r="Z146" i="3"/>
  <c r="AF66" i="3"/>
  <c r="AH66" i="3" s="1"/>
  <c r="Y133" i="3"/>
  <c r="Z122" i="3"/>
  <c r="AC117" i="3"/>
  <c r="Y162" i="3"/>
  <c r="AF263" i="3"/>
  <c r="AG263" i="3" s="1"/>
  <c r="AC99" i="3"/>
  <c r="AD117" i="3"/>
  <c r="Z162" i="3"/>
  <c r="AZ99" i="3"/>
  <c r="BB99" i="3" s="1"/>
  <c r="AD109" i="3"/>
  <c r="B96" i="1"/>
  <c r="B42" i="1" s="1"/>
  <c r="AC232" i="3"/>
  <c r="Z256" i="3"/>
  <c r="BD162" i="3"/>
  <c r="BF162" i="3" s="1"/>
  <c r="BI162" i="3" s="1"/>
  <c r="Z66" i="3"/>
  <c r="AF232" i="3"/>
  <c r="AG232" i="3" s="1"/>
  <c r="Z179" i="3"/>
  <c r="AZ232" i="3"/>
  <c r="BB232" i="3" s="1"/>
  <c r="AF179" i="3"/>
  <c r="AH179" i="3" s="1"/>
  <c r="AF256" i="3"/>
  <c r="AG256" i="3" s="1"/>
  <c r="AF74" i="3"/>
  <c r="AH74" i="3" s="1"/>
  <c r="AD122" i="3"/>
  <c r="AF122" i="3"/>
  <c r="AG122" i="3" s="1"/>
  <c r="Y248" i="3"/>
  <c r="AZ73" i="3"/>
  <c r="BD73" i="3" s="1"/>
  <c r="BF73" i="3" s="1"/>
  <c r="BI73" i="3" s="1"/>
  <c r="AF248" i="3"/>
  <c r="AG248" i="3" s="1"/>
  <c r="Y73" i="3"/>
  <c r="Y141" i="3"/>
  <c r="AF168" i="3"/>
  <c r="AG168" i="3" s="1"/>
  <c r="Z83" i="3"/>
  <c r="AD78" i="3"/>
  <c r="AD102" i="3"/>
  <c r="AD168" i="3"/>
  <c r="AC65" i="3"/>
  <c r="AZ65" i="3"/>
  <c r="BA65" i="3" s="1"/>
  <c r="AC78" i="3"/>
  <c r="Y237" i="3"/>
  <c r="AC158" i="3"/>
  <c r="AC136" i="3"/>
  <c r="AD247" i="3"/>
  <c r="AD74" i="3"/>
  <c r="Z94" i="3"/>
  <c r="Y79" i="3"/>
  <c r="Z237" i="3"/>
  <c r="AC247" i="3"/>
  <c r="AF136" i="3"/>
  <c r="AH136" i="3" s="1"/>
  <c r="AD182" i="3"/>
  <c r="AF182" i="3"/>
  <c r="AH182" i="3" s="1"/>
  <c r="AZ191" i="3"/>
  <c r="BD191" i="3" s="1"/>
  <c r="BF191" i="3" s="1"/>
  <c r="BI191" i="3" s="1"/>
  <c r="AZ82" i="3"/>
  <c r="BA82" i="3" s="1"/>
  <c r="AC82" i="3"/>
  <c r="BD79" i="3"/>
  <c r="BF79" i="3" s="1"/>
  <c r="BI79" i="3" s="1"/>
  <c r="Z79" i="3"/>
  <c r="AF130" i="3"/>
  <c r="AH130" i="3" s="1"/>
  <c r="AF73" i="3"/>
  <c r="AH73" i="3" s="1"/>
  <c r="AZ247" i="3"/>
  <c r="BD247" i="3" s="1"/>
  <c r="BE247" i="3" s="1"/>
  <c r="BH247" i="3" s="1"/>
  <c r="AZ158" i="3"/>
  <c r="BD158" i="3" s="1"/>
  <c r="BF158" i="3" s="1"/>
  <c r="BI158" i="3" s="1"/>
  <c r="AZ135" i="3"/>
  <c r="BD135" i="3" s="1"/>
  <c r="BE135" i="3" s="1"/>
  <c r="BH135" i="3" s="1"/>
  <c r="Z141" i="3"/>
  <c r="AD135" i="3"/>
  <c r="AF135" i="3"/>
  <c r="AG135" i="3" s="1"/>
  <c r="AZ136" i="3"/>
  <c r="BA136" i="3" s="1"/>
  <c r="AF191" i="3"/>
  <c r="AH191" i="3" s="1"/>
  <c r="AF204" i="3"/>
  <c r="AH204" i="3" s="1"/>
  <c r="AZ148" i="3"/>
  <c r="BD148" i="3" s="1"/>
  <c r="BE148" i="3" s="1"/>
  <c r="BH148" i="3" s="1"/>
  <c r="AD191" i="3"/>
  <c r="AC148" i="3"/>
  <c r="AF174" i="3"/>
  <c r="AH174" i="3" s="1"/>
  <c r="AZ195" i="3"/>
  <c r="BB195" i="3" s="1"/>
  <c r="AF77" i="3"/>
  <c r="AH77" i="3" s="1"/>
  <c r="AD130" i="3"/>
  <c r="Z174" i="3"/>
  <c r="BD67" i="3"/>
  <c r="BE67" i="3" s="1"/>
  <c r="BH67" i="3" s="1"/>
  <c r="AD77" i="3"/>
  <c r="AD68" i="3"/>
  <c r="Y126" i="3"/>
  <c r="AC119" i="3"/>
  <c r="AF164" i="3"/>
  <c r="AG164" i="3" s="1"/>
  <c r="AF106" i="3"/>
  <c r="AH106" i="3" s="1"/>
  <c r="AX264" i="3"/>
  <c r="Y132" i="3"/>
  <c r="AF241" i="3"/>
  <c r="AG241" i="3" s="1"/>
  <c r="AD240" i="3"/>
  <c r="AC229" i="3"/>
  <c r="AC71" i="3"/>
  <c r="AC152" i="3"/>
  <c r="Y127" i="3"/>
  <c r="Z184" i="3"/>
  <c r="AB246" i="3"/>
  <c r="AF246" i="3" s="1"/>
  <c r="AH246" i="3" s="1"/>
  <c r="AC160" i="3"/>
  <c r="Z126" i="3"/>
  <c r="Y204" i="3"/>
  <c r="Z120" i="3"/>
  <c r="AZ133" i="3"/>
  <c r="BD133" i="3" s="1"/>
  <c r="AZ119" i="3"/>
  <c r="BA119" i="3" s="1"/>
  <c r="AF120" i="3"/>
  <c r="AH120" i="3" s="1"/>
  <c r="AF132" i="3"/>
  <c r="AH132" i="3" s="1"/>
  <c r="AZ201" i="3"/>
  <c r="BA201" i="3" s="1"/>
  <c r="Y245" i="3"/>
  <c r="AZ152" i="3"/>
  <c r="BB152" i="3" s="1"/>
  <c r="AD71" i="3"/>
  <c r="Z245" i="3"/>
  <c r="AC201" i="3"/>
  <c r="AZ71" i="3"/>
  <c r="BD71" i="3" s="1"/>
  <c r="BF71" i="3" s="1"/>
  <c r="BI71" i="3" s="1"/>
  <c r="AD112" i="3"/>
  <c r="AD104" i="3"/>
  <c r="AF152" i="3"/>
  <c r="AG152" i="3" s="1"/>
  <c r="Z252" i="3"/>
  <c r="AC164" i="3"/>
  <c r="BD245" i="3"/>
  <c r="BF245" i="3" s="1"/>
  <c r="BI245" i="3" s="1"/>
  <c r="BD132" i="3"/>
  <c r="BE132" i="3" s="1"/>
  <c r="BH132" i="3" s="1"/>
  <c r="AZ160" i="3"/>
  <c r="BD160" i="3" s="1"/>
  <c r="AD157" i="3"/>
  <c r="AF160" i="3"/>
  <c r="AG160" i="3" s="1"/>
  <c r="AZ157" i="3"/>
  <c r="BA157" i="3" s="1"/>
  <c r="Z118" i="3"/>
  <c r="AF118" i="3"/>
  <c r="AG118" i="3" s="1"/>
  <c r="Z170" i="3"/>
  <c r="AZ130" i="3"/>
  <c r="BD130" i="3" s="1"/>
  <c r="BF130" i="3" s="1"/>
  <c r="BI130" i="3" s="1"/>
  <c r="Y94" i="3"/>
  <c r="AF67" i="3"/>
  <c r="AH67" i="3" s="1"/>
  <c r="AF133" i="3"/>
  <c r="AG133" i="3" s="1"/>
  <c r="AC195" i="3"/>
  <c r="AF229" i="3"/>
  <c r="AG229" i="3" s="1"/>
  <c r="AF125" i="3"/>
  <c r="AH125" i="3" s="1"/>
  <c r="AD103" i="3"/>
  <c r="AZ125" i="3"/>
  <c r="BD125" i="3" s="1"/>
  <c r="BE125" i="3" s="1"/>
  <c r="BH125" i="3" s="1"/>
  <c r="AZ85" i="3"/>
  <c r="BD85" i="3" s="1"/>
  <c r="BE85" i="3" s="1"/>
  <c r="BH85" i="3" s="1"/>
  <c r="Y108" i="3"/>
  <c r="AC72" i="3"/>
  <c r="BD170" i="3"/>
  <c r="BF170" i="3" s="1"/>
  <c r="BI170" i="3" s="1"/>
  <c r="AZ200" i="3"/>
  <c r="BA200" i="3" s="1"/>
  <c r="AF218" i="3"/>
  <c r="AH218" i="3" s="1"/>
  <c r="Z67" i="3"/>
  <c r="AZ103" i="3"/>
  <c r="BA103" i="3" s="1"/>
  <c r="AC250" i="3"/>
  <c r="AF119" i="3"/>
  <c r="AH119" i="3" s="1"/>
  <c r="AC125" i="3"/>
  <c r="AD165" i="3"/>
  <c r="AD200" i="3"/>
  <c r="Y166" i="3"/>
  <c r="AC206" i="3"/>
  <c r="AF81" i="3"/>
  <c r="AH81" i="3" s="1"/>
  <c r="AF206" i="3"/>
  <c r="AH206" i="3" s="1"/>
  <c r="AF127" i="3"/>
  <c r="AH127" i="3" s="1"/>
  <c r="AD144" i="3"/>
  <c r="AF83" i="3"/>
  <c r="AH83" i="3" s="1"/>
  <c r="AF175" i="3"/>
  <c r="AH175" i="3" s="1"/>
  <c r="AF93" i="3"/>
  <c r="AG93" i="3" s="1"/>
  <c r="Z115" i="3"/>
  <c r="AF131" i="3"/>
  <c r="AG131" i="3" s="1"/>
  <c r="AF234" i="3"/>
  <c r="AG234" i="3" s="1"/>
  <c r="AC146" i="3"/>
  <c r="AD89" i="3"/>
  <c r="AD185" i="3"/>
  <c r="AZ255" i="3"/>
  <c r="BA255" i="3" s="1"/>
  <c r="Y194" i="3"/>
  <c r="AF254" i="3"/>
  <c r="AH254" i="3" s="1"/>
  <c r="AC106" i="3"/>
  <c r="AD105" i="3"/>
  <c r="Y184" i="3"/>
  <c r="Y143" i="3"/>
  <c r="AF244" i="3"/>
  <c r="AH244" i="3" s="1"/>
  <c r="Y81" i="3"/>
  <c r="AF194" i="3"/>
  <c r="AG194" i="3" s="1"/>
  <c r="AF69" i="3"/>
  <c r="AG69" i="3" s="1"/>
  <c r="AD156" i="3"/>
  <c r="AD69" i="3"/>
  <c r="AZ264" i="3"/>
  <c r="BD264" i="3" s="1"/>
  <c r="BF264" i="3" s="1"/>
  <c r="BI264" i="3" s="1"/>
  <c r="AF262" i="3"/>
  <c r="AH262" i="3" s="1"/>
  <c r="AC217" i="3"/>
  <c r="Y243" i="3"/>
  <c r="Y254" i="3"/>
  <c r="AC258" i="3"/>
  <c r="AF253" i="3"/>
  <c r="AH253" i="3" s="1"/>
  <c r="AZ217" i="3"/>
  <c r="BD217" i="3" s="1"/>
  <c r="BD81" i="3"/>
  <c r="BE81" i="3" s="1"/>
  <c r="BH81" i="3" s="1"/>
  <c r="AD255" i="3"/>
  <c r="AF243" i="3"/>
  <c r="AH243" i="3" s="1"/>
  <c r="AF235" i="3"/>
  <c r="AG235" i="3" s="1"/>
  <c r="AZ105" i="3"/>
  <c r="BD105" i="3" s="1"/>
  <c r="AF264" i="3"/>
  <c r="AG264" i="3" s="1"/>
  <c r="AC262" i="3"/>
  <c r="Z98" i="3"/>
  <c r="AD235" i="3"/>
  <c r="AF98" i="3"/>
  <c r="AH98" i="3" s="1"/>
  <c r="AC133" i="3"/>
  <c r="AD264" i="3"/>
  <c r="AZ222" i="3"/>
  <c r="BA222" i="3" s="1"/>
  <c r="Y93" i="3"/>
  <c r="AF209" i="3"/>
  <c r="AH209" i="3" s="1"/>
  <c r="AF146" i="3"/>
  <c r="AH146" i="3" s="1"/>
  <c r="AD241" i="3"/>
  <c r="Y121" i="3"/>
  <c r="AD175" i="3"/>
  <c r="AD75" i="3"/>
  <c r="AF124" i="3"/>
  <c r="AH124" i="3" s="1"/>
  <c r="AF115" i="3"/>
  <c r="AG115" i="3" s="1"/>
  <c r="AC181" i="3"/>
  <c r="AC101" i="3"/>
  <c r="AF165" i="3"/>
  <c r="AG165" i="3" s="1"/>
  <c r="AZ229" i="3"/>
  <c r="BB229" i="3" s="1"/>
  <c r="AC215" i="3"/>
  <c r="Y124" i="3"/>
  <c r="AZ104" i="3"/>
  <c r="BB104" i="3" s="1"/>
  <c r="AZ240" i="3"/>
  <c r="BA240" i="3" s="1"/>
  <c r="AZ100" i="3"/>
  <c r="BA100" i="3" s="1"/>
  <c r="AF104" i="3"/>
  <c r="AG104" i="3" s="1"/>
  <c r="AF251" i="3"/>
  <c r="AH251" i="3" s="1"/>
  <c r="AC103" i="3"/>
  <c r="AZ250" i="3"/>
  <c r="BD250" i="3" s="1"/>
  <c r="BF250" i="3" s="1"/>
  <c r="BI250" i="3" s="1"/>
  <c r="Z143" i="3"/>
  <c r="AF224" i="3"/>
  <c r="AG224" i="3" s="1"/>
  <c r="Z147" i="3"/>
  <c r="Y158" i="3"/>
  <c r="AF190" i="3"/>
  <c r="AG190" i="3" s="1"/>
  <c r="AC129" i="3"/>
  <c r="AC70" i="3"/>
  <c r="Y253" i="3"/>
  <c r="BD190" i="3"/>
  <c r="BE190" i="3" s="1"/>
  <c r="BH190" i="3" s="1"/>
  <c r="AF92" i="3"/>
  <c r="AG92" i="3" s="1"/>
  <c r="AD139" i="3"/>
  <c r="Y147" i="3"/>
  <c r="Y149" i="3"/>
  <c r="AF196" i="3"/>
  <c r="AG196" i="3" s="1"/>
  <c r="Y244" i="3"/>
  <c r="AD226" i="3"/>
  <c r="Z224" i="3"/>
  <c r="AD259" i="3"/>
  <c r="AD187" i="3"/>
  <c r="AF220" i="3"/>
  <c r="AG220" i="3" s="1"/>
  <c r="AC230" i="3"/>
  <c r="AF70" i="3"/>
  <c r="AG70" i="3" s="1"/>
  <c r="AF240" i="3"/>
  <c r="AH240" i="3" s="1"/>
  <c r="AD142" i="3"/>
  <c r="AF250" i="3"/>
  <c r="AH250" i="3" s="1"/>
  <c r="AF205" i="3"/>
  <c r="AH205" i="3" s="1"/>
  <c r="AZ139" i="3"/>
  <c r="BB139" i="3" s="1"/>
  <c r="AF149" i="3"/>
  <c r="AH149" i="3" s="1"/>
  <c r="AD196" i="3"/>
  <c r="AF222" i="3"/>
  <c r="AH222" i="3" s="1"/>
  <c r="AD222" i="3"/>
  <c r="AF72" i="3"/>
  <c r="AG72" i="3" s="1"/>
  <c r="AF158" i="3"/>
  <c r="AH158" i="3" s="1"/>
  <c r="AD257" i="3"/>
  <c r="AZ92" i="3"/>
  <c r="BB92" i="3" s="1"/>
  <c r="AF142" i="3"/>
  <c r="AG142" i="3" s="1"/>
  <c r="Z166" i="3"/>
  <c r="AZ257" i="3"/>
  <c r="BB257" i="3" s="1"/>
  <c r="AF100" i="3"/>
  <c r="AG100" i="3" s="1"/>
  <c r="AZ86" i="3"/>
  <c r="BD86" i="3" s="1"/>
  <c r="Z205" i="3"/>
  <c r="BD124" i="3"/>
  <c r="BF124" i="3" s="1"/>
  <c r="BI124" i="3" s="1"/>
  <c r="AZ169" i="3"/>
  <c r="BD169" i="3" s="1"/>
  <c r="BE169" i="3" s="1"/>
  <c r="BH169" i="3" s="1"/>
  <c r="AC100" i="3"/>
  <c r="AC87" i="3"/>
  <c r="AF215" i="3"/>
  <c r="AH215" i="3" s="1"/>
  <c r="Z251" i="3"/>
  <c r="AD228" i="3"/>
  <c r="Z220" i="3"/>
  <c r="Z190" i="3"/>
  <c r="AZ228" i="3"/>
  <c r="BB228" i="3" s="1"/>
  <c r="AZ215" i="3"/>
  <c r="BA215" i="3" s="1"/>
  <c r="AF187" i="3"/>
  <c r="AG187" i="3" s="1"/>
  <c r="AZ186" i="3"/>
  <c r="BD186" i="3" s="1"/>
  <c r="AD92" i="3"/>
  <c r="AD209" i="3"/>
  <c r="AC186" i="3"/>
  <c r="AD169" i="3"/>
  <c r="AZ187" i="3"/>
  <c r="BA187" i="3" s="1"/>
  <c r="AF150" i="3"/>
  <c r="AH150" i="3" s="1"/>
  <c r="AF80" i="3"/>
  <c r="AH80" i="3" s="1"/>
  <c r="AD219" i="3"/>
  <c r="AF169" i="3"/>
  <c r="AG169" i="3" s="1"/>
  <c r="AF193" i="3"/>
  <c r="AH193" i="3" s="1"/>
  <c r="AZ68" i="3"/>
  <c r="BD68" i="3" s="1"/>
  <c r="AZ101" i="3"/>
  <c r="BA101" i="3" s="1"/>
  <c r="AC75" i="3"/>
  <c r="AF123" i="3"/>
  <c r="AG123" i="3" s="1"/>
  <c r="AF101" i="3"/>
  <c r="AG101" i="3" s="1"/>
  <c r="Z193" i="3"/>
  <c r="AF181" i="3"/>
  <c r="AH181" i="3" s="1"/>
  <c r="AD150" i="3"/>
  <c r="AF121" i="3"/>
  <c r="AH121" i="3" s="1"/>
  <c r="Z116" i="3"/>
  <c r="AF252" i="3"/>
  <c r="AG252" i="3" s="1"/>
  <c r="AZ80" i="3"/>
  <c r="BB80" i="3" s="1"/>
  <c r="AF84" i="3"/>
  <c r="AG84" i="3" s="1"/>
  <c r="AZ188" i="3"/>
  <c r="BD188" i="3" s="1"/>
  <c r="BF188" i="3" s="1"/>
  <c r="BI188" i="3" s="1"/>
  <c r="AC188" i="3"/>
  <c r="Z210" i="3"/>
  <c r="AZ219" i="3"/>
  <c r="BB219" i="3" s="1"/>
  <c r="AF173" i="3"/>
  <c r="AH173" i="3" s="1"/>
  <c r="AD239" i="3"/>
  <c r="AD145" i="3"/>
  <c r="Y116" i="3"/>
  <c r="AD86" i="3"/>
  <c r="AX73" i="3"/>
  <c r="AF167" i="3"/>
  <c r="AG167" i="3" s="1"/>
  <c r="AZ145" i="3"/>
  <c r="BB145" i="3" s="1"/>
  <c r="BD116" i="3"/>
  <c r="BF116" i="3" s="1"/>
  <c r="BI116" i="3" s="1"/>
  <c r="AD87" i="3"/>
  <c r="AD198" i="3"/>
  <c r="Z131" i="3"/>
  <c r="AD80" i="3"/>
  <c r="Z84" i="3"/>
  <c r="Y173" i="3"/>
  <c r="AZ96" i="3"/>
  <c r="BB96" i="3" s="1"/>
  <c r="Z234" i="3"/>
  <c r="AF258" i="3"/>
  <c r="AH258" i="3" s="1"/>
  <c r="AF198" i="3"/>
  <c r="AH198" i="3" s="1"/>
  <c r="AF114" i="3"/>
  <c r="AG114" i="3" s="1"/>
  <c r="AF134" i="3"/>
  <c r="AG134" i="3" s="1"/>
  <c r="AC114" i="3"/>
  <c r="AF188" i="3"/>
  <c r="AG188" i="3" s="1"/>
  <c r="Z108" i="3"/>
  <c r="Z218" i="3"/>
  <c r="Y134" i="3"/>
  <c r="Y170" i="3"/>
  <c r="Z72" i="3"/>
  <c r="AC85" i="3"/>
  <c r="AC96" i="3"/>
  <c r="AF85" i="3"/>
  <c r="AH85" i="3" s="1"/>
  <c r="AF199" i="3"/>
  <c r="AH199" i="3" s="1"/>
  <c r="AD253" i="3"/>
  <c r="AD183" i="3"/>
  <c r="AD199" i="3"/>
  <c r="Z113" i="3"/>
  <c r="Y180" i="3"/>
  <c r="AX252" i="3"/>
  <c r="AC253" i="3"/>
  <c r="Y210" i="3"/>
  <c r="BD108" i="3"/>
  <c r="BE108" i="3" s="1"/>
  <c r="BH108" i="3" s="1"/>
  <c r="Z167" i="3"/>
  <c r="AF226" i="3"/>
  <c r="AG226" i="3" s="1"/>
  <c r="AF183" i="3"/>
  <c r="AG183" i="3" s="1"/>
  <c r="AF86" i="3"/>
  <c r="AG86" i="3" s="1"/>
  <c r="AF180" i="3"/>
  <c r="AH180" i="3" s="1"/>
  <c r="Z123" i="3"/>
  <c r="BD84" i="3"/>
  <c r="BE84" i="3" s="1"/>
  <c r="BH84" i="3" s="1"/>
  <c r="AZ199" i="3"/>
  <c r="BD199" i="3" s="1"/>
  <c r="BF199" i="3" s="1"/>
  <c r="BI199" i="3" s="1"/>
  <c r="AF113" i="3"/>
  <c r="AH113" i="3" s="1"/>
  <c r="AY241" i="3"/>
  <c r="AX231" i="3"/>
  <c r="AZ231" i="3"/>
  <c r="BB231" i="3" s="1"/>
  <c r="AY134" i="3"/>
  <c r="AZ134" i="3"/>
  <c r="BD134" i="3" s="1"/>
  <c r="BE134" i="3" s="1"/>
  <c r="BH134" i="3" s="1"/>
  <c r="AZ252" i="3"/>
  <c r="BD252" i="3" s="1"/>
  <c r="BE252" i="3" s="1"/>
  <c r="BH252" i="3" s="1"/>
  <c r="AX224" i="3"/>
  <c r="AY224" i="3"/>
  <c r="Z207" i="3"/>
  <c r="AZ241" i="3"/>
  <c r="BD241" i="3" s="1"/>
  <c r="BE241" i="3" s="1"/>
  <c r="BH241" i="3" s="1"/>
  <c r="AZ87" i="3"/>
  <c r="BB87" i="3" s="1"/>
  <c r="AF207" i="3"/>
  <c r="AH207" i="3" s="1"/>
  <c r="AY251" i="3"/>
  <c r="AY87" i="3"/>
  <c r="AZ118" i="3"/>
  <c r="BD118" i="3" s="1"/>
  <c r="BF118" i="3" s="1"/>
  <c r="BI118" i="3" s="1"/>
  <c r="AZ77" i="3"/>
  <c r="BA77" i="3" s="1"/>
  <c r="AX220" i="3"/>
  <c r="AX77" i="3"/>
  <c r="AY220" i="3"/>
  <c r="AX191" i="3"/>
  <c r="AY191" i="3"/>
  <c r="AZ168" i="3"/>
  <c r="BD168" i="3" s="1"/>
  <c r="BE168" i="3" s="1"/>
  <c r="BH168" i="3" s="1"/>
  <c r="AX168" i="3"/>
  <c r="AY94" i="3"/>
  <c r="AZ150" i="3"/>
  <c r="BD150" i="3" s="1"/>
  <c r="BF150" i="3" s="1"/>
  <c r="BI150" i="3" s="1"/>
  <c r="AX251" i="3"/>
  <c r="AY118" i="3"/>
  <c r="AY229" i="3"/>
  <c r="AX150" i="3"/>
  <c r="AZ181" i="3"/>
  <c r="BA181" i="3" s="1"/>
  <c r="AZ76" i="3"/>
  <c r="BA76" i="3" s="1"/>
  <c r="AZ94" i="3"/>
  <c r="BA94" i="3" s="1"/>
  <c r="AX105" i="3"/>
  <c r="AX89" i="3"/>
  <c r="AY239" i="3"/>
  <c r="AX117" i="3"/>
  <c r="AX98" i="3"/>
  <c r="AY196" i="3"/>
  <c r="AZ117" i="3"/>
  <c r="BD117" i="3" s="1"/>
  <c r="BF117" i="3" s="1"/>
  <c r="BI117" i="3" s="1"/>
  <c r="AY98" i="3"/>
  <c r="AZ209" i="3"/>
  <c r="BD209" i="3" s="1"/>
  <c r="BF209" i="3" s="1"/>
  <c r="BI209" i="3" s="1"/>
  <c r="AY204" i="3"/>
  <c r="AZ174" i="3"/>
  <c r="BD174" i="3" s="1"/>
  <c r="AX209" i="3"/>
  <c r="AZ196" i="3"/>
  <c r="BD196" i="3" s="1"/>
  <c r="BE196" i="3" s="1"/>
  <c r="BH196" i="3" s="1"/>
  <c r="AY105" i="3"/>
  <c r="AZ204" i="3"/>
  <c r="BA204" i="3" s="1"/>
  <c r="AZ173" i="3"/>
  <c r="BD173" i="3" s="1"/>
  <c r="BF173" i="3" s="1"/>
  <c r="BI173" i="3" s="1"/>
  <c r="AF129" i="3"/>
  <c r="AH129" i="3" s="1"/>
  <c r="AZ239" i="3"/>
  <c r="BB239" i="3" s="1"/>
  <c r="AX229" i="3"/>
  <c r="AX113" i="3"/>
  <c r="AZ142" i="3"/>
  <c r="BD142" i="3" s="1"/>
  <c r="BE142" i="3" s="1"/>
  <c r="BH142" i="3" s="1"/>
  <c r="AX181" i="3"/>
  <c r="AZ244" i="3"/>
  <c r="BA244" i="3" s="1"/>
  <c r="AX76" i="3"/>
  <c r="AZ113" i="3"/>
  <c r="BB113" i="3" s="1"/>
  <c r="AX142" i="3"/>
  <c r="AZ89" i="3"/>
  <c r="BB89" i="3" s="1"/>
  <c r="AZ175" i="3"/>
  <c r="BD175" i="3" s="1"/>
  <c r="BF175" i="3" s="1"/>
  <c r="BI175" i="3" s="1"/>
  <c r="AZ72" i="3"/>
  <c r="BB72" i="3" s="1"/>
  <c r="AX173" i="3"/>
  <c r="AZ163" i="3"/>
  <c r="BD163" i="3" s="1"/>
  <c r="BE163" i="3" s="1"/>
  <c r="BH163" i="3" s="1"/>
  <c r="AY163" i="3"/>
  <c r="AY157" i="3"/>
  <c r="AY72" i="3"/>
  <c r="AY175" i="3"/>
  <c r="AY261" i="3"/>
  <c r="AX157" i="3"/>
  <c r="AZ261" i="3"/>
  <c r="BD261" i="3" s="1"/>
  <c r="BF261" i="3" s="1"/>
  <c r="BI261" i="3" s="1"/>
  <c r="AX211" i="3"/>
  <c r="AY244" i="3"/>
  <c r="AZ243" i="3"/>
  <c r="BB243" i="3" s="1"/>
  <c r="AY66" i="3"/>
  <c r="AY107" i="3"/>
  <c r="AZ221" i="3"/>
  <c r="BA221" i="3" s="1"/>
  <c r="AX174" i="3"/>
  <c r="AZ185" i="3"/>
  <c r="BA185" i="3" s="1"/>
  <c r="AY185" i="3"/>
  <c r="AX66" i="3"/>
  <c r="AZ93" i="3"/>
  <c r="BB93" i="3" s="1"/>
  <c r="AY221" i="3"/>
  <c r="AX243" i="3"/>
  <c r="AZ211" i="3"/>
  <c r="BA211" i="3" s="1"/>
  <c r="AY93" i="3"/>
  <c r="AX178" i="3"/>
  <c r="AX260" i="3"/>
  <c r="AY122" i="3"/>
  <c r="AY208" i="3"/>
  <c r="AY158" i="3"/>
  <c r="AX208" i="3"/>
  <c r="AX112" i="3"/>
  <c r="AZ112" i="3"/>
  <c r="BB112" i="3" s="1"/>
  <c r="AZ141" i="3"/>
  <c r="BD141" i="3" s="1"/>
  <c r="BF141" i="3" s="1"/>
  <c r="BI141" i="3" s="1"/>
  <c r="AZ107" i="3"/>
  <c r="BA107" i="3" s="1"/>
  <c r="AY141" i="3"/>
  <c r="AY178" i="3"/>
  <c r="AZ260" i="3"/>
  <c r="BB260" i="3" s="1"/>
  <c r="AX158" i="3"/>
  <c r="AZ256" i="3"/>
  <c r="BB256" i="3" s="1"/>
  <c r="AY171" i="3"/>
  <c r="AZ91" i="3"/>
  <c r="BD91" i="3" s="1"/>
  <c r="BE91" i="3" s="1"/>
  <c r="BH91" i="3" s="1"/>
  <c r="AX165" i="3"/>
  <c r="AZ171" i="3"/>
  <c r="BD171" i="3" s="1"/>
  <c r="BE171" i="3" s="1"/>
  <c r="BH171" i="3" s="1"/>
  <c r="AY91" i="3"/>
  <c r="AZ165" i="3"/>
  <c r="BD165" i="3" s="1"/>
  <c r="BE165" i="3" s="1"/>
  <c r="BH165" i="3" s="1"/>
  <c r="AF219" i="3"/>
  <c r="AG219" i="3" s="1"/>
  <c r="Y219" i="3"/>
  <c r="Y189" i="3"/>
  <c r="Z136" i="3"/>
  <c r="AX182" i="3"/>
  <c r="AY256" i="3"/>
  <c r="AX247" i="3"/>
  <c r="AZ182" i="3"/>
  <c r="BA182" i="3" s="1"/>
  <c r="AY172" i="3"/>
  <c r="AZ218" i="3"/>
  <c r="BB218" i="3" s="1"/>
  <c r="AZ122" i="3"/>
  <c r="BD122" i="3" s="1"/>
  <c r="AY218" i="3"/>
  <c r="AZ189" i="3"/>
  <c r="BB189" i="3" s="1"/>
  <c r="AY114" i="3"/>
  <c r="AZ198" i="3"/>
  <c r="BD198" i="3" s="1"/>
  <c r="AX202" i="3"/>
  <c r="AZ114" i="3"/>
  <c r="BA114" i="3" s="1"/>
  <c r="AX198" i="3"/>
  <c r="AY262" i="3"/>
  <c r="AX179" i="3"/>
  <c r="AZ172" i="3"/>
  <c r="BB172" i="3" s="1"/>
  <c r="AY189" i="3"/>
  <c r="AZ179" i="3"/>
  <c r="BD179" i="3" s="1"/>
  <c r="AZ227" i="3"/>
  <c r="BB227" i="3" s="1"/>
  <c r="AZ202" i="3"/>
  <c r="BA202" i="3" s="1"/>
  <c r="Z178" i="3"/>
  <c r="AF189" i="3"/>
  <c r="AG189" i="3" s="1"/>
  <c r="AZ262" i="3"/>
  <c r="BD262" i="3" s="1"/>
  <c r="AY247" i="3"/>
  <c r="AZ236" i="3"/>
  <c r="BB236" i="3" s="1"/>
  <c r="AZ126" i="3"/>
  <c r="BD126" i="3" s="1"/>
  <c r="BF126" i="3" s="1"/>
  <c r="BI126" i="3" s="1"/>
  <c r="Y136" i="3"/>
  <c r="Y178" i="3"/>
  <c r="BD178" i="3"/>
  <c r="BF178" i="3" s="1"/>
  <c r="BI178" i="3" s="1"/>
  <c r="AY210" i="3"/>
  <c r="AZ102" i="3"/>
  <c r="BD102" i="3" s="1"/>
  <c r="AX85" i="3"/>
  <c r="AZ111" i="3"/>
  <c r="BD111" i="3" s="1"/>
  <c r="BF111" i="3" s="1"/>
  <c r="BI111" i="3" s="1"/>
  <c r="AZ144" i="3"/>
  <c r="BB144" i="3" s="1"/>
  <c r="AY248" i="3"/>
  <c r="AX236" i="3"/>
  <c r="AX111" i="3"/>
  <c r="AX126" i="3"/>
  <c r="AY85" i="3"/>
  <c r="AZ248" i="3"/>
  <c r="BD248" i="3" s="1"/>
  <c r="BE248" i="3" s="1"/>
  <c r="BH248" i="3" s="1"/>
  <c r="AY127" i="3"/>
  <c r="AX146" i="3"/>
  <c r="AY78" i="3"/>
  <c r="AX144" i="3"/>
  <c r="AZ230" i="3"/>
  <c r="BB230" i="3" s="1"/>
  <c r="AX194" i="3"/>
  <c r="AZ194" i="3"/>
  <c r="BD194" i="3" s="1"/>
  <c r="BF194" i="3" s="1"/>
  <c r="BI194" i="3" s="1"/>
  <c r="AF145" i="3"/>
  <c r="AH145" i="3" s="1"/>
  <c r="AX230" i="3"/>
  <c r="AZ78" i="3"/>
  <c r="BB78" i="3" s="1"/>
  <c r="AX121" i="3"/>
  <c r="AX234" i="3"/>
  <c r="AZ127" i="3"/>
  <c r="BD127" i="3" s="1"/>
  <c r="BE127" i="3" s="1"/>
  <c r="BH127" i="3" s="1"/>
  <c r="AZ146" i="3"/>
  <c r="BD146" i="3" s="1"/>
  <c r="BF146" i="3" s="1"/>
  <c r="BI146" i="3" s="1"/>
  <c r="AZ121" i="3"/>
  <c r="BD121" i="3" s="1"/>
  <c r="BE121" i="3" s="1"/>
  <c r="BH121" i="3" s="1"/>
  <c r="AZ234" i="3"/>
  <c r="BB234" i="3" s="1"/>
  <c r="AF200" i="3"/>
  <c r="AG200" i="3" s="1"/>
  <c r="AY212" i="3"/>
  <c r="AZ183" i="3"/>
  <c r="BA183" i="3" s="1"/>
  <c r="AZ212" i="3"/>
  <c r="BA212" i="3" s="1"/>
  <c r="AX177" i="3"/>
  <c r="AX70" i="3"/>
  <c r="AX233" i="3"/>
  <c r="Y200" i="3"/>
  <c r="AX183" i="3"/>
  <c r="AY177" i="3"/>
  <c r="AZ70" i="3"/>
  <c r="BD70" i="3" s="1"/>
  <c r="BE70" i="3" s="1"/>
  <c r="BH70" i="3" s="1"/>
  <c r="AY253" i="3"/>
  <c r="AY79" i="3"/>
  <c r="AY227" i="3"/>
  <c r="AZ253" i="3"/>
  <c r="BD253" i="3" s="1"/>
  <c r="BE253" i="3" s="1"/>
  <c r="BH253" i="3" s="1"/>
  <c r="AX79" i="3"/>
  <c r="AX102" i="3"/>
  <c r="Z161" i="3"/>
  <c r="Z186" i="3"/>
  <c r="AF201" i="3"/>
  <c r="AG201" i="3" s="1"/>
  <c r="Y64" i="3"/>
  <c r="Z201" i="3"/>
  <c r="Z202" i="3"/>
  <c r="AF228" i="3"/>
  <c r="AH228" i="3" s="1"/>
  <c r="BD64" i="3"/>
  <c r="BE64" i="3" s="1"/>
  <c r="BH64" i="3" s="1"/>
  <c r="BD223" i="3"/>
  <c r="BF223" i="3" s="1"/>
  <c r="BI223" i="3" s="1"/>
  <c r="Y154" i="3"/>
  <c r="Z233" i="3"/>
  <c r="AF154" i="3"/>
  <c r="AH154" i="3" s="1"/>
  <c r="Z222" i="3"/>
  <c r="Z160" i="3"/>
  <c r="BA176" i="3"/>
  <c r="Y216" i="3"/>
  <c r="Z217" i="3"/>
  <c r="Z246" i="3"/>
  <c r="Z236" i="3"/>
  <c r="BD246" i="3"/>
  <c r="BF246" i="3" s="1"/>
  <c r="BI246" i="3" s="1"/>
  <c r="AF236" i="3"/>
  <c r="AH236" i="3" s="1"/>
  <c r="AF91" i="3"/>
  <c r="AH91" i="3" s="1"/>
  <c r="AF217" i="3"/>
  <c r="AG217" i="3" s="1"/>
  <c r="AF107" i="3"/>
  <c r="AH107" i="3" s="1"/>
  <c r="Y160" i="3"/>
  <c r="BD216" i="3"/>
  <c r="BE216" i="3" s="1"/>
  <c r="BH216" i="3" s="1"/>
  <c r="Y107" i="3"/>
  <c r="Y161" i="3"/>
  <c r="Y233" i="3"/>
  <c r="AF186" i="3"/>
  <c r="AH186" i="3" s="1"/>
  <c r="Y222" i="3"/>
  <c r="Z129" i="3"/>
  <c r="Y223" i="3"/>
  <c r="Z152" i="3"/>
  <c r="Y152" i="3"/>
  <c r="Y91" i="3"/>
  <c r="Y206" i="3"/>
  <c r="AF82" i="3"/>
  <c r="AG82" i="3" s="1"/>
  <c r="Z82" i="3"/>
  <c r="Z259" i="3"/>
  <c r="Z203" i="3"/>
  <c r="AF259" i="3"/>
  <c r="AG259" i="3" s="1"/>
  <c r="AF203" i="3"/>
  <c r="AH203" i="3" s="1"/>
  <c r="AF214" i="3"/>
  <c r="AH214" i="3" s="1"/>
  <c r="AF223" i="3"/>
  <c r="AH223" i="3" s="1"/>
  <c r="Z249" i="3"/>
  <c r="AF249" i="3"/>
  <c r="AG249" i="3" s="1"/>
  <c r="Y214" i="3"/>
  <c r="Z128" i="3"/>
  <c r="Z206" i="3"/>
  <c r="BA216" i="3"/>
  <c r="BB184" i="3"/>
  <c r="BD128" i="3"/>
  <c r="BF128" i="3" s="1"/>
  <c r="BI128" i="3" s="1"/>
  <c r="Z110" i="3"/>
  <c r="Z109" i="3"/>
  <c r="Z227" i="3"/>
  <c r="BD184" i="3"/>
  <c r="BE184" i="3" s="1"/>
  <c r="BH184" i="3" s="1"/>
  <c r="AF163" i="3"/>
  <c r="AH163" i="3" s="1"/>
  <c r="Z111" i="3"/>
  <c r="Z163" i="3"/>
  <c r="Z155" i="3"/>
  <c r="AF155" i="3"/>
  <c r="AG155" i="3" s="1"/>
  <c r="AF111" i="3"/>
  <c r="AH111" i="3" s="1"/>
  <c r="BB208" i="3"/>
  <c r="Y145" i="3"/>
  <c r="AF238" i="3"/>
  <c r="AH238" i="3" s="1"/>
  <c r="Y238" i="3"/>
  <c r="Y171" i="3"/>
  <c r="AF212" i="3"/>
  <c r="AG212" i="3" s="1"/>
  <c r="Y258" i="3"/>
  <c r="AZ210" i="3"/>
  <c r="BA210" i="3" s="1"/>
  <c r="Y128" i="3"/>
  <c r="AF109" i="3"/>
  <c r="AH109" i="3" s="1"/>
  <c r="AZ233" i="3"/>
  <c r="BD233" i="3" s="1"/>
  <c r="BF233" i="3" s="1"/>
  <c r="BI233" i="3" s="1"/>
  <c r="Y175" i="3"/>
  <c r="AF110" i="3"/>
  <c r="AH110" i="3" s="1"/>
  <c r="BD110" i="3"/>
  <c r="BF110" i="3" s="1"/>
  <c r="BI110" i="3" s="1"/>
  <c r="Z76" i="3"/>
  <c r="AF156" i="3"/>
  <c r="AG156" i="3" s="1"/>
  <c r="Y231" i="3"/>
  <c r="AY64" i="3"/>
  <c r="AX64" i="3"/>
  <c r="AX187" i="3"/>
  <c r="AY187" i="3"/>
  <c r="AX95" i="3"/>
  <c r="AZ95" i="3"/>
  <c r="AY95" i="3"/>
  <c r="BB216" i="3"/>
  <c r="AF137" i="3"/>
  <c r="AH137" i="3" s="1"/>
  <c r="AF76" i="3"/>
  <c r="AH76" i="3" s="1"/>
  <c r="Y212" i="3"/>
  <c r="Z144" i="3"/>
  <c r="Z159" i="3"/>
  <c r="Z177" i="3"/>
  <c r="Z171" i="3"/>
  <c r="AF89" i="3"/>
  <c r="AH89" i="3" s="1"/>
  <c r="BD153" i="3"/>
  <c r="BF153" i="3" s="1"/>
  <c r="BI153" i="3" s="1"/>
  <c r="AF213" i="3"/>
  <c r="AH213" i="3" s="1"/>
  <c r="Y89" i="3"/>
  <c r="Z153" i="3"/>
  <c r="Y148" i="3"/>
  <c r="Z74" i="3"/>
  <c r="Y172" i="3"/>
  <c r="Y156" i="3"/>
  <c r="Y140" i="3"/>
  <c r="Z213" i="3"/>
  <c r="Y177" i="3"/>
  <c r="AF159" i="3"/>
  <c r="AG159" i="3" s="1"/>
  <c r="AD216" i="3"/>
  <c r="AC216" i="3"/>
  <c r="AF192" i="3"/>
  <c r="AH192" i="3" s="1"/>
  <c r="Z260" i="3"/>
  <c r="Z172" i="3"/>
  <c r="Z88" i="3"/>
  <c r="AH147" i="3"/>
  <c r="BD177" i="3"/>
  <c r="BE177" i="3" s="1"/>
  <c r="BH177" i="3" s="1"/>
  <c r="BD137" i="3"/>
  <c r="BE137" i="3" s="1"/>
  <c r="BH137" i="3" s="1"/>
  <c r="BD88" i="3"/>
  <c r="BE88" i="3" s="1"/>
  <c r="BH88" i="3" s="1"/>
  <c r="Z192" i="3"/>
  <c r="Z137" i="3"/>
  <c r="Y260" i="3"/>
  <c r="AF88" i="3"/>
  <c r="AH88" i="3" s="1"/>
  <c r="BD159" i="3"/>
  <c r="BE159" i="3" s="1"/>
  <c r="BH159" i="3" s="1"/>
  <c r="AF216" i="3"/>
  <c r="Z175" i="3"/>
  <c r="Z151" i="3"/>
  <c r="AF260" i="3"/>
  <c r="AH260" i="3" s="1"/>
  <c r="Z230" i="3"/>
  <c r="Y211" i="3"/>
  <c r="Y86" i="3"/>
  <c r="AF211" i="3"/>
  <c r="AG211" i="3" s="1"/>
  <c r="Y202" i="3"/>
  <c r="AF153" i="3"/>
  <c r="AH153" i="3" s="1"/>
  <c r="Z228" i="3"/>
  <c r="Y65" i="3"/>
  <c r="Z138" i="3"/>
  <c r="Y138" i="3"/>
  <c r="Y239" i="3"/>
  <c r="Y227" i="3"/>
  <c r="Y99" i="3"/>
  <c r="BD213" i="3"/>
  <c r="BF213" i="3" s="1"/>
  <c r="BI213" i="3" s="1"/>
  <c r="AF138" i="3"/>
  <c r="AF239" i="3"/>
  <c r="AG239" i="3" s="1"/>
  <c r="Y151" i="3"/>
  <c r="Z258" i="3"/>
  <c r="AF144" i="3"/>
  <c r="AH144" i="3" s="1"/>
  <c r="Z119" i="3"/>
  <c r="AF230" i="3"/>
  <c r="AH230" i="3" s="1"/>
  <c r="AF99" i="3"/>
  <c r="AG99" i="3" s="1"/>
  <c r="Z86" i="3"/>
  <c r="AF65" i="3"/>
  <c r="AG65" i="3" s="1"/>
  <c r="AF231" i="3"/>
  <c r="Z208" i="3"/>
  <c r="AF208" i="3"/>
  <c r="Y208" i="3"/>
  <c r="AF148" i="3"/>
  <c r="AH148" i="3" s="1"/>
  <c r="Y183" i="3"/>
  <c r="Y74" i="3"/>
  <c r="AF140" i="3"/>
  <c r="AH140" i="3" s="1"/>
  <c r="Z183" i="3"/>
  <c r="Y119" i="3"/>
  <c r="BD140" i="3"/>
  <c r="BE140" i="3" s="1"/>
  <c r="BH140" i="3" s="1"/>
  <c r="BD208" i="3"/>
  <c r="BE66" i="3"/>
  <c r="BH66" i="3" s="1"/>
  <c r="BF66" i="3"/>
  <c r="BI66" i="3" s="1"/>
  <c r="AX151" i="3"/>
  <c r="AY151" i="3"/>
  <c r="AZ151" i="3"/>
  <c r="BB83" i="3"/>
  <c r="BA83" i="3"/>
  <c r="AY259" i="3"/>
  <c r="AX259" i="3"/>
  <c r="AZ259" i="3"/>
  <c r="AX206" i="3"/>
  <c r="AZ206" i="3"/>
  <c r="AY206" i="3"/>
  <c r="Y197" i="3"/>
  <c r="BD197" i="3"/>
  <c r="Z197" i="3"/>
  <c r="AF197" i="3"/>
  <c r="AG161" i="3"/>
  <c r="AH161" i="3"/>
  <c r="AF102" i="3"/>
  <c r="Y102" i="3"/>
  <c r="Z102" i="3"/>
  <c r="AH116" i="3"/>
  <c r="AG116" i="3"/>
  <c r="BB97" i="3"/>
  <c r="BA97" i="3"/>
  <c r="BA193" i="3"/>
  <c r="BB193" i="3"/>
  <c r="BD193" i="3"/>
  <c r="BA115" i="3"/>
  <c r="BB115" i="3"/>
  <c r="BA155" i="3"/>
  <c r="BB155" i="3"/>
  <c r="BA161" i="3"/>
  <c r="BB161" i="3"/>
  <c r="BA124" i="3"/>
  <c r="BB124" i="3"/>
  <c r="AG166" i="3"/>
  <c r="AH166" i="3"/>
  <c r="BD115" i="3"/>
  <c r="Y242" i="3"/>
  <c r="AF242" i="3"/>
  <c r="Z242" i="3"/>
  <c r="BD242" i="3"/>
  <c r="AH79" i="3"/>
  <c r="AG79" i="3"/>
  <c r="AH171" i="3"/>
  <c r="AG171" i="3"/>
  <c r="AF68" i="3"/>
  <c r="Y68" i="3"/>
  <c r="Z68" i="3"/>
  <c r="AX180" i="3"/>
  <c r="AZ180" i="3"/>
  <c r="AY180" i="3"/>
  <c r="Y112" i="3"/>
  <c r="AF112" i="3"/>
  <c r="Z112" i="3"/>
  <c r="AG108" i="3"/>
  <c r="AH108" i="3"/>
  <c r="BA128" i="3"/>
  <c r="BB128" i="3"/>
  <c r="AF255" i="3"/>
  <c r="Z255" i="3"/>
  <c r="Y255" i="3"/>
  <c r="BB149" i="3"/>
  <c r="BA149" i="3"/>
  <c r="BD149" i="3"/>
  <c r="AY129" i="3"/>
  <c r="AX129" i="3"/>
  <c r="AZ129" i="3"/>
  <c r="Y225" i="3"/>
  <c r="AF225" i="3"/>
  <c r="Z225" i="3"/>
  <c r="AY75" i="3"/>
  <c r="AZ75" i="3"/>
  <c r="AX75" i="3"/>
  <c r="AG237" i="3"/>
  <c r="AH237" i="3"/>
  <c r="AF257" i="3"/>
  <c r="Z257" i="3"/>
  <c r="Y257" i="3"/>
  <c r="AH202" i="3"/>
  <c r="AG202" i="3"/>
  <c r="AG141" i="3"/>
  <c r="AH141" i="3"/>
  <c r="AX120" i="3"/>
  <c r="AZ120" i="3"/>
  <c r="AY120" i="3"/>
  <c r="AG162" i="3"/>
  <c r="AH162" i="3"/>
  <c r="BA192" i="3"/>
  <c r="BB192" i="3"/>
  <c r="BD192" i="3"/>
  <c r="AH184" i="3"/>
  <c r="AG184" i="3"/>
  <c r="AG151" i="3"/>
  <c r="AH151" i="3"/>
  <c r="AF96" i="3"/>
  <c r="Y96" i="3"/>
  <c r="Z96" i="3"/>
  <c r="AY164" i="3"/>
  <c r="AX164" i="3"/>
  <c r="AZ164" i="3"/>
  <c r="AH126" i="3"/>
  <c r="AG126" i="3"/>
  <c r="AH128" i="3"/>
  <c r="AG128" i="3"/>
  <c r="BD90" i="3"/>
  <c r="AF90" i="3"/>
  <c r="Y90" i="3"/>
  <c r="Z90" i="3"/>
  <c r="AZ106" i="3"/>
  <c r="AX106" i="3"/>
  <c r="AY106" i="3"/>
  <c r="Y221" i="3"/>
  <c r="AF221" i="3"/>
  <c r="Z221" i="3"/>
  <c r="AF105" i="3"/>
  <c r="Z105" i="3"/>
  <c r="Y105" i="3"/>
  <c r="AH87" i="3"/>
  <c r="AG87" i="3"/>
  <c r="AY226" i="3"/>
  <c r="AZ226" i="3"/>
  <c r="AX226" i="3"/>
  <c r="BA110" i="3"/>
  <c r="BB110" i="3"/>
  <c r="BA159" i="3"/>
  <c r="BB159" i="3"/>
  <c r="BB177" i="3"/>
  <c r="BA177" i="3"/>
  <c r="BA67" i="3"/>
  <c r="BB67" i="3"/>
  <c r="BA263" i="3"/>
  <c r="BB263" i="3"/>
  <c r="BD263" i="3"/>
  <c r="BB88" i="3"/>
  <c r="BA88" i="3"/>
  <c r="BB178" i="3"/>
  <c r="BA178" i="3"/>
  <c r="BA116" i="3"/>
  <c r="BB116" i="3"/>
  <c r="BA224" i="3"/>
  <c r="BB224" i="3"/>
  <c r="BD224" i="3"/>
  <c r="BA197" i="3"/>
  <c r="BB197" i="3"/>
  <c r="BA220" i="3"/>
  <c r="BB220" i="3"/>
  <c r="AH247" i="3"/>
  <c r="AG247" i="3"/>
  <c r="BB205" i="3"/>
  <c r="BA205" i="3"/>
  <c r="BB137" i="3"/>
  <c r="BA137" i="3"/>
  <c r="AY235" i="3"/>
  <c r="AX235" i="3"/>
  <c r="AZ235" i="3"/>
  <c r="AF97" i="3"/>
  <c r="Z97" i="3"/>
  <c r="BD97" i="3"/>
  <c r="Y97" i="3"/>
  <c r="Y195" i="3"/>
  <c r="Z195" i="3"/>
  <c r="AF195" i="3"/>
  <c r="AX225" i="3"/>
  <c r="AY225" i="3"/>
  <c r="AZ225" i="3"/>
  <c r="BD225" i="3" s="1"/>
  <c r="AH172" i="3"/>
  <c r="AG172" i="3"/>
  <c r="AZ203" i="3"/>
  <c r="AX203" i="3"/>
  <c r="AY203" i="3"/>
  <c r="Y157" i="3"/>
  <c r="AF157" i="3"/>
  <c r="Z157" i="3"/>
  <c r="AF185" i="3"/>
  <c r="Z185" i="3"/>
  <c r="Y185" i="3"/>
  <c r="BD161" i="3"/>
  <c r="AF176" i="3"/>
  <c r="Z176" i="3"/>
  <c r="Y176" i="3"/>
  <c r="BD176" i="3"/>
  <c r="AH177" i="3"/>
  <c r="AG177" i="3"/>
  <c r="BA249" i="3"/>
  <c r="BB249" i="3"/>
  <c r="BD249" i="3"/>
  <c r="BB123" i="3"/>
  <c r="BA123" i="3"/>
  <c r="BD123" i="3"/>
  <c r="AD218" i="3"/>
  <c r="AC218" i="3"/>
  <c r="AG143" i="3"/>
  <c r="AH143" i="3"/>
  <c r="BB64" i="3"/>
  <c r="BA64" i="3"/>
  <c r="BA108" i="3"/>
  <c r="BB108" i="3"/>
  <c r="BB98" i="3"/>
  <c r="BA98" i="3"/>
  <c r="BD98" i="3"/>
  <c r="AC115" i="3"/>
  <c r="AD115" i="3"/>
  <c r="BB84" i="3"/>
  <c r="BA84" i="3"/>
  <c r="BD205" i="3"/>
  <c r="BB166" i="3"/>
  <c r="BA166" i="3"/>
  <c r="AH94" i="3"/>
  <c r="AG94" i="3"/>
  <c r="AH178" i="3"/>
  <c r="AG178" i="3"/>
  <c r="BD166" i="3"/>
  <c r="BD155" i="3"/>
  <c r="BA251" i="3"/>
  <c r="BB251" i="3"/>
  <c r="BD251" i="3"/>
  <c r="BA190" i="3"/>
  <c r="BB190" i="3"/>
  <c r="AH233" i="3"/>
  <c r="AG233" i="3"/>
  <c r="BA162" i="3"/>
  <c r="BB162" i="3"/>
  <c r="AZ167" i="3"/>
  <c r="AX167" i="3"/>
  <c r="AY167" i="3"/>
  <c r="AX143" i="3"/>
  <c r="AY143" i="3"/>
  <c r="AZ143" i="3"/>
  <c r="AY258" i="3"/>
  <c r="AZ258" i="3"/>
  <c r="AX258" i="3"/>
  <c r="BD220" i="3"/>
  <c r="AF139" i="3"/>
  <c r="Z139" i="3"/>
  <c r="Y139" i="3"/>
  <c r="BD83" i="3"/>
  <c r="AH210" i="3"/>
  <c r="AG210" i="3"/>
  <c r="AY74" i="3"/>
  <c r="AX74" i="3"/>
  <c r="AZ74" i="3"/>
  <c r="BB207" i="3"/>
  <c r="BA207" i="3"/>
  <c r="BD207" i="3"/>
  <c r="BB170" i="3"/>
  <c r="BA170" i="3"/>
  <c r="BB213" i="3"/>
  <c r="BA213" i="3"/>
  <c r="BA223" i="3"/>
  <c r="BB223" i="3"/>
  <c r="BB66" i="3"/>
  <c r="BA66" i="3"/>
  <c r="BA154" i="3"/>
  <c r="BB154" i="3"/>
  <c r="AY131" i="3"/>
  <c r="AX131" i="3"/>
  <c r="AZ131" i="3"/>
  <c r="AG227" i="3"/>
  <c r="AH227" i="3"/>
  <c r="AG245" i="3"/>
  <c r="AH245" i="3"/>
  <c r="AX109" i="3"/>
  <c r="AY109" i="3"/>
  <c r="AZ109" i="3"/>
  <c r="AY237" i="3"/>
  <c r="AX237" i="3"/>
  <c r="AZ237" i="3"/>
  <c r="AX147" i="3"/>
  <c r="AY147" i="3"/>
  <c r="AZ147" i="3"/>
  <c r="AZ69" i="3"/>
  <c r="AY69" i="3"/>
  <c r="AX69" i="3"/>
  <c r="AY156" i="3"/>
  <c r="AZ156" i="3"/>
  <c r="AX156" i="3"/>
  <c r="AZ254" i="3"/>
  <c r="AX254" i="3"/>
  <c r="AY254" i="3"/>
  <c r="BB153" i="3"/>
  <c r="BA153" i="3"/>
  <c r="BA79" i="3"/>
  <c r="BB79" i="3"/>
  <c r="BB90" i="3"/>
  <c r="BA90" i="3"/>
  <c r="BA238" i="3"/>
  <c r="BB238" i="3"/>
  <c r="BD238" i="3"/>
  <c r="AH170" i="3"/>
  <c r="AG170" i="3"/>
  <c r="AD64" i="3"/>
  <c r="AC64" i="3"/>
  <c r="BA246" i="3"/>
  <c r="BB246" i="3"/>
  <c r="BA242" i="3"/>
  <c r="BB242" i="3"/>
  <c r="BD154" i="3"/>
  <c r="BB245" i="3"/>
  <c r="BA245" i="3"/>
  <c r="BA132" i="3"/>
  <c r="BB132" i="3"/>
  <c r="BB81" i="3"/>
  <c r="BA81" i="3"/>
  <c r="AF64" i="3"/>
  <c r="BA140" i="3"/>
  <c r="BB140" i="3"/>
  <c r="BA138" i="3"/>
  <c r="BB138" i="3"/>
  <c r="BD138" i="3"/>
  <c r="AG117" i="3" l="1"/>
  <c r="AH71" i="3"/>
  <c r="AG95" i="3"/>
  <c r="AH78" i="3"/>
  <c r="AG261" i="3"/>
  <c r="AG103" i="3"/>
  <c r="AG66" i="3"/>
  <c r="BA214" i="3"/>
  <c r="AG75" i="3"/>
  <c r="BD214" i="3"/>
  <c r="BE214" i="3" s="1"/>
  <c r="BH214" i="3" s="1"/>
  <c r="AH263" i="3"/>
  <c r="AG74" i="3"/>
  <c r="BA232" i="3"/>
  <c r="BD99" i="3"/>
  <c r="BF99" i="3" s="1"/>
  <c r="BI99" i="3" s="1"/>
  <c r="BA99" i="3"/>
  <c r="BE162" i="3"/>
  <c r="BH162" i="3" s="1"/>
  <c r="AH256" i="3"/>
  <c r="BD232" i="3"/>
  <c r="BF232" i="3" s="1"/>
  <c r="BI232" i="3" s="1"/>
  <c r="AH232" i="3"/>
  <c r="AG179" i="3"/>
  <c r="AH122" i="3"/>
  <c r="AG182" i="3"/>
  <c r="BD200" i="3"/>
  <c r="BE200" i="3" s="1"/>
  <c r="BH200" i="3" s="1"/>
  <c r="BE191" i="3"/>
  <c r="BH191" i="3" s="1"/>
  <c r="AH248" i="3"/>
  <c r="BD201" i="3"/>
  <c r="BE201" i="3" s="1"/>
  <c r="BH201" i="3" s="1"/>
  <c r="AH164" i="3"/>
  <c r="AG262" i="3"/>
  <c r="BF135" i="3"/>
  <c r="BI135" i="3" s="1"/>
  <c r="BD136" i="3"/>
  <c r="BF136" i="3" s="1"/>
  <c r="BI136" i="3" s="1"/>
  <c r="AG191" i="3"/>
  <c r="AH241" i="3"/>
  <c r="BA73" i="3"/>
  <c r="BB73" i="3"/>
  <c r="BD65" i="3"/>
  <c r="BF65" i="3" s="1"/>
  <c r="BI65" i="3" s="1"/>
  <c r="BB65" i="3"/>
  <c r="AG77" i="3"/>
  <c r="AC246" i="3"/>
  <c r="AG73" i="3"/>
  <c r="BB247" i="3"/>
  <c r="AH168" i="3"/>
  <c r="BE158" i="3"/>
  <c r="BH158" i="3" s="1"/>
  <c r="BB82" i="3"/>
  <c r="BA135" i="3"/>
  <c r="BB158" i="3"/>
  <c r="AH135" i="3"/>
  <c r="BB191" i="3"/>
  <c r="AG130" i="3"/>
  <c r="BA158" i="3"/>
  <c r="BA191" i="3"/>
  <c r="BE73" i="3"/>
  <c r="BH73" i="3" s="1"/>
  <c r="BD82" i="3"/>
  <c r="BF82" i="3" s="1"/>
  <c r="BI82" i="3" s="1"/>
  <c r="AG204" i="3"/>
  <c r="BD195" i="3"/>
  <c r="BE195" i="3" s="1"/>
  <c r="BH195" i="3" s="1"/>
  <c r="AG136" i="3"/>
  <c r="BF247" i="3"/>
  <c r="BI247" i="3" s="1"/>
  <c r="BB136" i="3"/>
  <c r="BA195" i="3"/>
  <c r="BB135" i="3"/>
  <c r="BE79" i="3"/>
  <c r="BH79" i="3" s="1"/>
  <c r="BA247" i="3"/>
  <c r="AG174" i="3"/>
  <c r="BB148" i="3"/>
  <c r="BA148" i="3"/>
  <c r="BE130" i="3"/>
  <c r="BH130" i="3" s="1"/>
  <c r="BF67" i="3"/>
  <c r="BI67" i="3" s="1"/>
  <c r="BA130" i="3"/>
  <c r="AG106" i="3"/>
  <c r="AH226" i="3"/>
  <c r="BD100" i="3"/>
  <c r="BE100" i="3" s="1"/>
  <c r="BH100" i="3" s="1"/>
  <c r="BB255" i="3"/>
  <c r="BF132" i="3"/>
  <c r="BI132" i="3" s="1"/>
  <c r="BB71" i="3"/>
  <c r="BA152" i="3"/>
  <c r="BB200" i="3"/>
  <c r="BB160" i="3"/>
  <c r="AG175" i="3"/>
  <c r="AG120" i="3"/>
  <c r="BF190" i="3"/>
  <c r="BI190" i="3" s="1"/>
  <c r="AH235" i="3"/>
  <c r="BD152" i="3"/>
  <c r="BE152" i="3" s="1"/>
  <c r="BH152" i="3" s="1"/>
  <c r="AG83" i="3"/>
  <c r="AG193" i="3"/>
  <c r="BF85" i="3"/>
  <c r="BI85" i="3" s="1"/>
  <c r="BA160" i="3"/>
  <c r="AD246" i="3"/>
  <c r="BD222" i="3"/>
  <c r="BF222" i="3" s="1"/>
  <c r="BI222" i="3" s="1"/>
  <c r="AG206" i="3"/>
  <c r="BA71" i="3"/>
  <c r="BE71" i="3"/>
  <c r="BH71" i="3" s="1"/>
  <c r="BF81" i="3"/>
  <c r="BI81" i="3" s="1"/>
  <c r="BA217" i="3"/>
  <c r="BA85" i="3"/>
  <c r="AG127" i="3"/>
  <c r="AH229" i="3"/>
  <c r="AG132" i="3"/>
  <c r="BB105" i="3"/>
  <c r="BB85" i="3"/>
  <c r="AH72" i="3"/>
  <c r="BA125" i="3"/>
  <c r="BA250" i="3"/>
  <c r="BD119" i="3"/>
  <c r="BE119" i="3" s="1"/>
  <c r="BH119" i="3" s="1"/>
  <c r="AG253" i="3"/>
  <c r="BB103" i="3"/>
  <c r="BE250" i="3"/>
  <c r="BH250" i="3" s="1"/>
  <c r="BD157" i="3"/>
  <c r="BE157" i="3" s="1"/>
  <c r="BH157" i="3" s="1"/>
  <c r="BB119" i="3"/>
  <c r="BA133" i="3"/>
  <c r="BB130" i="3"/>
  <c r="AH152" i="3"/>
  <c r="BD103" i="3"/>
  <c r="BF103" i="3" s="1"/>
  <c r="BI103" i="3" s="1"/>
  <c r="BB157" i="3"/>
  <c r="AG81" i="3"/>
  <c r="BF125" i="3"/>
  <c r="BI125" i="3" s="1"/>
  <c r="BE170" i="3"/>
  <c r="BH170" i="3" s="1"/>
  <c r="BB125" i="3"/>
  <c r="AG244" i="3"/>
  <c r="BB133" i="3"/>
  <c r="BE245" i="3"/>
  <c r="BH245" i="3" s="1"/>
  <c r="AH69" i="3"/>
  <c r="BB201" i="3"/>
  <c r="BB222" i="3"/>
  <c r="BB188" i="3"/>
  <c r="AG67" i="3"/>
  <c r="AH160" i="3"/>
  <c r="AG125" i="3"/>
  <c r="AG218" i="3"/>
  <c r="BD228" i="3"/>
  <c r="BF228" i="3" s="1"/>
  <c r="BI228" i="3" s="1"/>
  <c r="AH118" i="3"/>
  <c r="AH100" i="3"/>
  <c r="BD104" i="3"/>
  <c r="BE104" i="3" s="1"/>
  <c r="BH104" i="3" s="1"/>
  <c r="BA105" i="3"/>
  <c r="BB186" i="3"/>
  <c r="AH194" i="3"/>
  <c r="AG119" i="3"/>
  <c r="AG258" i="3"/>
  <c r="AH169" i="3"/>
  <c r="AH93" i="3"/>
  <c r="AH133" i="3"/>
  <c r="BD92" i="3"/>
  <c r="BE92" i="3" s="1"/>
  <c r="BH92" i="3" s="1"/>
  <c r="BD229" i="3"/>
  <c r="BE229" i="3" s="1"/>
  <c r="BH229" i="3" s="1"/>
  <c r="AH264" i="3"/>
  <c r="BE124" i="3"/>
  <c r="BH124" i="3" s="1"/>
  <c r="BB101" i="3"/>
  <c r="BE264" i="3"/>
  <c r="BH264" i="3" s="1"/>
  <c r="BB217" i="3"/>
  <c r="BA68" i="3"/>
  <c r="AH220" i="3"/>
  <c r="BB100" i="3"/>
  <c r="BD255" i="3"/>
  <c r="BE255" i="3" s="1"/>
  <c r="BH255" i="3" s="1"/>
  <c r="AH234" i="3"/>
  <c r="AG243" i="3"/>
  <c r="AG149" i="3"/>
  <c r="BA80" i="3"/>
  <c r="BA86" i="3"/>
  <c r="AH131" i="3"/>
  <c r="AG240" i="3"/>
  <c r="BD240" i="3"/>
  <c r="BE240" i="3" s="1"/>
  <c r="BH240" i="3" s="1"/>
  <c r="BA228" i="3"/>
  <c r="AG254" i="3"/>
  <c r="AG98" i="3"/>
  <c r="BA104" i="3"/>
  <c r="BA169" i="3"/>
  <c r="BA229" i="3"/>
  <c r="AG173" i="3"/>
  <c r="BA257" i="3"/>
  <c r="BA139" i="3"/>
  <c r="AG124" i="3"/>
  <c r="BB240" i="3"/>
  <c r="AH115" i="3"/>
  <c r="BB264" i="3"/>
  <c r="AH165" i="3"/>
  <c r="AH252" i="3"/>
  <c r="BD139" i="3"/>
  <c r="BE139" i="3" s="1"/>
  <c r="BH139" i="3" s="1"/>
  <c r="BA264" i="3"/>
  <c r="AG215" i="3"/>
  <c r="AG251" i="3"/>
  <c r="AG250" i="3"/>
  <c r="AG209" i="3"/>
  <c r="BB250" i="3"/>
  <c r="AG80" i="3"/>
  <c r="AH190" i="3"/>
  <c r="AG158" i="3"/>
  <c r="AG146" i="3"/>
  <c r="AH104" i="3"/>
  <c r="BF84" i="3"/>
  <c r="BI84" i="3" s="1"/>
  <c r="BB215" i="3"/>
  <c r="AH167" i="3"/>
  <c r="BA219" i="3"/>
  <c r="AG85" i="3"/>
  <c r="AH123" i="3"/>
  <c r="BA239" i="3"/>
  <c r="BE188" i="3"/>
  <c r="BH188" i="3" s="1"/>
  <c r="AH224" i="3"/>
  <c r="AH187" i="3"/>
  <c r="BB68" i="3"/>
  <c r="AH196" i="3"/>
  <c r="BE116" i="3"/>
  <c r="BH116" i="3" s="1"/>
  <c r="AH134" i="3"/>
  <c r="AH70" i="3"/>
  <c r="BA231" i="3"/>
  <c r="BD101" i="3"/>
  <c r="BE101" i="3" s="1"/>
  <c r="BH101" i="3" s="1"/>
  <c r="AH114" i="3"/>
  <c r="AG205" i="3"/>
  <c r="AH92" i="3"/>
  <c r="AH101" i="3"/>
  <c r="AG222" i="3"/>
  <c r="BA186" i="3"/>
  <c r="BA188" i="3"/>
  <c r="BD257" i="3"/>
  <c r="BF257" i="3" s="1"/>
  <c r="BI257" i="3" s="1"/>
  <c r="BA145" i="3"/>
  <c r="AH188" i="3"/>
  <c r="BB86" i="3"/>
  <c r="AG198" i="3"/>
  <c r="BD80" i="3"/>
  <c r="BF80" i="3" s="1"/>
  <c r="BI80" i="3" s="1"/>
  <c r="BB169" i="3"/>
  <c r="AH142" i="3"/>
  <c r="BD215" i="3"/>
  <c r="BE215" i="3" s="1"/>
  <c r="BH215" i="3" s="1"/>
  <c r="BA92" i="3"/>
  <c r="BF169" i="3"/>
  <c r="BI169" i="3" s="1"/>
  <c r="BD187" i="3"/>
  <c r="BE187" i="3" s="1"/>
  <c r="BH187" i="3" s="1"/>
  <c r="AG150" i="3"/>
  <c r="BB187" i="3"/>
  <c r="AG181" i="3"/>
  <c r="AG180" i="3"/>
  <c r="BD219" i="3"/>
  <c r="BF219" i="3" s="1"/>
  <c r="BI219" i="3" s="1"/>
  <c r="BF134" i="3"/>
  <c r="BI134" i="3" s="1"/>
  <c r="AG121" i="3"/>
  <c r="AH183" i="3"/>
  <c r="BA96" i="3"/>
  <c r="AG199" i="3"/>
  <c r="AH84" i="3"/>
  <c r="BD145" i="3"/>
  <c r="BF145" i="3" s="1"/>
  <c r="BI145" i="3" s="1"/>
  <c r="BD96" i="3"/>
  <c r="BE96" i="3" s="1"/>
  <c r="BH96" i="3" s="1"/>
  <c r="AH86" i="3"/>
  <c r="AG113" i="3"/>
  <c r="BF108" i="3"/>
  <c r="BI108" i="3" s="1"/>
  <c r="BE199" i="3"/>
  <c r="BH199" i="3" s="1"/>
  <c r="BB199" i="3"/>
  <c r="BA199" i="3"/>
  <c r="BD231" i="3"/>
  <c r="BE231" i="3" s="1"/>
  <c r="BH231" i="3" s="1"/>
  <c r="BB134" i="3"/>
  <c r="BB252" i="3"/>
  <c r="BF252" i="3"/>
  <c r="BI252" i="3" s="1"/>
  <c r="BA252" i="3"/>
  <c r="BA134" i="3"/>
  <c r="BA87" i="3"/>
  <c r="BA241" i="3"/>
  <c r="BF241" i="3"/>
  <c r="BI241" i="3" s="1"/>
  <c r="BB241" i="3"/>
  <c r="BD87" i="3"/>
  <c r="BE87" i="3" s="1"/>
  <c r="BH87" i="3" s="1"/>
  <c r="AG207" i="3"/>
  <c r="BE118" i="3"/>
  <c r="BH118" i="3" s="1"/>
  <c r="BD77" i="3"/>
  <c r="BF77" i="3" s="1"/>
  <c r="BI77" i="3" s="1"/>
  <c r="BB77" i="3"/>
  <c r="BB118" i="3"/>
  <c r="BA118" i="3"/>
  <c r="BD181" i="3"/>
  <c r="BE181" i="3" s="1"/>
  <c r="BH181" i="3" s="1"/>
  <c r="BE150" i="3"/>
  <c r="BH150" i="3" s="1"/>
  <c r="BB150" i="3"/>
  <c r="BF168" i="3"/>
  <c r="BI168" i="3" s="1"/>
  <c r="BB94" i="3"/>
  <c r="BB181" i="3"/>
  <c r="BA168" i="3"/>
  <c r="BD94" i="3"/>
  <c r="BE94" i="3" s="1"/>
  <c r="BH94" i="3" s="1"/>
  <c r="BB168" i="3"/>
  <c r="BD76" i="3"/>
  <c r="BF76" i="3" s="1"/>
  <c r="BI76" i="3" s="1"/>
  <c r="BA150" i="3"/>
  <c r="BA174" i="3"/>
  <c r="BB76" i="3"/>
  <c r="BD113" i="3"/>
  <c r="BE113" i="3" s="1"/>
  <c r="BH113" i="3" s="1"/>
  <c r="BE209" i="3"/>
  <c r="BH209" i="3" s="1"/>
  <c r="BF196" i="3"/>
  <c r="BI196" i="3" s="1"/>
  <c r="BF142" i="3"/>
  <c r="BI142" i="3" s="1"/>
  <c r="BE173" i="3"/>
  <c r="BH173" i="3" s="1"/>
  <c r="BB173" i="3"/>
  <c r="BA117" i="3"/>
  <c r="BE117" i="3"/>
  <c r="BH117" i="3" s="1"/>
  <c r="BD244" i="3"/>
  <c r="BE244" i="3" s="1"/>
  <c r="BH244" i="3" s="1"/>
  <c r="BA89" i="3"/>
  <c r="BB163" i="3"/>
  <c r="BB204" i="3"/>
  <c r="BD89" i="3"/>
  <c r="BE89" i="3" s="1"/>
  <c r="BH89" i="3" s="1"/>
  <c r="AG129" i="3"/>
  <c r="BB196" i="3"/>
  <c r="BB209" i="3"/>
  <c r="BB142" i="3"/>
  <c r="BA196" i="3"/>
  <c r="BA113" i="3"/>
  <c r="BB174" i="3"/>
  <c r="BA209" i="3"/>
  <c r="BD204" i="3"/>
  <c r="BF204" i="3" s="1"/>
  <c r="BI204" i="3" s="1"/>
  <c r="BB117" i="3"/>
  <c r="BB244" i="3"/>
  <c r="BA173" i="3"/>
  <c r="BA175" i="3"/>
  <c r="BD239" i="3"/>
  <c r="BE239" i="3" s="1"/>
  <c r="BH239" i="3" s="1"/>
  <c r="BA171" i="3"/>
  <c r="BD211" i="3"/>
  <c r="BF211" i="3" s="1"/>
  <c r="BI211" i="3" s="1"/>
  <c r="BA163" i="3"/>
  <c r="BA142" i="3"/>
  <c r="AH219" i="3"/>
  <c r="BA261" i="3"/>
  <c r="BD185" i="3"/>
  <c r="BE185" i="3" s="1"/>
  <c r="BH185" i="3" s="1"/>
  <c r="BD221" i="3"/>
  <c r="BE221" i="3" s="1"/>
  <c r="BH221" i="3" s="1"/>
  <c r="BA256" i="3"/>
  <c r="BB211" i="3"/>
  <c r="BB175" i="3"/>
  <c r="BB221" i="3"/>
  <c r="BD72" i="3"/>
  <c r="BE72" i="3" s="1"/>
  <c r="BH72" i="3" s="1"/>
  <c r="BA72" i="3"/>
  <c r="BE261" i="3"/>
  <c r="BH261" i="3" s="1"/>
  <c r="BA243" i="3"/>
  <c r="BD93" i="3"/>
  <c r="BF93" i="3" s="1"/>
  <c r="BI93" i="3" s="1"/>
  <c r="BA93" i="3"/>
  <c r="BD256" i="3"/>
  <c r="BE256" i="3" s="1"/>
  <c r="BH256" i="3" s="1"/>
  <c r="BB261" i="3"/>
  <c r="BD243" i="3"/>
  <c r="BE243" i="3" s="1"/>
  <c r="BH243" i="3" s="1"/>
  <c r="BB185" i="3"/>
  <c r="BB107" i="3"/>
  <c r="BD112" i="3"/>
  <c r="BF112" i="3" s="1"/>
  <c r="BI112" i="3" s="1"/>
  <c r="BE141" i="3"/>
  <c r="BH141" i="3" s="1"/>
  <c r="BA112" i="3"/>
  <c r="BB141" i="3"/>
  <c r="BD172" i="3"/>
  <c r="BF172" i="3" s="1"/>
  <c r="BI172" i="3" s="1"/>
  <c r="BD107" i="3"/>
  <c r="BE107" i="3" s="1"/>
  <c r="BH107" i="3" s="1"/>
  <c r="BF165" i="3"/>
  <c r="BI165" i="3" s="1"/>
  <c r="BA141" i="3"/>
  <c r="BB91" i="3"/>
  <c r="BB165" i="3"/>
  <c r="BD260" i="3"/>
  <c r="BF260" i="3" s="1"/>
  <c r="BI260" i="3" s="1"/>
  <c r="BA260" i="3"/>
  <c r="BA91" i="3"/>
  <c r="BA165" i="3"/>
  <c r="BB171" i="3"/>
  <c r="BD227" i="3"/>
  <c r="BE227" i="3" s="1"/>
  <c r="BH227" i="3" s="1"/>
  <c r="BB182" i="3"/>
  <c r="BD182" i="3"/>
  <c r="BE182" i="3" s="1"/>
  <c r="BH182" i="3" s="1"/>
  <c r="AH249" i="3"/>
  <c r="BD144" i="3"/>
  <c r="BF144" i="3" s="1"/>
  <c r="BI144" i="3" s="1"/>
  <c r="BD218" i="3"/>
  <c r="BF218" i="3" s="1"/>
  <c r="BI218" i="3" s="1"/>
  <c r="BA218" i="3"/>
  <c r="BB122" i="3"/>
  <c r="BA179" i="3"/>
  <c r="BA198" i="3"/>
  <c r="BA122" i="3"/>
  <c r="BB198" i="3"/>
  <c r="BB179" i="3"/>
  <c r="BA189" i="3"/>
  <c r="BD189" i="3"/>
  <c r="BE189" i="3" s="1"/>
  <c r="BH189" i="3" s="1"/>
  <c r="BB202" i="3"/>
  <c r="BA172" i="3"/>
  <c r="BB114" i="3"/>
  <c r="BD114" i="3"/>
  <c r="BE114" i="3" s="1"/>
  <c r="BH114" i="3" s="1"/>
  <c r="BA102" i="3"/>
  <c r="BB102" i="3"/>
  <c r="BA227" i="3"/>
  <c r="BA262" i="3"/>
  <c r="BD202" i="3"/>
  <c r="BF202" i="3" s="1"/>
  <c r="BI202" i="3" s="1"/>
  <c r="BB262" i="3"/>
  <c r="BA236" i="3"/>
  <c r="BD183" i="3"/>
  <c r="BE183" i="3" s="1"/>
  <c r="BH183" i="3" s="1"/>
  <c r="BD236" i="3"/>
  <c r="BF236" i="3" s="1"/>
  <c r="BI236" i="3" s="1"/>
  <c r="BA126" i="3"/>
  <c r="AH189" i="3"/>
  <c r="BA144" i="3"/>
  <c r="BE178" i="3"/>
  <c r="BH178" i="3" s="1"/>
  <c r="BE126" i="3"/>
  <c r="BH126" i="3" s="1"/>
  <c r="BB126" i="3"/>
  <c r="BB248" i="3"/>
  <c r="BB212" i="3"/>
  <c r="BD230" i="3"/>
  <c r="BE230" i="3" s="1"/>
  <c r="BH230" i="3" s="1"/>
  <c r="BA111" i="3"/>
  <c r="BB111" i="3"/>
  <c r="BA230" i="3"/>
  <c r="BF248" i="3"/>
  <c r="BI248" i="3" s="1"/>
  <c r="BA248" i="3"/>
  <c r="BD234" i="3"/>
  <c r="BF234" i="3" s="1"/>
  <c r="BI234" i="3" s="1"/>
  <c r="BA234" i="3"/>
  <c r="AG145" i="3"/>
  <c r="BF127" i="3"/>
  <c r="BI127" i="3" s="1"/>
  <c r="BB194" i="3"/>
  <c r="BB146" i="3"/>
  <c r="BE146" i="3"/>
  <c r="BH146" i="3" s="1"/>
  <c r="BA78" i="3"/>
  <c r="BA146" i="3"/>
  <c r="BE194" i="3"/>
  <c r="BH194" i="3" s="1"/>
  <c r="BF121" i="3"/>
  <c r="BI121" i="3" s="1"/>
  <c r="BD78" i="3"/>
  <c r="BE78" i="3" s="1"/>
  <c r="BH78" i="3" s="1"/>
  <c r="BB121" i="3"/>
  <c r="BA194" i="3"/>
  <c r="BA121" i="3"/>
  <c r="BA127" i="3"/>
  <c r="AH200" i="3"/>
  <c r="BB127" i="3"/>
  <c r="BD212" i="3"/>
  <c r="BF212" i="3" s="1"/>
  <c r="BI212" i="3" s="1"/>
  <c r="BB183" i="3"/>
  <c r="BF70" i="3"/>
  <c r="BI70" i="3" s="1"/>
  <c r="BA70" i="3"/>
  <c r="AH201" i="3"/>
  <c r="BB70" i="3"/>
  <c r="BA253" i="3"/>
  <c r="BB253" i="3"/>
  <c r="BF91" i="3"/>
  <c r="BI91" i="3" s="1"/>
  <c r="AG228" i="3"/>
  <c r="BF253" i="3"/>
  <c r="BI253" i="3" s="1"/>
  <c r="BF64" i="3"/>
  <c r="BI64" i="3" s="1"/>
  <c r="BF184" i="3"/>
  <c r="BI184" i="3" s="1"/>
  <c r="BF216" i="3"/>
  <c r="BI216" i="3" s="1"/>
  <c r="BF177" i="3"/>
  <c r="BI177" i="3" s="1"/>
  <c r="AG111" i="3"/>
  <c r="AG223" i="3"/>
  <c r="BE246" i="3"/>
  <c r="BH246" i="3" s="1"/>
  <c r="AG154" i="3"/>
  <c r="AG236" i="3"/>
  <c r="BE128" i="3"/>
  <c r="BH128" i="3" s="1"/>
  <c r="BE223" i="3"/>
  <c r="BH223" i="3" s="1"/>
  <c r="AH217" i="3"/>
  <c r="AG246" i="3"/>
  <c r="AG91" i="3"/>
  <c r="AG107" i="3"/>
  <c r="BE111" i="3"/>
  <c r="BH111" i="3" s="1"/>
  <c r="BB210" i="3"/>
  <c r="AG89" i="3"/>
  <c r="AG260" i="3"/>
  <c r="AG186" i="3"/>
  <c r="AG163" i="3"/>
  <c r="AH259" i="3"/>
  <c r="AG140" i="3"/>
  <c r="AH239" i="3"/>
  <c r="AG203" i="3"/>
  <c r="AH82" i="3"/>
  <c r="AG214" i="3"/>
  <c r="AH211" i="3"/>
  <c r="BA233" i="3"/>
  <c r="AH155" i="3"/>
  <c r="AG76" i="3"/>
  <c r="AG110" i="3"/>
  <c r="AH159" i="3"/>
  <c r="AG109" i="3"/>
  <c r="BF163" i="3"/>
  <c r="BI163" i="3" s="1"/>
  <c r="AH212" i="3"/>
  <c r="BB233" i="3"/>
  <c r="BE110" i="3"/>
  <c r="BH110" i="3" s="1"/>
  <c r="AG213" i="3"/>
  <c r="BE233" i="3"/>
  <c r="BH233" i="3" s="1"/>
  <c r="AG238" i="3"/>
  <c r="AH156" i="3"/>
  <c r="BE153" i="3"/>
  <c r="BH153" i="3" s="1"/>
  <c r="BA95" i="3"/>
  <c r="BB95" i="3"/>
  <c r="BD95" i="3"/>
  <c r="BF171" i="3"/>
  <c r="BI171" i="3" s="1"/>
  <c r="BE175" i="3"/>
  <c r="BH175" i="3" s="1"/>
  <c r="AG137" i="3"/>
  <c r="BD210" i="3"/>
  <c r="BF210" i="3" s="1"/>
  <c r="BI210" i="3" s="1"/>
  <c r="AG192" i="3"/>
  <c r="BF159" i="3"/>
  <c r="BI159" i="3" s="1"/>
  <c r="AG153" i="3"/>
  <c r="BF148" i="3"/>
  <c r="BI148" i="3" s="1"/>
  <c r="AG88" i="3"/>
  <c r="BF137" i="3"/>
  <c r="BI137" i="3" s="1"/>
  <c r="BF88" i="3"/>
  <c r="BI88" i="3" s="1"/>
  <c r="AH216" i="3"/>
  <c r="AG216" i="3"/>
  <c r="AH99" i="3"/>
  <c r="BE213" i="3"/>
  <c r="BH213" i="3" s="1"/>
  <c r="AH65" i="3"/>
  <c r="AG144" i="3"/>
  <c r="AG148" i="3"/>
  <c r="AG230" i="3"/>
  <c r="AH138" i="3"/>
  <c r="AG138" i="3"/>
  <c r="BF140" i="3"/>
  <c r="BI140" i="3" s="1"/>
  <c r="AG231" i="3"/>
  <c r="AH231" i="3"/>
  <c r="BF208" i="3"/>
  <c r="BI208" i="3" s="1"/>
  <c r="BE208" i="3"/>
  <c r="BH208" i="3" s="1"/>
  <c r="AH208" i="3"/>
  <c r="AG208" i="3"/>
  <c r="BF262" i="3"/>
  <c r="BI262" i="3" s="1"/>
  <c r="BE262" i="3"/>
  <c r="BH262" i="3" s="1"/>
  <c r="BB143" i="3"/>
  <c r="BA143" i="3"/>
  <c r="BD143" i="3"/>
  <c r="BE86" i="3"/>
  <c r="BH86" i="3" s="1"/>
  <c r="BF86" i="3"/>
  <c r="BI86" i="3" s="1"/>
  <c r="AG255" i="3"/>
  <c r="AH255" i="3"/>
  <c r="BB237" i="3"/>
  <c r="BA237" i="3"/>
  <c r="BD237" i="3"/>
  <c r="BB131" i="3"/>
  <c r="BA131" i="3"/>
  <c r="BD131" i="3"/>
  <c r="AG139" i="3"/>
  <c r="AH139" i="3"/>
  <c r="BE138" i="3"/>
  <c r="BH138" i="3" s="1"/>
  <c r="BF138" i="3"/>
  <c r="BI138" i="3" s="1"/>
  <c r="BF238" i="3"/>
  <c r="BI238" i="3" s="1"/>
  <c r="BE238" i="3"/>
  <c r="BH238" i="3" s="1"/>
  <c r="BA156" i="3"/>
  <c r="BB156" i="3"/>
  <c r="BD156" i="3"/>
  <c r="BF174" i="3"/>
  <c r="BI174" i="3" s="1"/>
  <c r="BE174" i="3"/>
  <c r="BH174" i="3" s="1"/>
  <c r="BB147" i="3"/>
  <c r="BA147" i="3"/>
  <c r="BD147" i="3"/>
  <c r="BF186" i="3"/>
  <c r="BI186" i="3" s="1"/>
  <c r="BE186" i="3"/>
  <c r="BH186" i="3" s="1"/>
  <c r="BB74" i="3"/>
  <c r="BA74" i="3"/>
  <c r="BD74" i="3"/>
  <c r="BA167" i="3"/>
  <c r="BB167" i="3"/>
  <c r="BD167" i="3"/>
  <c r="BF122" i="3"/>
  <c r="BI122" i="3" s="1"/>
  <c r="BE122" i="3"/>
  <c r="BH122" i="3" s="1"/>
  <c r="BE205" i="3"/>
  <c r="BH205" i="3" s="1"/>
  <c r="BF205" i="3"/>
  <c r="BI205" i="3" s="1"/>
  <c r="BE98" i="3"/>
  <c r="BH98" i="3" s="1"/>
  <c r="BF98" i="3"/>
  <c r="BI98" i="3" s="1"/>
  <c r="BE249" i="3"/>
  <c r="BH249" i="3" s="1"/>
  <c r="BF249" i="3"/>
  <c r="BI249" i="3" s="1"/>
  <c r="BA225" i="3"/>
  <c r="BB225" i="3"/>
  <c r="BB235" i="3"/>
  <c r="BA235" i="3"/>
  <c r="BD235" i="3"/>
  <c r="AH105" i="3"/>
  <c r="AG105" i="3"/>
  <c r="AH90" i="3"/>
  <c r="AG90" i="3"/>
  <c r="BB164" i="3"/>
  <c r="BA164" i="3"/>
  <c r="BD164" i="3"/>
  <c r="BA120" i="3"/>
  <c r="BB120" i="3"/>
  <c r="BD120" i="3"/>
  <c r="AG68" i="3"/>
  <c r="AH68" i="3"/>
  <c r="AH242" i="3"/>
  <c r="AG242" i="3"/>
  <c r="BE115" i="3"/>
  <c r="BH115" i="3" s="1"/>
  <c r="BF115" i="3"/>
  <c r="BI115" i="3" s="1"/>
  <c r="BE102" i="3"/>
  <c r="BH102" i="3" s="1"/>
  <c r="BF102" i="3"/>
  <c r="BI102" i="3" s="1"/>
  <c r="BB206" i="3"/>
  <c r="BA206" i="3"/>
  <c r="BD206" i="3"/>
  <c r="BE179" i="3"/>
  <c r="BH179" i="3" s="1"/>
  <c r="BF179" i="3"/>
  <c r="BI179" i="3" s="1"/>
  <c r="BE251" i="3"/>
  <c r="BH251" i="3" s="1"/>
  <c r="BF251" i="3"/>
  <c r="BI251" i="3" s="1"/>
  <c r="BE123" i="3"/>
  <c r="BH123" i="3" s="1"/>
  <c r="BF123" i="3"/>
  <c r="BI123" i="3" s="1"/>
  <c r="BF97" i="3"/>
  <c r="BI97" i="3" s="1"/>
  <c r="BE97" i="3"/>
  <c r="BH97" i="3" s="1"/>
  <c r="BE90" i="3"/>
  <c r="BH90" i="3" s="1"/>
  <c r="BF90" i="3"/>
  <c r="BI90" i="3" s="1"/>
  <c r="AG257" i="3"/>
  <c r="AH257" i="3"/>
  <c r="BB151" i="3"/>
  <c r="BA151" i="3"/>
  <c r="BD151" i="3"/>
  <c r="AG185" i="3"/>
  <c r="AH185" i="3"/>
  <c r="BB203" i="3"/>
  <c r="BA203" i="3"/>
  <c r="BD203" i="3"/>
  <c r="BF192" i="3"/>
  <c r="BI192" i="3" s="1"/>
  <c r="BE192" i="3"/>
  <c r="BH192" i="3" s="1"/>
  <c r="AG225" i="3"/>
  <c r="AH225" i="3"/>
  <c r="BF149" i="3"/>
  <c r="BI149" i="3" s="1"/>
  <c r="BE149" i="3"/>
  <c r="BH149" i="3" s="1"/>
  <c r="AG112" i="3"/>
  <c r="AH112" i="3"/>
  <c r="BB180" i="3"/>
  <c r="BA180" i="3"/>
  <c r="BD180" i="3"/>
  <c r="BF242" i="3"/>
  <c r="BI242" i="3" s="1"/>
  <c r="BE242" i="3"/>
  <c r="BH242" i="3" s="1"/>
  <c r="BA259" i="3"/>
  <c r="BB259" i="3"/>
  <c r="BD259" i="3"/>
  <c r="BF198" i="3"/>
  <c r="BI198" i="3" s="1"/>
  <c r="BE198" i="3"/>
  <c r="BH198" i="3" s="1"/>
  <c r="BA109" i="3"/>
  <c r="BB109" i="3"/>
  <c r="BD109" i="3"/>
  <c r="AG157" i="3"/>
  <c r="AH157" i="3"/>
  <c r="BE133" i="3"/>
  <c r="BH133" i="3" s="1"/>
  <c r="BF133" i="3"/>
  <c r="BI133" i="3" s="1"/>
  <c r="AG195" i="3"/>
  <c r="AH195" i="3"/>
  <c r="BE263" i="3"/>
  <c r="BH263" i="3" s="1"/>
  <c r="BF263" i="3"/>
  <c r="BI263" i="3" s="1"/>
  <c r="BB129" i="3"/>
  <c r="BA129" i="3"/>
  <c r="BD129" i="3"/>
  <c r="BE68" i="3"/>
  <c r="BH68" i="3" s="1"/>
  <c r="BF68" i="3"/>
  <c r="BI68" i="3" s="1"/>
  <c r="BF197" i="3"/>
  <c r="BI197" i="3" s="1"/>
  <c r="BE197" i="3"/>
  <c r="BH197" i="3" s="1"/>
  <c r="BA254" i="3"/>
  <c r="BB254" i="3"/>
  <c r="BD254" i="3"/>
  <c r="BF83" i="3"/>
  <c r="BI83" i="3" s="1"/>
  <c r="BE83" i="3"/>
  <c r="BH83" i="3" s="1"/>
  <c r="BE166" i="3"/>
  <c r="BH166" i="3" s="1"/>
  <c r="BF166" i="3"/>
  <c r="BI166" i="3" s="1"/>
  <c r="AH176" i="3"/>
  <c r="AG176" i="3"/>
  <c r="BF105" i="3"/>
  <c r="BI105" i="3" s="1"/>
  <c r="BE105" i="3"/>
  <c r="BH105" i="3" s="1"/>
  <c r="AG64" i="3"/>
  <c r="AH64" i="3"/>
  <c r="BE154" i="3"/>
  <c r="BH154" i="3" s="1"/>
  <c r="BF154" i="3"/>
  <c r="BI154" i="3" s="1"/>
  <c r="BA69" i="3"/>
  <c r="BB69" i="3"/>
  <c r="BD69" i="3"/>
  <c r="BE207" i="3"/>
  <c r="BH207" i="3" s="1"/>
  <c r="BF207" i="3"/>
  <c r="BI207" i="3" s="1"/>
  <c r="BF220" i="3"/>
  <c r="BI220" i="3" s="1"/>
  <c r="BE220" i="3"/>
  <c r="BH220" i="3" s="1"/>
  <c r="BA258" i="3"/>
  <c r="BB258" i="3"/>
  <c r="BD258" i="3"/>
  <c r="BF155" i="3"/>
  <c r="BI155" i="3" s="1"/>
  <c r="BE155" i="3"/>
  <c r="BH155" i="3" s="1"/>
  <c r="BF160" i="3"/>
  <c r="BI160" i="3" s="1"/>
  <c r="BE160" i="3"/>
  <c r="BH160" i="3" s="1"/>
  <c r="BF176" i="3"/>
  <c r="BI176" i="3" s="1"/>
  <c r="BE176" i="3"/>
  <c r="BH176" i="3" s="1"/>
  <c r="BF161" i="3"/>
  <c r="BI161" i="3" s="1"/>
  <c r="BE161" i="3"/>
  <c r="BH161" i="3" s="1"/>
  <c r="AH97" i="3"/>
  <c r="AG97" i="3"/>
  <c r="BF224" i="3"/>
  <c r="BI224" i="3" s="1"/>
  <c r="BE224" i="3"/>
  <c r="BH224" i="3" s="1"/>
  <c r="BE217" i="3"/>
  <c r="BH217" i="3" s="1"/>
  <c r="BF217" i="3"/>
  <c r="BI217" i="3" s="1"/>
  <c r="BA226" i="3"/>
  <c r="BB226" i="3"/>
  <c r="BD226" i="3"/>
  <c r="AG221" i="3"/>
  <c r="AH221" i="3"/>
  <c r="BB106" i="3"/>
  <c r="BA106" i="3"/>
  <c r="BD106" i="3"/>
  <c r="AH96" i="3"/>
  <c r="AG96" i="3"/>
  <c r="BA75" i="3"/>
  <c r="BB75" i="3"/>
  <c r="BD75" i="3"/>
  <c r="BF225" i="3"/>
  <c r="BI225" i="3" s="1"/>
  <c r="BE225" i="3"/>
  <c r="BH225" i="3" s="1"/>
  <c r="BF193" i="3"/>
  <c r="BI193" i="3" s="1"/>
  <c r="BE193" i="3"/>
  <c r="BH193" i="3" s="1"/>
  <c r="AH102" i="3"/>
  <c r="AG102" i="3"/>
  <c r="AH197" i="3"/>
  <c r="AG197" i="3"/>
  <c r="BF214" i="3" l="1"/>
  <c r="BI214" i="3" s="1"/>
  <c r="BE99" i="3"/>
  <c r="BH99" i="3" s="1"/>
  <c r="BE232" i="3"/>
  <c r="BH232" i="3" s="1"/>
  <c r="BE82" i="3"/>
  <c r="BH82" i="3" s="1"/>
  <c r="BF200" i="3"/>
  <c r="BI200" i="3" s="1"/>
  <c r="BE65" i="3"/>
  <c r="BH65" i="3" s="1"/>
  <c r="BF195" i="3"/>
  <c r="BI195" i="3" s="1"/>
  <c r="BF201" i="3"/>
  <c r="BI201" i="3" s="1"/>
  <c r="BE136" i="3"/>
  <c r="BH136" i="3" s="1"/>
  <c r="BE228" i="3"/>
  <c r="BH228" i="3" s="1"/>
  <c r="BE257" i="3"/>
  <c r="BH257" i="3" s="1"/>
  <c r="BF229" i="3"/>
  <c r="BI229" i="3" s="1"/>
  <c r="BF139" i="3"/>
  <c r="BI139" i="3" s="1"/>
  <c r="BE103" i="3"/>
  <c r="BH103" i="3" s="1"/>
  <c r="BF119" i="3"/>
  <c r="BI119" i="3" s="1"/>
  <c r="BF100" i="3"/>
  <c r="BI100" i="3" s="1"/>
  <c r="BF255" i="3"/>
  <c r="BI255" i="3" s="1"/>
  <c r="BF240" i="3"/>
  <c r="BI240" i="3" s="1"/>
  <c r="BF101" i="3"/>
  <c r="BI101" i="3" s="1"/>
  <c r="BF157" i="3"/>
  <c r="BI157" i="3" s="1"/>
  <c r="BF215" i="3"/>
  <c r="BI215" i="3" s="1"/>
  <c r="BF152" i="3"/>
  <c r="BI152" i="3" s="1"/>
  <c r="BE222" i="3"/>
  <c r="BH222" i="3" s="1"/>
  <c r="BF104" i="3"/>
  <c r="BI104" i="3" s="1"/>
  <c r="BF92" i="3"/>
  <c r="BI92" i="3" s="1"/>
  <c r="BF187" i="3"/>
  <c r="BI187" i="3" s="1"/>
  <c r="BF231" i="3"/>
  <c r="BI231" i="3" s="1"/>
  <c r="BE145" i="3"/>
  <c r="BH145" i="3" s="1"/>
  <c r="BE80" i="3"/>
  <c r="BH80" i="3" s="1"/>
  <c r="BF96" i="3"/>
  <c r="BI96" i="3" s="1"/>
  <c r="BF87" i="3"/>
  <c r="BI87" i="3" s="1"/>
  <c r="BE219" i="3"/>
  <c r="BH219" i="3" s="1"/>
  <c r="BE77" i="3"/>
  <c r="BH77" i="3" s="1"/>
  <c r="BF181" i="3"/>
  <c r="BI181" i="3" s="1"/>
  <c r="BF94" i="3"/>
  <c r="BI94" i="3" s="1"/>
  <c r="BF239" i="3"/>
  <c r="BI239" i="3" s="1"/>
  <c r="BF89" i="3"/>
  <c r="BI89" i="3" s="1"/>
  <c r="BF256" i="3"/>
  <c r="BI256" i="3" s="1"/>
  <c r="BF113" i="3"/>
  <c r="BI113" i="3" s="1"/>
  <c r="BF244" i="3"/>
  <c r="BI244" i="3" s="1"/>
  <c r="BE76" i="3"/>
  <c r="BH76" i="3" s="1"/>
  <c r="BE204" i="3"/>
  <c r="BH204" i="3" s="1"/>
  <c r="BF185" i="3"/>
  <c r="BI185" i="3" s="1"/>
  <c r="BF221" i="3"/>
  <c r="BI221" i="3" s="1"/>
  <c r="BE211" i="3"/>
  <c r="BH211" i="3" s="1"/>
  <c r="BF72" i="3"/>
  <c r="BI72" i="3" s="1"/>
  <c r="BF243" i="3"/>
  <c r="BI243" i="3" s="1"/>
  <c r="BE93" i="3"/>
  <c r="BH93" i="3" s="1"/>
  <c r="BF107" i="3"/>
  <c r="BI107" i="3" s="1"/>
  <c r="BE112" i="3"/>
  <c r="BH112" i="3" s="1"/>
  <c r="BE260" i="3"/>
  <c r="BH260" i="3" s="1"/>
  <c r="BE172" i="3"/>
  <c r="BH172" i="3" s="1"/>
  <c r="BF227" i="3"/>
  <c r="BI227" i="3" s="1"/>
  <c r="BF189" i="3"/>
  <c r="BI189" i="3" s="1"/>
  <c r="BF182" i="3"/>
  <c r="BI182" i="3" s="1"/>
  <c r="BE218" i="3"/>
  <c r="BH218" i="3" s="1"/>
  <c r="BE144" i="3"/>
  <c r="BH144" i="3" s="1"/>
  <c r="BF114" i="3"/>
  <c r="BI114" i="3" s="1"/>
  <c r="BE236" i="3"/>
  <c r="BH236" i="3" s="1"/>
  <c r="BE202" i="3"/>
  <c r="BH202" i="3" s="1"/>
  <c r="BF183" i="3"/>
  <c r="BI183" i="3" s="1"/>
  <c r="BF230" i="3"/>
  <c r="BI230" i="3" s="1"/>
  <c r="BE234" i="3"/>
  <c r="BH234" i="3" s="1"/>
  <c r="BF78" i="3"/>
  <c r="BI78" i="3" s="1"/>
  <c r="BE212" i="3"/>
  <c r="BH212" i="3" s="1"/>
  <c r="BE210" i="3"/>
  <c r="BH210" i="3" s="1"/>
  <c r="BF95" i="3"/>
  <c r="BI95" i="3" s="1"/>
  <c r="BE95" i="3"/>
  <c r="BH95" i="3" s="1"/>
  <c r="BE203" i="3"/>
  <c r="BH203" i="3" s="1"/>
  <c r="BF203" i="3"/>
  <c r="BI203" i="3" s="1"/>
  <c r="BF75" i="3"/>
  <c r="BI75" i="3" s="1"/>
  <c r="BE75" i="3"/>
  <c r="BH75" i="3" s="1"/>
  <c r="BF226" i="3"/>
  <c r="BI226" i="3" s="1"/>
  <c r="BE226" i="3"/>
  <c r="BH226" i="3" s="1"/>
  <c r="BF258" i="3"/>
  <c r="BI258" i="3" s="1"/>
  <c r="BE258" i="3"/>
  <c r="BH258" i="3" s="1"/>
  <c r="BF254" i="3"/>
  <c r="BI254" i="3" s="1"/>
  <c r="BE254" i="3"/>
  <c r="BH254" i="3" s="1"/>
  <c r="BF109" i="3"/>
  <c r="BI109" i="3" s="1"/>
  <c r="BE109" i="3"/>
  <c r="BH109" i="3" s="1"/>
  <c r="BF180" i="3"/>
  <c r="BI180" i="3" s="1"/>
  <c r="BE180" i="3"/>
  <c r="BH180" i="3" s="1"/>
  <c r="BE235" i="3"/>
  <c r="BH235" i="3" s="1"/>
  <c r="BF235" i="3"/>
  <c r="BI235" i="3" s="1"/>
  <c r="BE74" i="3"/>
  <c r="BH74" i="3" s="1"/>
  <c r="BF74" i="3"/>
  <c r="BI74" i="3" s="1"/>
  <c r="BE237" i="3"/>
  <c r="BH237" i="3" s="1"/>
  <c r="BF237" i="3"/>
  <c r="BI237" i="3" s="1"/>
  <c r="BF259" i="3"/>
  <c r="BI259" i="3" s="1"/>
  <c r="BE259" i="3"/>
  <c r="BH259" i="3" s="1"/>
  <c r="BE131" i="3"/>
  <c r="BH131" i="3" s="1"/>
  <c r="BF131" i="3"/>
  <c r="BI131" i="3" s="1"/>
  <c r="BE106" i="3"/>
  <c r="BH106" i="3" s="1"/>
  <c r="BF106" i="3"/>
  <c r="BI106" i="3" s="1"/>
  <c r="BF151" i="3"/>
  <c r="BI151" i="3" s="1"/>
  <c r="BE151" i="3"/>
  <c r="BH151" i="3" s="1"/>
  <c r="BF120" i="3"/>
  <c r="BI120" i="3" s="1"/>
  <c r="BE120" i="3"/>
  <c r="BH120" i="3" s="1"/>
  <c r="BF156" i="3"/>
  <c r="BI156" i="3" s="1"/>
  <c r="BE156" i="3"/>
  <c r="BH156" i="3" s="1"/>
  <c r="BF69" i="3"/>
  <c r="BI69" i="3" s="1"/>
  <c r="BE69" i="3"/>
  <c r="BH69" i="3" s="1"/>
  <c r="BF147" i="3"/>
  <c r="BI147" i="3" s="1"/>
  <c r="BE147" i="3"/>
  <c r="BH147" i="3" s="1"/>
  <c r="BE129" i="3"/>
  <c r="BH129" i="3" s="1"/>
  <c r="BF129" i="3"/>
  <c r="BI129" i="3" s="1"/>
  <c r="BF206" i="3"/>
  <c r="BI206" i="3" s="1"/>
  <c r="BE206" i="3"/>
  <c r="BH206" i="3" s="1"/>
  <c r="BE164" i="3"/>
  <c r="BH164" i="3" s="1"/>
  <c r="BF164" i="3"/>
  <c r="BI164" i="3" s="1"/>
  <c r="BF167" i="3"/>
  <c r="BI167" i="3" s="1"/>
  <c r="BE167" i="3"/>
  <c r="BH167" i="3" s="1"/>
  <c r="BF143" i="3"/>
  <c r="BI143" i="3" s="1"/>
  <c r="BE143" i="3"/>
  <c r="BH143" i="3" s="1"/>
  <c r="M36" i="3" l="1"/>
  <c r="O36" i="3" s="1"/>
  <c r="M34" i="3"/>
  <c r="M35" i="3"/>
  <c r="O35" i="3" s="1"/>
</calcChain>
</file>

<file path=xl/sharedStrings.xml><?xml version="1.0" encoding="utf-8"?>
<sst xmlns="http://schemas.openxmlformats.org/spreadsheetml/2006/main" count="399" uniqueCount="287">
  <si>
    <t>Power Loss Calculation</t>
  </si>
  <si>
    <t>Switching Frequency</t>
  </si>
  <si>
    <t>kHz</t>
  </si>
  <si>
    <t>On Time</t>
  </si>
  <si>
    <t>ns</t>
  </si>
  <si>
    <t>V</t>
  </si>
  <si>
    <t>Duty Cycle</t>
  </si>
  <si>
    <t>Effective Output Resistance</t>
  </si>
  <si>
    <t>Ohm</t>
  </si>
  <si>
    <t>Output Current</t>
  </si>
  <si>
    <t>A</t>
  </si>
  <si>
    <t>Iupper,rms</t>
  </si>
  <si>
    <t>OUTPUT INDUCTOR</t>
  </si>
  <si>
    <t>Ilower,rms</t>
  </si>
  <si>
    <r>
      <t>Inductor Current Ripple Ratio (</t>
    </r>
    <r>
      <rPr>
        <b/>
        <sz val="10"/>
        <rFont val="Arial"/>
        <family val="2"/>
      </rPr>
      <t>∆</t>
    </r>
    <r>
      <rPr>
        <b/>
        <sz val="10"/>
        <rFont val="Times New Roman"/>
        <family val="1"/>
      </rPr>
      <t>I/ILOAD)</t>
    </r>
  </si>
  <si>
    <t>%</t>
  </si>
  <si>
    <t>Recommended Inductor</t>
  </si>
  <si>
    <t>uH</t>
  </si>
  <si>
    <t>Current Ripple</t>
  </si>
  <si>
    <t>Ap-p</t>
  </si>
  <si>
    <t>Output Inductor</t>
  </si>
  <si>
    <t>Switching Loss</t>
  </si>
  <si>
    <t xml:space="preserve">     DCR</t>
  </si>
  <si>
    <t>mOhm</t>
  </si>
  <si>
    <t>Upper MOSFET</t>
  </si>
  <si>
    <t>Lower MOSFET</t>
  </si>
  <si>
    <t>OUTPUT CAPACITOR</t>
  </si>
  <si>
    <t>Driver</t>
  </si>
  <si>
    <t>Number of Output Capacitor</t>
  </si>
  <si>
    <t>uF</t>
  </si>
  <si>
    <t>Ouput Cap. ESR</t>
  </si>
  <si>
    <t>Conduction Loss</t>
  </si>
  <si>
    <t xml:space="preserve">   ESR (Each)</t>
  </si>
  <si>
    <t>UPPER MOSFET</t>
  </si>
  <si>
    <t>Rds,on</t>
  </si>
  <si>
    <t>LOWER MOSFET</t>
  </si>
  <si>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C/Watt</t>
    </r>
  </si>
  <si>
    <t>Ambient Temperature</t>
  </si>
  <si>
    <r>
      <rPr>
        <b/>
        <sz val="10"/>
        <rFont val="Symbol"/>
        <family val="1"/>
        <charset val="2"/>
      </rPr>
      <t>°</t>
    </r>
    <r>
      <rPr>
        <b/>
        <sz val="10"/>
        <rFont val="Arial"/>
        <family val="2"/>
      </rPr>
      <t>C</t>
    </r>
  </si>
  <si>
    <t>Total Loss</t>
  </si>
  <si>
    <t>Watts</t>
  </si>
  <si>
    <t>Efficiency</t>
  </si>
  <si>
    <t>Power Dissipation in IC</t>
  </si>
  <si>
    <t>W</t>
  </si>
  <si>
    <t xml:space="preserve">   Rds,on</t>
  </si>
  <si>
    <t xml:space="preserve">   Vd</t>
  </si>
  <si>
    <t xml:space="preserve">   Qrr</t>
  </si>
  <si>
    <t>nC</t>
  </si>
  <si>
    <t xml:space="preserve">   Qg</t>
  </si>
  <si>
    <t xml:space="preserve">   Cgs</t>
  </si>
  <si>
    <t>nF</t>
  </si>
  <si>
    <t>Rdson*Cgs</t>
  </si>
  <si>
    <t>mOhm*nF</t>
  </si>
  <si>
    <t xml:space="preserve">   Coss</t>
  </si>
  <si>
    <t>Rdson*Coss</t>
  </si>
  <si>
    <t xml:space="preserve">   Tr</t>
  </si>
  <si>
    <t>Switching time of upper MOSFET from OFF to ON</t>
  </si>
  <si>
    <t xml:space="preserve">   Tf</t>
  </si>
  <si>
    <t>Switching time of upper MOSFET from ON to OFF</t>
  </si>
  <si>
    <t xml:space="preserve">   n</t>
  </si>
  <si>
    <t>Number of upper MOSFETs</t>
  </si>
  <si>
    <t xml:space="preserve">   Pcon</t>
  </si>
  <si>
    <t>Upper MOSFETs conduction loss = (Irms.upper)^2*Rds/n</t>
  </si>
  <si>
    <t xml:space="preserve">   Psw_on</t>
  </si>
  <si>
    <t>Upper MOSFETs turn-ON switching loss = Vin*(Iout-Irip/2)*Tr*Fsw/2</t>
  </si>
  <si>
    <t xml:space="preserve">   Psw_off</t>
  </si>
  <si>
    <t>Upper MOSFETs turn-OFF switching loss = Vin*(Iout+Irip/2)*Tf*Fsw/2</t>
  </si>
  <si>
    <t xml:space="preserve">   Pdiode</t>
  </si>
  <si>
    <t>Upper MOSFET diode reverse recovery loss = n*Vin*Fsw*Qrr</t>
  </si>
  <si>
    <t xml:space="preserve">   Pcap</t>
  </si>
  <si>
    <t>MOSFET output capacitance loss  = n*Coss*(Vin)^2*Fsw/2</t>
  </si>
  <si>
    <t xml:space="preserve">   Pupper</t>
  </si>
  <si>
    <t>Total upper MOSFETs Power loss</t>
  </si>
  <si>
    <t xml:space="preserve">   Td_on</t>
  </si>
  <si>
    <t>Dead time for UGATE OFF to LGATE ON</t>
  </si>
  <si>
    <t xml:space="preserve">   Td_off</t>
  </si>
  <si>
    <t>Dead time for LGATE ON to UGATE OFF</t>
  </si>
  <si>
    <t>Number of lower MOSFETs</t>
  </si>
  <si>
    <t>Lower MOSFET conduction loss = (Irms.lower)^2*Rds/n</t>
  </si>
  <si>
    <t>Body diode conduction loss = Vd*Fsw*[ (Iout+Irip/2) * Td1+ (Iout-Irip/2) * Td2]</t>
  </si>
  <si>
    <t xml:space="preserve">   Pdiode_QRR</t>
  </si>
  <si>
    <t xml:space="preserve">   Plower</t>
  </si>
  <si>
    <t>Total lower MOSFETs Power loss</t>
  </si>
  <si>
    <t>DRIVER POWER LOSS</t>
  </si>
  <si>
    <t>Vgs,u</t>
  </si>
  <si>
    <t>Vgs,l</t>
  </si>
  <si>
    <t>Iq</t>
  </si>
  <si>
    <t>mA</t>
  </si>
  <si>
    <t>Quiescent Current</t>
  </si>
  <si>
    <t>Pdr,up</t>
  </si>
  <si>
    <t>Upper MOSFET driver loss = n*Vgs1*Fsw*Qg.up</t>
  </si>
  <si>
    <t>Pdr,low</t>
  </si>
  <si>
    <t>Lower MOSFET driver loss = n*Vgs2*Fsw*Qg.low</t>
  </si>
  <si>
    <t>LDO</t>
  </si>
  <si>
    <t>LDO Loss = (Vin-V_LDO)*Iq</t>
  </si>
  <si>
    <t>Pdriver</t>
  </si>
  <si>
    <t>Total driver power loss</t>
  </si>
  <si>
    <t>OUTPUT INDUCTOR LOSS</t>
  </si>
  <si>
    <t>Pcore</t>
  </si>
  <si>
    <t>Inductor core loss</t>
  </si>
  <si>
    <t>Pcon</t>
  </si>
  <si>
    <t>Inductor conduction loss = (Irms)^2*DCR</t>
  </si>
  <si>
    <t>Pind</t>
  </si>
  <si>
    <t>Total inductor loss</t>
  </si>
  <si>
    <t>OUTPUT CAPACITOR LOSS</t>
  </si>
  <si>
    <t>Pesr</t>
  </si>
  <si>
    <t>ESR Conduction Loss</t>
  </si>
  <si>
    <t>PWM Efficiency Summary</t>
  </si>
  <si>
    <t>Min Current</t>
  </si>
  <si>
    <t>Max Current</t>
  </si>
  <si>
    <t xml:space="preserve">Total Power Loss </t>
  </si>
  <si>
    <t>Losses in Upper MOSFET</t>
  </si>
  <si>
    <t>Losses in Lower MOSFET</t>
  </si>
  <si>
    <t>Driver Loss</t>
  </si>
  <si>
    <t>Inductor Loss</t>
  </si>
  <si>
    <t>Capactor Loss</t>
  </si>
  <si>
    <t>D</t>
  </si>
  <si>
    <t>Irip</t>
  </si>
  <si>
    <t>Iup,rms</t>
  </si>
  <si>
    <t>Ilos,rms</t>
  </si>
  <si>
    <t>V_ls_diode</t>
  </si>
  <si>
    <t>Dead Time</t>
  </si>
  <si>
    <t>nsec</t>
  </si>
  <si>
    <t>uA</t>
  </si>
  <si>
    <t>On time pulse</t>
  </si>
  <si>
    <t>Off time pulse</t>
  </si>
  <si>
    <t>Hz</t>
  </si>
  <si>
    <t>f1=1/(dt1+dt2)</t>
  </si>
  <si>
    <t>f2=2*Iout(I_PFM_pk/2 -Iout)/((Vout_upper-Vout)*Cout*I_PFM_pk)</t>
  </si>
  <si>
    <t>Inductor conduction loss</t>
  </si>
  <si>
    <t>P_hs_cond</t>
  </si>
  <si>
    <t>P_hs_cond=Rdson_hs*2*Iout*T_PFM_pk*Vout/(3*Vin)</t>
  </si>
  <si>
    <t>P_hs_turn_off</t>
  </si>
  <si>
    <t>P_hs_turn_off is the ac loss = 2*Cgsp*Vin^2*Iout(Vout*(Vin-Vout)/(I_PFM_pk*L*)*tf</t>
  </si>
  <si>
    <t>P_hs_gate_drive</t>
  </si>
  <si>
    <t>P_hs_gate_drive is the gate driver loss = Cgshs*Vgs^2*2*Iout*Vout*(Vin-Vout)/(I_PFM_pk^2*L*Vdr)</t>
  </si>
  <si>
    <t>N_ls_cond</t>
  </si>
  <si>
    <t>N_ls_cond=Rdson_ls*2*Iout*I_PFM_pk*(Vin-Vout)/(3*Vin)</t>
  </si>
  <si>
    <t>N_ls_gate_drive</t>
  </si>
  <si>
    <t>N_ls_gate_drive is the gate driver loss = Cgshs*Vgs^2*2*Iout*Vout*(Vin-Vout)/(I_PFM_pk^2*L*Vdr)</t>
  </si>
  <si>
    <t>D_ls_diode</t>
  </si>
  <si>
    <t>N_ls_diode=V_ls_diode*Dead_time*2*Iout*Vout*(Vin-Vout)/(I_PFM_pk^2*Lout*Vin)</t>
  </si>
  <si>
    <t>Cout_esr</t>
  </si>
  <si>
    <t>Cout_esr=Resr*Iout*I_PFM_pk/6</t>
  </si>
  <si>
    <t>P_iq</t>
  </si>
  <si>
    <t>Quiescent Power Loss=Iq*Vin</t>
  </si>
  <si>
    <t xml:space="preserve">Compensator Design - Type 2  </t>
  </si>
  <si>
    <t>Note: In order for the Compensation Design to work, need to have the Analysis Tool Pack active.</t>
  </si>
  <si>
    <t xml:space="preserve">See Below For Graphical Represenatation of Ti(s), Tv(s), T(s), Rfb1, Rfb2, Cfb1, R1, C1, C2 </t>
  </si>
  <si>
    <t xml:space="preserve">1. Go to File, then Option. </t>
  </si>
  <si>
    <t>Transfer Function</t>
  </si>
  <si>
    <t>Controller</t>
  </si>
  <si>
    <t xml:space="preserve">2. Select Add-Ins. </t>
  </si>
  <si>
    <r>
      <t>Tran-resistance, R</t>
    </r>
    <r>
      <rPr>
        <vertAlign val="subscript"/>
        <sz val="10"/>
        <rFont val="Arial"/>
        <family val="2"/>
      </rPr>
      <t>T</t>
    </r>
  </si>
  <si>
    <t>3. If Analysis-ToolPak if it is inactive. Then use the manage menu.</t>
  </si>
  <si>
    <r>
      <t>Slope Compensation, S</t>
    </r>
    <r>
      <rPr>
        <vertAlign val="subscript"/>
        <sz val="10"/>
        <rFont val="Arial"/>
        <family val="2"/>
      </rPr>
      <t>E (without Fs)</t>
    </r>
  </si>
  <si>
    <t>Current Sense, Sn</t>
  </si>
  <si>
    <t>A/s</t>
  </si>
  <si>
    <t>4. Select Excel Add-ins and click Go.</t>
  </si>
  <si>
    <r>
      <t>Total Control Slope, m</t>
    </r>
    <r>
      <rPr>
        <vertAlign val="subscript"/>
        <sz val="10"/>
        <rFont val="Arial"/>
        <family val="2"/>
      </rPr>
      <t>c</t>
    </r>
  </si>
  <si>
    <t>5. Check Analysis-ToolPak and click OK.</t>
  </si>
  <si>
    <t>ωo</t>
  </si>
  <si>
    <t>Error Amp Output Resistance, Roerr</t>
  </si>
  <si>
    <t>ohm</t>
  </si>
  <si>
    <t>Fesr</t>
  </si>
  <si>
    <t>Feedback Voltage, VFB</t>
  </si>
  <si>
    <t>Fz</t>
  </si>
  <si>
    <t>Transconductance, gm</t>
  </si>
  <si>
    <t>S</t>
  </si>
  <si>
    <t>Q</t>
  </si>
  <si>
    <t>Caculated Values</t>
  </si>
  <si>
    <t>Selected Values</t>
  </si>
  <si>
    <t>Fs</t>
  </si>
  <si>
    <t>Desired Fc</t>
  </si>
  <si>
    <t>of Fs = Fc</t>
  </si>
  <si>
    <t>Resistive Divider</t>
  </si>
  <si>
    <t>F</t>
  </si>
  <si>
    <t>User Selects R1</t>
  </si>
  <si>
    <t>User Selects R2</t>
  </si>
  <si>
    <t>Fz1</t>
  </si>
  <si>
    <t>Fp2</t>
  </si>
  <si>
    <t>User Selects Cfb2</t>
  </si>
  <si>
    <t>Bandwidth</t>
  </si>
  <si>
    <t>Phase margin</t>
  </si>
  <si>
    <t>degree</t>
  </si>
  <si>
    <t>Sampling Transfer Functions</t>
  </si>
  <si>
    <t>wn</t>
  </si>
  <si>
    <t>Qn</t>
  </si>
  <si>
    <t>Fm</t>
  </si>
  <si>
    <t>Fstart</t>
  </si>
  <si>
    <t>Fstop</t>
  </si>
  <si>
    <t>Fstep</t>
  </si>
  <si>
    <t>Step</t>
  </si>
  <si>
    <t>Calculations for the Sampling Transfer function</t>
  </si>
  <si>
    <t>Current Loop Gain</t>
  </si>
  <si>
    <t>Open Loop Voltage Gain</t>
  </si>
  <si>
    <t>Total Loop Gain</t>
  </si>
  <si>
    <t>Voltage Divider Gain</t>
  </si>
  <si>
    <t>Gain of Internal Compensation</t>
  </si>
  <si>
    <t>Open Loop to Inductor Current Transfer function</t>
  </si>
  <si>
    <t>Open Loop duty Cycle to Output Voltage Transfer Function</t>
  </si>
  <si>
    <t>Fm*Rt*Fdi(S)*He(S)</t>
  </si>
  <si>
    <t>Fm*Fdv(S)</t>
  </si>
  <si>
    <t>TV(S)/1+Ti(S)</t>
  </si>
  <si>
    <t>Compensator</t>
  </si>
  <si>
    <t>Voltage loop with compensation</t>
  </si>
  <si>
    <t>Closed Loop with Compensation</t>
  </si>
  <si>
    <t>To Find the Bandwidth</t>
  </si>
  <si>
    <t>S = j*2*pi*F</t>
  </si>
  <si>
    <t>Real He(s)</t>
  </si>
  <si>
    <t>Imag He(S)</t>
  </si>
  <si>
    <t>Complex He(S)</t>
  </si>
  <si>
    <t>Gain He(S)</t>
  </si>
  <si>
    <t>Phase He(S)</t>
  </si>
  <si>
    <t>Gain</t>
  </si>
  <si>
    <t>Upper Complex</t>
  </si>
  <si>
    <t>Lower Complex</t>
  </si>
  <si>
    <t>Fdi(S)</t>
  </si>
  <si>
    <t>lower Same as inductor</t>
  </si>
  <si>
    <t>Fdv(S)</t>
  </si>
  <si>
    <t>Ti(s)</t>
  </si>
  <si>
    <t>Phase</t>
  </si>
  <si>
    <t>Tv(S)</t>
  </si>
  <si>
    <t>T(S)</t>
  </si>
  <si>
    <t>gain</t>
  </si>
  <si>
    <t>phase</t>
  </si>
  <si>
    <t>Z1(S)</t>
  </si>
  <si>
    <t>Z2(S)</t>
  </si>
  <si>
    <t>2nd gm pole</t>
  </si>
  <si>
    <t>2nd gm pole//Cp1</t>
  </si>
  <si>
    <t>2 poles contribution</t>
  </si>
  <si>
    <t>Voltage Gain Denominator</t>
  </si>
  <si>
    <t>K(S)</t>
  </si>
  <si>
    <t>top</t>
  </si>
  <si>
    <t>bottom</t>
  </si>
  <si>
    <t>A(S)</t>
  </si>
  <si>
    <t>K(S)*A(S)</t>
  </si>
  <si>
    <t>mag</t>
  </si>
  <si>
    <t>Tv(s)c</t>
  </si>
  <si>
    <t>T(s)</t>
  </si>
  <si>
    <t>1-gain</t>
  </si>
  <si>
    <t>-Phase</t>
  </si>
  <si>
    <t>Gain margin</t>
  </si>
  <si>
    <t>Lower MOSFET diode reverse recovery loss = n*Vin*Fsw*Qrr/2</t>
  </si>
  <si>
    <t>User Selects C3</t>
  </si>
  <si>
    <t>R3</t>
  </si>
  <si>
    <t>C5</t>
  </si>
  <si>
    <t>C6</t>
  </si>
  <si>
    <t>Output Voltage Ripple</t>
  </si>
  <si>
    <t>dB</t>
  </si>
  <si>
    <t>mVp-p</t>
  </si>
  <si>
    <t>Program UVLO:</t>
  </si>
  <si>
    <r>
      <t>V</t>
    </r>
    <r>
      <rPr>
        <b/>
        <vertAlign val="subscript"/>
        <sz val="10"/>
        <rFont val="Arial"/>
        <family val="2"/>
      </rPr>
      <t>ON</t>
    </r>
  </si>
  <si>
    <t>kOhm</t>
  </si>
  <si>
    <r>
      <t>V</t>
    </r>
    <r>
      <rPr>
        <b/>
        <vertAlign val="subscript"/>
        <sz val="10"/>
        <rFont val="Arial"/>
        <family val="2"/>
      </rPr>
      <t>OFF</t>
    </r>
  </si>
  <si>
    <t>R5</t>
  </si>
  <si>
    <t>R6</t>
  </si>
  <si>
    <t>Part Number</t>
  </si>
  <si>
    <t>Internal</t>
  </si>
  <si>
    <t>External</t>
  </si>
  <si>
    <t>Compensation Scheme</t>
  </si>
  <si>
    <t>Time shift</t>
  </si>
  <si>
    <t>Frequency</t>
  </si>
  <si>
    <t>Energy Current</t>
  </si>
  <si>
    <t>DCM-CCM Boundary</t>
  </si>
  <si>
    <t>AP63200</t>
  </si>
  <si>
    <t>AP63201</t>
  </si>
  <si>
    <t>AP63203</t>
  </si>
  <si>
    <t>AP63205</t>
  </si>
  <si>
    <t>AP63300</t>
  </si>
  <si>
    <t>AP63301</t>
  </si>
  <si>
    <r>
      <t xml:space="preserve">Thermal Resistance, </t>
    </r>
    <r>
      <rPr>
        <b/>
        <sz val="10"/>
        <rFont val="Calibri"/>
        <family val="2"/>
      </rPr>
      <t>θja</t>
    </r>
  </si>
  <si>
    <t xml:space="preserve">   Capacitance (Each with degrading)</t>
  </si>
  <si>
    <t>6. Go to File, then Option.</t>
  </si>
  <si>
    <t>7. Select Advance.</t>
  </si>
  <si>
    <t>8. Unselect Use System separator</t>
  </si>
  <si>
    <t/>
  </si>
  <si>
    <t>9. Change to local Decimal/Thousand separator to "." or ","</t>
  </si>
  <si>
    <t>10. Click OK.</t>
  </si>
  <si>
    <t>AP63200Q</t>
  </si>
  <si>
    <t>AP63201Q</t>
  </si>
  <si>
    <t>AP63203Q</t>
  </si>
  <si>
    <t>AP63205Q</t>
  </si>
  <si>
    <t>AP63300Q</t>
  </si>
  <si>
    <t>AP63301Q</t>
  </si>
  <si>
    <t>Version 2.1</t>
  </si>
  <si>
    <t>Junction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</si>
</sst>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0.000E+00"/>
    <numFmt numFmtId="167" formatCode="#,##0.0"/>
    <numFmt numFmtId="168" formatCode="#,##0.000"/>
    <numFmt numFmtId="169" formatCode="0.0E+00"/>
    <numFmt numFmtId="170" formatCode="0.0000E+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sz val="10"/>
      <name val="Times New Roman"/>
      <family val="1"/>
    </font>
    <font>
      <b/>
      <sz val="10"/>
      <color theme="0"/>
      <name val="Arial"/>
      <family val="2"/>
    </font>
    <font>
      <b/>
      <sz val="10"/>
      <name val="Symbol"/>
      <family val="1"/>
      <charset val="2"/>
    </font>
    <font>
      <b/>
      <i/>
      <u/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2"/>
      <color indexed="9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9"/>
      <name val="Arial"/>
      <family val="2"/>
    </font>
    <font>
      <vertAlign val="subscript"/>
      <sz val="10"/>
      <name val="Arial"/>
      <family val="2"/>
    </font>
    <font>
      <sz val="10"/>
      <color indexed="63"/>
      <name val="Times New Roman"/>
      <family val="1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10"/>
      <color indexed="9"/>
      <name val="Times New Roman"/>
      <family val="1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00B0F0"/>
      <name val="Calibri"/>
      <family val="2"/>
      <scheme val="minor"/>
    </font>
    <font>
      <sz val="11"/>
      <color rgb="FFFFFF66"/>
      <name val="Calibri"/>
      <family val="2"/>
      <scheme val="minor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6"/>
      <color rgb="FF0070C0"/>
      <name val="Calibri"/>
      <family val="2"/>
      <scheme val="minor"/>
    </font>
    <font>
      <b/>
      <sz val="14"/>
      <color rgb="FFFF0000"/>
      <name val="Arial"/>
      <family val="2"/>
    </font>
    <font>
      <b/>
      <sz val="10"/>
      <name val="Calibri"/>
      <family val="2"/>
    </font>
    <font>
      <b/>
      <i/>
      <u/>
      <sz val="10"/>
      <color theme="0"/>
      <name val="Arial"/>
      <family val="2"/>
    </font>
    <font>
      <b/>
      <i/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5" fillId="0" borderId="0">
      <alignment vertical="center"/>
    </xf>
    <xf numFmtId="0" fontId="26" fillId="0" borderId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0" xfId="0" applyFont="1" applyFill="1" applyProtection="1">
      <protection locked="0"/>
    </xf>
    <xf numFmtId="0" fontId="2" fillId="4" borderId="0" xfId="0" applyFont="1" applyFill="1"/>
    <xf numFmtId="1" fontId="2" fillId="5" borderId="0" xfId="0" applyNumberFormat="1" applyFont="1" applyFill="1"/>
    <xf numFmtId="164" fontId="2" fillId="3" borderId="0" xfId="0" applyNumberFormat="1" applyFont="1" applyFill="1" applyProtection="1">
      <protection locked="0"/>
    </xf>
    <xf numFmtId="2" fontId="2" fillId="5" borderId="0" xfId="0" applyNumberFormat="1" applyFont="1" applyFill="1"/>
    <xf numFmtId="0" fontId="5" fillId="2" borderId="0" xfId="0" applyFont="1" applyFill="1"/>
    <xf numFmtId="164" fontId="2" fillId="5" borderId="0" xfId="0" applyNumberFormat="1" applyFont="1" applyFill="1"/>
    <xf numFmtId="2" fontId="2" fillId="2" borderId="0" xfId="0" applyNumberFormat="1" applyFont="1" applyFill="1"/>
    <xf numFmtId="0" fontId="6" fillId="2" borderId="0" xfId="0" applyFont="1" applyFill="1"/>
    <xf numFmtId="0" fontId="7" fillId="2" borderId="0" xfId="0" applyFont="1" applyFill="1"/>
    <xf numFmtId="0" fontId="7" fillId="3" borderId="0" xfId="0" applyFont="1" applyFill="1" applyProtection="1">
      <protection locked="0"/>
    </xf>
    <xf numFmtId="0" fontId="7" fillId="4" borderId="0" xfId="0" applyFont="1" applyFill="1"/>
    <xf numFmtId="164" fontId="7" fillId="5" borderId="0" xfId="0" applyNumberFormat="1" applyFont="1" applyFill="1"/>
    <xf numFmtId="0" fontId="8" fillId="2" borderId="0" xfId="0" applyFont="1" applyFill="1" applyProtection="1">
      <protection hidden="1"/>
    </xf>
    <xf numFmtId="0" fontId="8" fillId="2" borderId="0" xfId="0" applyFont="1" applyFill="1"/>
    <xf numFmtId="0" fontId="2" fillId="2" borderId="0" xfId="0" quotePrefix="1" applyFont="1" applyFill="1"/>
    <xf numFmtId="1" fontId="2" fillId="3" borderId="0" xfId="0" applyNumberFormat="1" applyFont="1" applyFill="1" applyProtection="1">
      <protection locked="0"/>
    </xf>
    <xf numFmtId="165" fontId="8" fillId="2" borderId="0" xfId="0" applyNumberFormat="1" applyFont="1" applyFill="1" applyProtection="1">
      <protection hidden="1"/>
    </xf>
    <xf numFmtId="1" fontId="2" fillId="2" borderId="0" xfId="0" applyNumberFormat="1" applyFont="1" applyFill="1"/>
    <xf numFmtId="0" fontId="2" fillId="2" borderId="0" xfId="2" applyFont="1" applyFill="1"/>
    <xf numFmtId="0" fontId="2" fillId="4" borderId="0" xfId="2" applyFont="1" applyFill="1"/>
    <xf numFmtId="0" fontId="10" fillId="2" borderId="0" xfId="0" applyFont="1" applyFill="1"/>
    <xf numFmtId="165" fontId="11" fillId="5" borderId="0" xfId="0" applyNumberFormat="1" applyFont="1" applyFill="1"/>
    <xf numFmtId="0" fontId="11" fillId="4" borderId="0" xfId="0" applyFont="1" applyFill="1"/>
    <xf numFmtId="164" fontId="2" fillId="5" borderId="0" xfId="2" applyNumberFormat="1" applyFont="1" applyFill="1"/>
    <xf numFmtId="165" fontId="2" fillId="6" borderId="0" xfId="0" applyNumberFormat="1" applyFont="1" applyFill="1"/>
    <xf numFmtId="0" fontId="2" fillId="7" borderId="0" xfId="0" applyFont="1" applyFill="1"/>
    <xf numFmtId="1" fontId="2" fillId="2" borderId="1" xfId="0" applyNumberFormat="1" applyFont="1" applyFill="1" applyBorder="1"/>
    <xf numFmtId="0" fontId="12" fillId="2" borderId="0" xfId="0" applyFont="1" applyFill="1"/>
    <xf numFmtId="0" fontId="12" fillId="2" borderId="0" xfId="0" applyFont="1" applyFill="1" applyProtection="1">
      <protection hidden="1"/>
    </xf>
    <xf numFmtId="0" fontId="8" fillId="2" borderId="0" xfId="0" applyFont="1" applyFill="1" applyBorder="1" applyProtection="1">
      <protection hidden="1"/>
    </xf>
    <xf numFmtId="0" fontId="12" fillId="2" borderId="0" xfId="0" applyFont="1" applyFill="1" applyBorder="1" applyProtection="1">
      <protection hidden="1"/>
    </xf>
    <xf numFmtId="165" fontId="4" fillId="2" borderId="0" xfId="0" applyNumberFormat="1" applyFont="1" applyFill="1"/>
    <xf numFmtId="0" fontId="2" fillId="2" borderId="0" xfId="0" applyFont="1" applyFill="1" applyBorder="1"/>
    <xf numFmtId="0" fontId="13" fillId="2" borderId="0" xfId="0" applyFont="1" applyFill="1"/>
    <xf numFmtId="0" fontId="14" fillId="2" borderId="0" xfId="0" applyFont="1" applyFill="1"/>
    <xf numFmtId="0" fontId="12" fillId="2" borderId="0" xfId="0" applyFont="1" applyFill="1" applyBorder="1"/>
    <xf numFmtId="0" fontId="4" fillId="2" borderId="0" xfId="0" applyFont="1" applyFill="1" applyBorder="1"/>
    <xf numFmtId="0" fontId="2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0" fillId="2" borderId="0" xfId="0" applyFill="1"/>
    <xf numFmtId="11" fontId="15" fillId="0" borderId="0" xfId="3" applyNumberFormat="1">
      <alignment vertical="center"/>
    </xf>
    <xf numFmtId="0" fontId="0" fillId="2" borderId="2" xfId="0" applyFill="1" applyBorder="1"/>
    <xf numFmtId="0" fontId="0" fillId="2" borderId="0" xfId="0" applyFill="1" applyBorder="1"/>
    <xf numFmtId="0" fontId="0" fillId="2" borderId="6" xfId="0" applyFill="1" applyBorder="1"/>
    <xf numFmtId="0" fontId="0" fillId="5" borderId="2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2" borderId="10" xfId="0" applyFill="1" applyBorder="1"/>
    <xf numFmtId="0" fontId="0" fillId="5" borderId="9" xfId="0" applyFill="1" applyBorder="1"/>
    <xf numFmtId="11" fontId="0" fillId="5" borderId="10" xfId="0" applyNumberFormat="1" applyFill="1" applyBorder="1"/>
    <xf numFmtId="0" fontId="0" fillId="4" borderId="10" xfId="0" applyFill="1" applyBorder="1"/>
    <xf numFmtId="0" fontId="0" fillId="2" borderId="11" xfId="0" applyFill="1" applyBorder="1"/>
    <xf numFmtId="0" fontId="0" fillId="5" borderId="6" xfId="0" applyFill="1" applyBorder="1"/>
    <xf numFmtId="1" fontId="0" fillId="5" borderId="11" xfId="0" applyNumberFormat="1" applyFill="1" applyBorder="1"/>
    <xf numFmtId="0" fontId="0" fillId="4" borderId="11" xfId="0" applyFill="1" applyBorder="1"/>
    <xf numFmtId="0" fontId="0" fillId="5" borderId="1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1" fontId="0" fillId="3" borderId="13" xfId="0" applyNumberFormat="1" applyFill="1" applyBorder="1" applyProtection="1">
      <protection locked="0"/>
    </xf>
    <xf numFmtId="165" fontId="0" fillId="5" borderId="11" xfId="0" applyNumberFormat="1" applyFill="1" applyBorder="1"/>
    <xf numFmtId="0" fontId="0" fillId="2" borderId="13" xfId="0" applyFill="1" applyBorder="1"/>
    <xf numFmtId="0" fontId="0" fillId="5" borderId="14" xfId="0" applyFill="1" applyBorder="1"/>
    <xf numFmtId="11" fontId="0" fillId="5" borderId="13" xfId="0" applyNumberFormat="1" applyFill="1" applyBorder="1"/>
    <xf numFmtId="0" fontId="0" fillId="4" borderId="13" xfId="0" applyFill="1" applyBorder="1"/>
    <xf numFmtId="0" fontId="20" fillId="2" borderId="2" xfId="0" applyFont="1" applyFill="1" applyBorder="1" applyProtection="1"/>
    <xf numFmtId="9" fontId="20" fillId="8" borderId="0" xfId="1" applyFont="1" applyFill="1" applyBorder="1" applyProtection="1">
      <protection locked="0"/>
    </xf>
    <xf numFmtId="0" fontId="20" fillId="0" borderId="10" xfId="0" applyFont="1" applyBorder="1" applyProtection="1"/>
    <xf numFmtId="0" fontId="20" fillId="4" borderId="10" xfId="0" applyFont="1" applyFill="1" applyBorder="1" applyProtection="1"/>
    <xf numFmtId="11" fontId="21" fillId="5" borderId="0" xfId="0" applyNumberFormat="1" applyFont="1" applyFill="1" applyBorder="1"/>
    <xf numFmtId="0" fontId="20" fillId="4" borderId="11" xfId="0" applyFont="1" applyFill="1" applyBorder="1" applyProtection="1"/>
    <xf numFmtId="166" fontId="21" fillId="5" borderId="0" xfId="0" applyNumberFormat="1" applyFont="1" applyFill="1" applyBorder="1"/>
    <xf numFmtId="0" fontId="0" fillId="5" borderId="10" xfId="0" applyNumberFormat="1" applyFill="1" applyBorder="1" applyProtection="1"/>
    <xf numFmtId="0" fontId="0" fillId="4" borderId="7" xfId="0" applyFill="1" applyBorder="1"/>
    <xf numFmtId="0" fontId="0" fillId="5" borderId="15" xfId="0" applyFill="1" applyBorder="1"/>
    <xf numFmtId="0" fontId="0" fillId="4" borderId="12" xfId="0" applyFill="1" applyBorder="1"/>
    <xf numFmtId="0" fontId="0" fillId="2" borderId="14" xfId="0" applyFill="1" applyBorder="1"/>
    <xf numFmtId="0" fontId="0" fillId="2" borderId="7" xfId="0" applyFill="1" applyBorder="1"/>
    <xf numFmtId="1" fontId="21" fillId="5" borderId="8" xfId="0" applyNumberFormat="1" applyFont="1" applyFill="1" applyBorder="1"/>
    <xf numFmtId="11" fontId="0" fillId="3" borderId="10" xfId="0" applyNumberFormat="1" applyFill="1" applyBorder="1" applyProtection="1">
      <protection locked="0"/>
    </xf>
    <xf numFmtId="0" fontId="0" fillId="2" borderId="12" xfId="0" applyFill="1" applyBorder="1"/>
    <xf numFmtId="166" fontId="21" fillId="5" borderId="1" xfId="0" applyNumberFormat="1" applyFont="1" applyFill="1" applyBorder="1"/>
    <xf numFmtId="0" fontId="20" fillId="4" borderId="13" xfId="0" applyFont="1" applyFill="1" applyBorder="1" applyProtection="1"/>
    <xf numFmtId="0" fontId="20" fillId="0" borderId="13" xfId="0" applyFont="1" applyBorder="1" applyProtection="1"/>
    <xf numFmtId="0" fontId="22" fillId="2" borderId="0" xfId="0" applyFont="1" applyFill="1"/>
    <xf numFmtId="0" fontId="23" fillId="2" borderId="0" xfId="0" applyFont="1" applyFill="1" applyBorder="1" applyProtection="1"/>
    <xf numFmtId="2" fontId="22" fillId="2" borderId="0" xfId="0" applyNumberFormat="1" applyFont="1" applyFill="1" applyBorder="1"/>
    <xf numFmtId="0" fontId="22" fillId="0" borderId="0" xfId="0" applyFont="1"/>
    <xf numFmtId="0" fontId="24" fillId="2" borderId="0" xfId="0" applyFont="1" applyFill="1"/>
    <xf numFmtId="11" fontId="24" fillId="2" borderId="0" xfId="0" applyNumberFormat="1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/>
    <xf numFmtId="0" fontId="25" fillId="2" borderId="0" xfId="0" applyFont="1" applyFill="1"/>
    <xf numFmtId="2" fontId="21" fillId="5" borderId="10" xfId="0" applyNumberFormat="1" applyFont="1" applyFill="1" applyBorder="1"/>
    <xf numFmtId="2" fontId="21" fillId="5" borderId="11" xfId="0" applyNumberFormat="1" applyFont="1" applyFill="1" applyBorder="1"/>
    <xf numFmtId="2" fontId="21" fillId="5" borderId="13" xfId="0" applyNumberFormat="1" applyFont="1" applyFill="1" applyBorder="1"/>
    <xf numFmtId="0" fontId="20" fillId="0" borderId="11" xfId="0" applyFont="1" applyBorder="1" applyProtection="1"/>
    <xf numFmtId="11" fontId="27" fillId="3" borderId="13" xfId="0" applyNumberFormat="1" applyFont="1" applyFill="1" applyBorder="1" applyProtection="1"/>
    <xf numFmtId="0" fontId="0" fillId="4" borderId="13" xfId="0" applyFill="1" applyBorder="1" applyProtection="1"/>
    <xf numFmtId="166" fontId="8" fillId="2" borderId="0" xfId="0" applyNumberFormat="1" applyFont="1" applyFill="1" applyProtection="1">
      <protection hidden="1"/>
    </xf>
    <xf numFmtId="11" fontId="8" fillId="2" borderId="0" xfId="0" applyNumberFormat="1" applyFont="1" applyFill="1" applyProtection="1">
      <protection hidden="1"/>
    </xf>
    <xf numFmtId="0" fontId="8" fillId="2" borderId="0" xfId="0" applyFont="1" applyFill="1" applyBorder="1"/>
    <xf numFmtId="165" fontId="8" fillId="2" borderId="0" xfId="0" applyNumberFormat="1" applyFont="1" applyFill="1" applyBorder="1"/>
    <xf numFmtId="0" fontId="8" fillId="2" borderId="0" xfId="0" quotePrefix="1" applyFont="1" applyFill="1" applyProtection="1">
      <protection hidden="1"/>
    </xf>
    <xf numFmtId="11" fontId="8" fillId="2" borderId="0" xfId="0" applyNumberFormat="1" applyFont="1" applyFill="1" applyBorder="1" applyProtection="1">
      <protection hidden="1"/>
    </xf>
    <xf numFmtId="0" fontId="8" fillId="11" borderId="0" xfId="0" applyFont="1" applyFill="1" applyProtection="1"/>
    <xf numFmtId="0" fontId="8" fillId="2" borderId="0" xfId="0" applyFont="1" applyFill="1" applyAlignment="1">
      <alignment horizontal="center"/>
    </xf>
    <xf numFmtId="0" fontId="24" fillId="2" borderId="0" xfId="0" quotePrefix="1" applyFont="1" applyFill="1"/>
    <xf numFmtId="0" fontId="24" fillId="2" borderId="0" xfId="4" quotePrefix="1" applyFont="1" applyFill="1"/>
    <xf numFmtId="0" fontId="24" fillId="2" borderId="0" xfId="4" applyFont="1" applyFill="1"/>
    <xf numFmtId="0" fontId="0" fillId="12" borderId="10" xfId="0" applyFill="1" applyBorder="1" applyProtection="1"/>
    <xf numFmtId="0" fontId="0" fillId="4" borderId="9" xfId="0" applyFill="1" applyBorder="1" applyProtection="1"/>
    <xf numFmtId="0" fontId="0" fillId="12" borderId="11" xfId="0" applyFill="1" applyBorder="1" applyProtection="1"/>
    <xf numFmtId="0" fontId="0" fillId="4" borderId="6" xfId="0" applyFill="1" applyBorder="1" applyProtection="1"/>
    <xf numFmtId="11" fontId="0" fillId="5" borderId="11" xfId="0" applyNumberFormat="1" applyFill="1" applyBorder="1" applyProtection="1"/>
    <xf numFmtId="11" fontId="0" fillId="12" borderId="11" xfId="0" applyNumberFormat="1" applyFill="1" applyBorder="1" applyProtection="1"/>
    <xf numFmtId="11" fontId="0" fillId="12" borderId="13" xfId="0" applyNumberFormat="1" applyFill="1" applyBorder="1" applyProtection="1"/>
    <xf numFmtId="0" fontId="0" fillId="4" borderId="14" xfId="0" applyFill="1" applyBorder="1" applyProtection="1"/>
    <xf numFmtId="0" fontId="2" fillId="3" borderId="0" xfId="2" applyFont="1" applyFill="1" applyProtection="1">
      <protection locked="0"/>
    </xf>
    <xf numFmtId="0" fontId="8" fillId="2" borderId="0" xfId="0" applyFont="1" applyFill="1" applyProtection="1"/>
    <xf numFmtId="0" fontId="8" fillId="11" borderId="0" xfId="0" applyFont="1" applyFill="1" applyAlignment="1" applyProtection="1">
      <alignment horizontal="right"/>
    </xf>
    <xf numFmtId="0" fontId="29" fillId="2" borderId="0" xfId="0" applyFont="1" applyFill="1"/>
    <xf numFmtId="164" fontId="2" fillId="3" borderId="0" xfId="0" applyNumberFormat="1" applyFont="1" applyFill="1" applyAlignment="1" applyProtection="1">
      <alignment horizontal="right" vertical="center"/>
      <protection locked="0"/>
    </xf>
    <xf numFmtId="1" fontId="21" fillId="5" borderId="0" xfId="0" applyNumberFormat="1" applyFont="1" applyFill="1" applyBorder="1"/>
    <xf numFmtId="0" fontId="8" fillId="11" borderId="0" xfId="0" applyFont="1" applyFill="1"/>
    <xf numFmtId="164" fontId="8" fillId="11" borderId="0" xfId="0" applyNumberFormat="1" applyFont="1" applyFill="1" applyAlignment="1" applyProtection="1">
      <alignment horizontal="right" vertical="center"/>
    </xf>
    <xf numFmtId="0" fontId="21" fillId="5" borderId="10" xfId="0" applyFont="1" applyFill="1" applyBorder="1" applyProtection="1"/>
    <xf numFmtId="0" fontId="3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34" fillId="2" borderId="0" xfId="0" applyFont="1" applyFill="1" applyProtection="1">
      <protection hidden="1"/>
    </xf>
    <xf numFmtId="1" fontId="8" fillId="2" borderId="0" xfId="0" applyNumberFormat="1" applyFont="1" applyFill="1" applyProtection="1">
      <protection hidden="1"/>
    </xf>
    <xf numFmtId="167" fontId="8" fillId="2" borderId="0" xfId="0" applyNumberFormat="1" applyFont="1" applyFill="1" applyProtection="1">
      <protection hidden="1"/>
    </xf>
    <xf numFmtId="168" fontId="8" fillId="2" borderId="0" xfId="0" applyNumberFormat="1" applyFont="1" applyFill="1" applyProtection="1">
      <protection hidden="1"/>
    </xf>
    <xf numFmtId="0" fontId="8" fillId="0" borderId="0" xfId="0" applyFont="1" applyFill="1" applyBorder="1" applyProtection="1">
      <protection hidden="1"/>
    </xf>
    <xf numFmtId="1" fontId="8" fillId="2" borderId="0" xfId="0" applyNumberFormat="1" applyFont="1" applyFill="1" applyBorder="1" applyProtection="1">
      <protection hidden="1"/>
    </xf>
    <xf numFmtId="4" fontId="8" fillId="2" borderId="0" xfId="0" applyNumberFormat="1" applyFont="1" applyFill="1" applyProtection="1">
      <protection hidden="1"/>
    </xf>
    <xf numFmtId="0" fontId="35" fillId="2" borderId="0" xfId="0" applyFont="1" applyFill="1" applyProtection="1">
      <protection hidden="1"/>
    </xf>
    <xf numFmtId="0" fontId="8" fillId="2" borderId="0" xfId="2" applyFont="1" applyFill="1" applyProtection="1">
      <protection hidden="1"/>
    </xf>
    <xf numFmtId="165" fontId="8" fillId="2" borderId="0" xfId="2" applyNumberFormat="1" applyFont="1" applyFill="1" applyProtection="1">
      <protection hidden="1"/>
    </xf>
    <xf numFmtId="169" fontId="8" fillId="2" borderId="0" xfId="0" applyNumberFormat="1" applyFont="1" applyFill="1" applyProtection="1">
      <protection hidden="1"/>
    </xf>
    <xf numFmtId="165" fontId="35" fillId="2" borderId="0" xfId="0" applyNumberFormat="1" applyFont="1" applyFill="1" applyProtection="1">
      <protection hidden="1"/>
    </xf>
    <xf numFmtId="0" fontId="8" fillId="2" borderId="0" xfId="0" applyFont="1" applyFill="1" applyBorder="1" applyAlignment="1">
      <alignment horizontal="center"/>
    </xf>
    <xf numFmtId="170" fontId="8" fillId="2" borderId="0" xfId="0" applyNumberFormat="1" applyFont="1" applyFill="1"/>
    <xf numFmtId="165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Border="1" applyProtection="1">
      <protection hidden="1"/>
    </xf>
    <xf numFmtId="0" fontId="0" fillId="2" borderId="0" xfId="0" applyFill="1"/>
    <xf numFmtId="0" fontId="8" fillId="2" borderId="0" xfId="0" applyFont="1" applyFill="1" applyBorder="1"/>
    <xf numFmtId="11" fontId="8" fillId="2" borderId="0" xfId="0" applyNumberFormat="1" applyFont="1" applyFill="1" applyBorder="1" applyProtection="1">
      <protection hidden="1"/>
    </xf>
    <xf numFmtId="0" fontId="31" fillId="2" borderId="2" xfId="0" applyFont="1" applyFill="1" applyBorder="1" applyAlignment="1">
      <alignment vertical="top" wrapText="1"/>
    </xf>
    <xf numFmtId="0" fontId="31" fillId="2" borderId="0" xfId="0" applyFont="1" applyFill="1" applyBorder="1" applyAlignment="1">
      <alignment vertical="top" wrapText="1"/>
    </xf>
    <xf numFmtId="164" fontId="2" fillId="13" borderId="0" xfId="0" applyNumberFormat="1" applyFont="1" applyFill="1" applyProtection="1">
      <protection locked="0"/>
    </xf>
    <xf numFmtId="0" fontId="2" fillId="11" borderId="0" xfId="0" applyFont="1" applyFill="1"/>
    <xf numFmtId="0" fontId="4" fillId="2" borderId="0" xfId="0" applyFont="1" applyFill="1" applyProtection="1">
      <protection hidden="1"/>
    </xf>
    <xf numFmtId="0" fontId="8" fillId="2" borderId="1" xfId="0" applyFont="1" applyFill="1" applyBorder="1"/>
    <xf numFmtId="0" fontId="36" fillId="0" borderId="0" xfId="0" applyFont="1"/>
    <xf numFmtId="0" fontId="0" fillId="5" borderId="12" xfId="0" applyFill="1" applyBorder="1" applyAlignment="1"/>
    <xf numFmtId="0" fontId="0" fillId="0" borderId="14" xfId="0" applyBorder="1" applyAlignment="1"/>
    <xf numFmtId="0" fontId="0" fillId="5" borderId="7" xfId="0" applyFill="1" applyBorder="1" applyAlignment="1"/>
    <xf numFmtId="0" fontId="0" fillId="0" borderId="9" xfId="0" applyBorder="1" applyAlignment="1"/>
    <xf numFmtId="0" fontId="28" fillId="5" borderId="12" xfId="0" applyFont="1" applyFill="1" applyBorder="1" applyAlignment="1" applyProtection="1"/>
    <xf numFmtId="0" fontId="28" fillId="0" borderId="14" xfId="0" applyFont="1" applyBorder="1" applyAlignment="1" applyProtection="1"/>
    <xf numFmtId="0" fontId="8" fillId="2" borderId="0" xfId="0" applyFont="1" applyFill="1" applyAlignment="1">
      <alignment horizontal="center"/>
    </xf>
    <xf numFmtId="0" fontId="0" fillId="5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1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3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2" fillId="10" borderId="3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5" fillId="0" borderId="0" xfId="3" applyAlignment="1">
      <alignment horizontal="center" vertical="center"/>
    </xf>
    <xf numFmtId="0" fontId="16" fillId="9" borderId="0" xfId="0" applyFont="1" applyFill="1" applyAlignment="1">
      <alignment horizontal="center"/>
    </xf>
    <xf numFmtId="0" fontId="0" fillId="0" borderId="0" xfId="0" applyAlignment="1"/>
    <xf numFmtId="0" fontId="17" fillId="2" borderId="2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8" fillId="9" borderId="0" xfId="0" applyFont="1" applyFill="1" applyAlignment="1">
      <alignment horizontal="center"/>
    </xf>
  </cellXfs>
  <cellStyles count="7">
    <cellStyle name="Normal" xfId="0" builtinId="0"/>
    <cellStyle name="Normal 2" xfId="2"/>
    <cellStyle name="Normal 3" xfId="4"/>
    <cellStyle name="Normal 4" xfId="3"/>
    <cellStyle name="Percent" xfId="1" builtinId="5"/>
    <cellStyle name="Percent 2" xfId="6"/>
    <cellStyle name="Percent 3" xf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FFFF66"/>
      <color rgb="FFCC9900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Loss Distribution Chart</a:t>
            </a:r>
          </a:p>
        </c:rich>
      </c:tx>
      <c:layout>
        <c:manualLayout>
          <c:xMode val="edge"/>
          <c:yMode val="edge"/>
          <c:x val="0.30381468498736203"/>
          <c:y val="3.1042128603104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3978201634879"/>
          <c:y val="0.12532854445825853"/>
          <c:w val="0.8479459948616066"/>
          <c:h val="0.74612822519992017"/>
        </c:manualLayout>
      </c:layout>
      <c:barChart>
        <c:barDir val="col"/>
        <c:grouping val="stacked"/>
        <c:varyColors val="0"/>
        <c:ser>
          <c:idx val="0"/>
          <c:order val="0"/>
          <c:tx>
            <c:v>Conduction Losses</c:v>
          </c:tx>
          <c:spPr>
            <a:solidFill>
              <a:srgbClr val="007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'Power Loss'!$J$28:$J$32</c:f>
              <c:strCache>
                <c:ptCount val="5"/>
                <c:pt idx="0">
                  <c:v>Upper MOSFET</c:v>
                </c:pt>
                <c:pt idx="1">
                  <c:v>Lower MOSFET</c:v>
                </c:pt>
                <c:pt idx="2">
                  <c:v>Driver</c:v>
                </c:pt>
                <c:pt idx="3">
                  <c:v>Output Inductor</c:v>
                </c:pt>
                <c:pt idx="4">
                  <c:v>Ouput Cap. ESR</c:v>
                </c:pt>
              </c:strCache>
            </c:strRef>
          </c:cat>
          <c:val>
            <c:numRef>
              <c:f>'Power Loss'!$K$28:$K$32</c:f>
              <c:numCache>
                <c:formatCode>0.000</c:formatCode>
                <c:ptCount val="5"/>
                <c:pt idx="0">
                  <c:v>0.16855525777081934</c:v>
                </c:pt>
                <c:pt idx="1">
                  <c:v>0.22982596994467522</c:v>
                </c:pt>
                <c:pt idx="3">
                  <c:v>0.10085254919982699</c:v>
                </c:pt>
                <c:pt idx="4" formatCode="0.000E+00">
                  <c:v>4.2627459991349478E-5</c:v>
                </c:pt>
              </c:numCache>
            </c:numRef>
          </c:val>
        </c:ser>
        <c:ser>
          <c:idx val="1"/>
          <c:order val="1"/>
          <c:tx>
            <c:v>Switching Losses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'Power Loss'!$J$28:$J$32</c:f>
              <c:strCache>
                <c:ptCount val="5"/>
                <c:pt idx="0">
                  <c:v>Upper MOSFET</c:v>
                </c:pt>
                <c:pt idx="1">
                  <c:v>Lower MOSFET</c:v>
                </c:pt>
                <c:pt idx="2">
                  <c:v>Driver</c:v>
                </c:pt>
                <c:pt idx="3">
                  <c:v>Output Inductor</c:v>
                </c:pt>
                <c:pt idx="4">
                  <c:v>Ouput Cap. ESR</c:v>
                </c:pt>
              </c:strCache>
            </c:strRef>
          </c:cat>
          <c:val>
            <c:numRef>
              <c:f>'Power Loss'!$L$28:$L$32</c:f>
              <c:numCache>
                <c:formatCode>0.000</c:formatCode>
                <c:ptCount val="5"/>
                <c:pt idx="0">
                  <c:v>0.3683336756625728</c:v>
                </c:pt>
                <c:pt idx="1">
                  <c:v>0.14752434122757024</c:v>
                </c:pt>
                <c:pt idx="2">
                  <c:v>2.1999999999999997E-3</c:v>
                </c:pt>
                <c:pt idx="3">
                  <c:v>1.3699118486230604E-3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223424"/>
        <c:axId val="233392000"/>
      </c:barChart>
      <c:catAx>
        <c:axId val="2252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Component</a:t>
                </a:r>
              </a:p>
            </c:rich>
          </c:tx>
          <c:layout>
            <c:manualLayout>
              <c:xMode val="edge"/>
              <c:yMode val="edge"/>
              <c:x val="0.48268777499245885"/>
              <c:y val="0.93584626483093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339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39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Watts</a:t>
                </a:r>
              </a:p>
            </c:rich>
          </c:tx>
          <c:layout>
            <c:manualLayout>
              <c:xMode val="edge"/>
              <c:yMode val="edge"/>
              <c:x val="2.0435965979813949E-2"/>
              <c:y val="0.432372971116969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522342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82472253715972"/>
          <c:y val="0.12571042654755873"/>
          <c:w val="0.21312211138733153"/>
          <c:h val="9.9778503296843984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9525">
      <a:solidFill>
        <a:sysClr val="windowText" lastClr="000000"/>
      </a:solidFill>
    </a:ln>
  </c:spPr>
  <c:txPr>
    <a:bodyPr/>
    <a:lstStyle/>
    <a:p>
      <a:pPr>
        <a:defRPr sz="1200" b="0" i="0" u="none" strike="noStrike" baseline="0">
          <a:ln>
            <a:noFill/>
          </a:ln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Efficiency Vs. Load </a:t>
            </a:r>
          </a:p>
        </c:rich>
      </c:tx>
      <c:layout>
        <c:manualLayout>
          <c:xMode val="edge"/>
          <c:yMode val="edge"/>
          <c:x val="0.3307892047845164"/>
          <c:y val="2.9239766081871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91440282383464E-2"/>
          <c:y val="0.16374300176466894"/>
          <c:w val="0.88295275096507109"/>
          <c:h val="0.73879282939058954"/>
        </c:manualLayout>
      </c:layout>
      <c:scatterChart>
        <c:scatterStyle val="smoothMarker"/>
        <c:varyColors val="0"/>
        <c:ser>
          <c:idx val="0"/>
          <c:order val="0"/>
          <c:tx>
            <c:v>PWM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'Efficiency Summary'!$A$13:$A$41</c:f>
              <c:numCache>
                <c:formatCode>General</c:formatCode>
                <c:ptCount val="29"/>
                <c:pt idx="0">
                  <c:v>1E-3</c:v>
                </c:pt>
                <c:pt idx="1">
                  <c:v>2.9990000000000004E-3</c:v>
                </c:pt>
                <c:pt idx="2">
                  <c:v>4.9980000000000007E-3</c:v>
                </c:pt>
                <c:pt idx="3">
                  <c:v>8.9960000000000005E-3</c:v>
                </c:pt>
                <c:pt idx="4">
                  <c:v>1.2994000000000002E-2</c:v>
                </c:pt>
                <c:pt idx="5">
                  <c:v>1.6992000000000004E-2</c:v>
                </c:pt>
                <c:pt idx="6">
                  <c:v>2.0990000000000002E-2</c:v>
                </c:pt>
                <c:pt idx="7">
                  <c:v>4.0980000000000003E-2</c:v>
                </c:pt>
                <c:pt idx="8">
                  <c:v>8.0960000000000004E-2</c:v>
                </c:pt>
                <c:pt idx="9">
                  <c:v>0.12094000000000001</c:v>
                </c:pt>
                <c:pt idx="10">
                  <c:v>0.16092000000000001</c:v>
                </c:pt>
                <c:pt idx="11">
                  <c:v>0.20090000000000002</c:v>
                </c:pt>
                <c:pt idx="12">
                  <c:v>0.30085000000000001</c:v>
                </c:pt>
                <c:pt idx="13">
                  <c:v>0.40080000000000005</c:v>
                </c:pt>
                <c:pt idx="14">
                  <c:v>0.50075000000000003</c:v>
                </c:pt>
                <c:pt idx="15">
                  <c:v>0.70065</c:v>
                </c:pt>
                <c:pt idx="16">
                  <c:v>0.80060000000000009</c:v>
                </c:pt>
                <c:pt idx="17">
                  <c:v>0.90055000000000007</c:v>
                </c:pt>
                <c:pt idx="18">
                  <c:v>1.0004999999999999</c:v>
                </c:pt>
                <c:pt idx="19">
                  <c:v>1.1004499999999999</c:v>
                </c:pt>
                <c:pt idx="20">
                  <c:v>1.2003999999999999</c:v>
                </c:pt>
                <c:pt idx="21">
                  <c:v>1.3003499999999999</c:v>
                </c:pt>
                <c:pt idx="22">
                  <c:v>1.4002999999999999</c:v>
                </c:pt>
                <c:pt idx="23">
                  <c:v>1.5002499999999999</c:v>
                </c:pt>
                <c:pt idx="24">
                  <c:v>1.6002000000000001</c:v>
                </c:pt>
                <c:pt idx="25">
                  <c:v>1.7001499999999998</c:v>
                </c:pt>
                <c:pt idx="26">
                  <c:v>1.8001</c:v>
                </c:pt>
                <c:pt idx="27">
                  <c:v>1.9000499999999998</c:v>
                </c:pt>
                <c:pt idx="28">
                  <c:v>2</c:v>
                </c:pt>
              </c:numCache>
            </c:numRef>
          </c:xVal>
          <c:yVal>
            <c:numRef>
              <c:f>'Efficiency Summary'!$C$13:$C$41</c:f>
              <c:numCache>
                <c:formatCode>0.00</c:formatCode>
                <c:ptCount val="29"/>
                <c:pt idx="0">
                  <c:v>5.9732459527089086</c:v>
                </c:pt>
                <c:pt idx="1">
                  <c:v>15.916969154659091</c:v>
                </c:pt>
                <c:pt idx="2">
                  <c:v>23.864851640305574</c:v>
                </c:pt>
                <c:pt idx="3">
                  <c:v>35.770195204771611</c:v>
                </c:pt>
                <c:pt idx="4">
                  <c:v>44.255986242898196</c:v>
                </c:pt>
                <c:pt idx="5">
                  <c:v>50.604782685025754</c:v>
                </c:pt>
                <c:pt idx="6">
                  <c:v>55.528781949756798</c:v>
                </c:pt>
                <c:pt idx="7">
                  <c:v>69.453149844535929</c:v>
                </c:pt>
                <c:pt idx="8">
                  <c:v>79.35769164721458</c:v>
                </c:pt>
                <c:pt idx="9">
                  <c:v>82.592966157663867</c:v>
                </c:pt>
                <c:pt idx="10">
                  <c:v>82.950769129434505</c:v>
                </c:pt>
                <c:pt idx="11">
                  <c:v>84.6070273977478</c:v>
                </c:pt>
                <c:pt idx="12">
                  <c:v>86.797604933917</c:v>
                </c:pt>
                <c:pt idx="13">
                  <c:v>87.794531596890849</c:v>
                </c:pt>
                <c:pt idx="14">
                  <c:v>88.286501023408519</c:v>
                </c:pt>
                <c:pt idx="15">
                  <c:v>88.605060982408361</c:v>
                </c:pt>
                <c:pt idx="16">
                  <c:v>88.593865409756162</c:v>
                </c:pt>
                <c:pt idx="17">
                  <c:v>88.51941355385145</c:v>
                </c:pt>
                <c:pt idx="18">
                  <c:v>88.400824328928053</c:v>
                </c:pt>
                <c:pt idx="19">
                  <c:v>88.250382691421706</c:v>
                </c:pt>
                <c:pt idx="20">
                  <c:v>88.076340662857149</c:v>
                </c:pt>
                <c:pt idx="21">
                  <c:v>87.884445096494645</c:v>
                </c:pt>
                <c:pt idx="22">
                  <c:v>87.678819878106466</c:v>
                </c:pt>
                <c:pt idx="23">
                  <c:v>87.462499873728532</c:v>
                </c:pt>
                <c:pt idx="24">
                  <c:v>87.237767110163489</c:v>
                </c:pt>
                <c:pt idx="25">
                  <c:v>87.006369677973879</c:v>
                </c:pt>
                <c:pt idx="26">
                  <c:v>86.769668465330767</c:v>
                </c:pt>
                <c:pt idx="27">
                  <c:v>86.528738035292378</c:v>
                </c:pt>
                <c:pt idx="28">
                  <c:v>86.346140454694691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51872"/>
        <c:axId val="469239680"/>
      </c:scatterChart>
      <c:valAx>
        <c:axId val="393951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39680"/>
        <c:crosses val="autoZero"/>
        <c:crossBetween val="midCat"/>
      </c:valAx>
      <c:valAx>
        <c:axId val="469239680"/>
        <c:scaling>
          <c:orientation val="minMax"/>
          <c:max val="10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395187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2368250158239E-2"/>
          <c:y val="7.0422632073382577E-2"/>
          <c:w val="0.88552334136176436"/>
          <c:h val="0.8619730165782028"/>
        </c:manualLayout>
      </c:layout>
      <c:scatterChart>
        <c:scatterStyle val="smoothMarker"/>
        <c:varyColors val="0"/>
        <c:ser>
          <c:idx val="3"/>
          <c:order val="0"/>
          <c:tx>
            <c:v>T(s) Gain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Compensation!$AG$64:$AG$264</c:f>
              <c:numCache>
                <c:formatCode>General</c:formatCode>
                <c:ptCount val="201"/>
                <c:pt idx="0">
                  <c:v>13.489884485471615</c:v>
                </c:pt>
                <c:pt idx="1">
                  <c:v>13.489854867766219</c:v>
                </c:pt>
                <c:pt idx="2">
                  <c:v>13.489822392811119</c:v>
                </c:pt>
                <c:pt idx="3">
                  <c:v>13.489786784987515</c:v>
                </c:pt>
                <c:pt idx="4">
                  <c:v>13.489747742093636</c:v>
                </c:pt>
                <c:pt idx="5">
                  <c:v>13.489704932782194</c:v>
                </c:pt>
                <c:pt idx="6">
                  <c:v>13.489657993751322</c:v>
                </c:pt>
                <c:pt idx="7">
                  <c:v>13.489606526663229</c:v>
                </c:pt>
                <c:pt idx="8">
                  <c:v>13.489550094767218</c:v>
                </c:pt>
                <c:pt idx="9">
                  <c:v>13.489488219197892</c:v>
                </c:pt>
                <c:pt idx="10">
                  <c:v>13.489420374916223</c:v>
                </c:pt>
                <c:pt idx="11">
                  <c:v>13.489345986259739</c:v>
                </c:pt>
                <c:pt idx="12">
                  <c:v>13.489264422065332</c:v>
                </c:pt>
                <c:pt idx="13">
                  <c:v>13.489174990322043</c:v>
                </c:pt>
                <c:pt idx="14">
                  <c:v>13.489076932310182</c:v>
                </c:pt>
                <c:pt idx="15">
                  <c:v>13.488969416175859</c:v>
                </c:pt>
                <c:pt idx="16">
                  <c:v>13.488851529889539</c:v>
                </c:pt>
                <c:pt idx="17">
                  <c:v>13.488722273525696</c:v>
                </c:pt>
                <c:pt idx="18">
                  <c:v>13.488580550803167</c:v>
                </c:pt>
                <c:pt idx="19">
                  <c:v>13.488425159811275</c:v>
                </c:pt>
                <c:pt idx="20">
                  <c:v>13.488254782847376</c:v>
                </c:pt>
                <c:pt idx="21">
                  <c:v>13.488067975278925</c:v>
                </c:pt>
                <c:pt idx="22">
                  <c:v>13.487863153337614</c:v>
                </c:pt>
                <c:pt idx="23">
                  <c:v>13.487638580744193</c:v>
                </c:pt>
                <c:pt idx="24">
                  <c:v>13.487392354053556</c:v>
                </c:pt>
                <c:pt idx="25">
                  <c:v>13.487122386595418</c:v>
                </c:pt>
                <c:pt idx="26">
                  <c:v>13.486826390882747</c:v>
                </c:pt>
                <c:pt idx="27">
                  <c:v>13.486501859337736</c:v>
                </c:pt>
                <c:pt idx="28">
                  <c:v>13.486146043179247</c:v>
                </c:pt>
                <c:pt idx="29">
                  <c:v>13.485755929298078</c:v>
                </c:pt>
                <c:pt idx="30">
                  <c:v>13.485328214931048</c:v>
                </c:pt>
                <c:pt idx="31">
                  <c:v>13.484859279925974</c:v>
                </c:pt>
                <c:pt idx="32">
                  <c:v>13.484345156374149</c:v>
                </c:pt>
                <c:pt idx="33">
                  <c:v>13.483781495364063</c:v>
                </c:pt>
                <c:pt idx="34">
                  <c:v>13.483163530588056</c:v>
                </c:pt>
                <c:pt idx="35">
                  <c:v>13.482486038512704</c:v>
                </c:pt>
                <c:pt idx="36">
                  <c:v>13.481743294794077</c:v>
                </c:pt>
                <c:pt idx="37">
                  <c:v>13.480929026593891</c:v>
                </c:pt>
                <c:pt idx="38">
                  <c:v>13.48003636042322</c:v>
                </c:pt>
                <c:pt idx="39">
                  <c:v>13.479057765107543</c:v>
                </c:pt>
                <c:pt idx="40">
                  <c:v>13.477984989431182</c:v>
                </c:pt>
                <c:pt idx="41">
                  <c:v>13.476808993987637</c:v>
                </c:pt>
                <c:pt idx="42">
                  <c:v>13.475519876717502</c:v>
                </c:pt>
                <c:pt idx="43">
                  <c:v>13.474106791580951</c:v>
                </c:pt>
                <c:pt idx="44">
                  <c:v>13.472557859762253</c:v>
                </c:pt>
                <c:pt idx="45">
                  <c:v>13.470860072762999</c:v>
                </c:pt>
                <c:pt idx="46">
                  <c:v>13.468999186692599</c:v>
                </c:pt>
                <c:pt idx="47">
                  <c:v>13.466959607012852</c:v>
                </c:pt>
                <c:pt idx="48">
                  <c:v>13.464724262946149</c:v>
                </c:pt>
                <c:pt idx="49">
                  <c:v>13.462274470704491</c:v>
                </c:pt>
                <c:pt idx="50">
                  <c:v>13.459589784644187</c:v>
                </c:pt>
                <c:pt idx="51">
                  <c:v>13.456647835403112</c:v>
                </c:pt>
                <c:pt idx="52">
                  <c:v>13.453424154024848</c:v>
                </c:pt>
                <c:pt idx="53">
                  <c:v>13.449891981032573</c:v>
                </c:pt>
                <c:pt idx="54">
                  <c:v>13.446022059371817</c:v>
                </c:pt>
                <c:pt idx="55">
                  <c:v>13.441782410109031</c:v>
                </c:pt>
                <c:pt idx="56">
                  <c:v>13.437138089748986</c:v>
                </c:pt>
                <c:pt idx="57">
                  <c:v>13.432050928020887</c:v>
                </c:pt>
                <c:pt idx="58">
                  <c:v>13.426479244992397</c:v>
                </c:pt>
                <c:pt idx="59">
                  <c:v>13.420377546388163</c:v>
                </c:pt>
                <c:pt idx="60">
                  <c:v>13.413696196052179</c:v>
                </c:pt>
                <c:pt idx="61">
                  <c:v>13.406381064565382</c:v>
                </c:pt>
                <c:pt idx="62">
                  <c:v>13.398373153160062</c:v>
                </c:pt>
                <c:pt idx="63">
                  <c:v>13.389608192236933</c:v>
                </c:pt>
                <c:pt idx="64">
                  <c:v>13.380016214018173</c:v>
                </c:pt>
                <c:pt idx="65">
                  <c:v>13.369521099156618</c:v>
                </c:pt>
                <c:pt idx="66">
                  <c:v>13.358040097493397</c:v>
                </c:pt>
                <c:pt idx="67">
                  <c:v>13.345483323610338</c:v>
                </c:pt>
                <c:pt idx="68">
                  <c:v>13.331753228381816</c:v>
                </c:pt>
                <c:pt idx="69">
                  <c:v>13.316744048411158</c:v>
                </c:pt>
                <c:pt idx="70">
                  <c:v>13.300341236033466</c:v>
                </c:pt>
                <c:pt idx="71">
                  <c:v>13.282420873524741</c:v>
                </c:pt>
                <c:pt idx="72">
                  <c:v>13.262849076249303</c:v>
                </c:pt>
                <c:pt idx="73">
                  <c:v>13.241481390752545</c:v>
                </c:pt>
                <c:pt idx="74">
                  <c:v>13.218162195239113</c:v>
                </c:pt>
                <c:pt idx="75">
                  <c:v>13.19272411148139</c:v>
                </c:pt>
                <c:pt idx="76">
                  <c:v>13.164987438974844</c:v>
                </c:pt>
                <c:pt idx="77">
                  <c:v>13.13475962406577</c:v>
                </c:pt>
                <c:pt idx="78">
                  <c:v>13.101834778803273</c:v>
                </c:pt>
                <c:pt idx="79">
                  <c:v>13.065993266355285</c:v>
                </c:pt>
                <c:pt idx="80">
                  <c:v>13.027001371921003</c:v>
                </c:pt>
                <c:pt idx="81">
                  <c:v>12.984611080066841</c:v>
                </c:pt>
                <c:pt idx="82">
                  <c:v>12.938559981215441</c:v>
                </c:pt>
                <c:pt idx="83">
                  <c:v>12.888571331469471</c:v>
                </c:pt>
                <c:pt idx="84">
                  <c:v>12.834354290903763</c:v>
                </c:pt>
                <c:pt idx="85">
                  <c:v>12.77560436571807</c:v>
                </c:pt>
                <c:pt idx="86">
                  <c:v>12.712004079001309</c:v>
                </c:pt>
                <c:pt idx="87">
                  <c:v>12.643223893107557</c:v>
                </c:pt>
                <c:pt idx="88">
                  <c:v>12.568923403576719</c:v>
                </c:pt>
                <c:pt idx="89">
                  <c:v>12.488752819958329</c:v>
                </c:pt>
                <c:pt idx="90">
                  <c:v>12.402354742684054</c:v>
                </c:pt>
                <c:pt idx="91">
                  <c:v>12.309366237211382</c:v>
                </c:pt>
                <c:pt idx="92">
                  <c:v>12.209421197060147</c:v>
                </c:pt>
                <c:pt idx="93">
                  <c:v>12.102152976235292</c:v>
                </c:pt>
                <c:pt idx="94">
                  <c:v>11.987197259191547</c:v>
                </c:pt>
                <c:pt idx="95">
                  <c:v>11.864195123388178</c:v>
                </c:pt>
                <c:pt idx="96">
                  <c:v>11.7327962362485</c:v>
                </c:pt>
                <c:pt idx="97">
                  <c:v>11.592662115723343</c:v>
                </c:pt>
                <c:pt idx="98">
                  <c:v>11.443469372545227</c:v>
                </c:pt>
                <c:pt idx="99">
                  <c:v>11.284912843549822</c:v>
                </c:pt>
                <c:pt idx="100">
                  <c:v>11.116708520028237</c:v>
                </c:pt>
                <c:pt idx="101">
                  <c:v>10.938596173731847</c:v>
                </c:pt>
                <c:pt idx="102">
                  <c:v>10.750341586439013</c:v>
                </c:pt>
                <c:pt idx="103">
                  <c:v>10.551738297200279</c:v>
                </c:pt>
                <c:pt idx="104">
                  <c:v>10.342608794446441</c:v>
                </c:pt>
                <c:pt idx="105">
                  <c:v>10.122805097629202</c:v>
                </c:pt>
                <c:pt idx="106">
                  <c:v>9.8922086941897742</c:v>
                </c:pt>
                <c:pt idx="107">
                  <c:v>9.6507298213018</c:v>
                </c:pt>
                <c:pt idx="108">
                  <c:v>9.3983061067071585</c:v>
                </c:pt>
                <c:pt idx="109">
                  <c:v>9.1349006076254433</c:v>
                </c:pt>
                <c:pt idx="110">
                  <c:v>8.8604993097875937</c:v>
                </c:pt>
                <c:pt idx="111">
                  <c:v>8.5751081688705302</c:v>
                </c:pt>
                <c:pt idx="112">
                  <c:v>8.2787497930041951</c:v>
                </c:pt>
                <c:pt idx="113">
                  <c:v>7.9714598769182521</c:v>
                </c:pt>
                <c:pt idx="114">
                  <c:v>7.6532835053667503</c:v>
                </c:pt>
                <c:pt idx="115">
                  <c:v>7.324271445744337</c:v>
                </c:pt>
                <c:pt idx="116">
                  <c:v>6.9844765475855102</c:v>
                </c:pt>
                <c:pt idx="117">
                  <c:v>6.633950360460295</c:v>
                </c:pt>
                <c:pt idx="118">
                  <c:v>6.2727400723004854</c:v>
                </c:pt>
                <c:pt idx="119">
                  <c:v>5.9008858581191479</c:v>
                </c:pt>
                <c:pt idx="120">
                  <c:v>5.5184187151061357</c:v>
                </c:pt>
                <c:pt idx="121">
                  <c:v>5.1253588447879057</c:v>
                </c:pt>
                <c:pt idx="122">
                  <c:v>4.7217146268033119</c:v>
                </c:pt>
                <c:pt idx="123">
                  <c:v>4.3074822122295666</c:v>
                </c:pt>
                <c:pt idx="124">
                  <c:v>3.8826457475196623</c:v>
                </c:pt>
                <c:pt idx="125">
                  <c:v>3.4471782231651731</c:v>
                </c:pt>
                <c:pt idx="126">
                  <c:v>3.0010429242859815</c:v>
                </c:pt>
                <c:pt idx="127">
                  <c:v>2.5441954436366077</c:v>
                </c:pt>
                <c:pt idx="128">
                  <c:v>2.0765862012033889</c:v>
                </c:pt>
                <c:pt idx="129">
                  <c:v>1.5981633989805681</c:v>
                </c:pt>
                <c:pt idx="130">
                  <c:v>1.1088763250760962</c:v>
                </c:pt>
                <c:pt idx="131">
                  <c:v>0.60867890858781781</c:v>
                </c:pt>
                <c:pt idx="132">
                  <c:v>9.7533416359512376E-2</c:v>
                </c:pt>
                <c:pt idx="133">
                  <c:v>-0.42458582452433913</c:v>
                </c:pt>
                <c:pt idx="134">
                  <c:v>-0.95768879811165342</c:v>
                </c:pt>
                <c:pt idx="135">
                  <c:v>-1.501766383561169</c:v>
                </c:pt>
                <c:pt idx="136">
                  <c:v>-2.0567872648421601</c:v>
                </c:pt>
                <c:pt idx="137">
                  <c:v>-2.6226952688132386</c:v>
                </c:pt>
                <c:pt idx="138">
                  <c:v>-3.1994072192378957</c:v>
                </c:pt>
                <c:pt idx="139">
                  <c:v>-3.7868113751222676</c:v>
                </c:pt>
                <c:pt idx="140">
                  <c:v>-4.3847664994233391</c:v>
                </c:pt>
                <c:pt idx="141">
                  <c:v>-4.9931015798380765</c:v>
                </c:pt>
                <c:pt idx="142">
                  <c:v>-5.6116161984156934</c:v>
                </c:pt>
                <c:pt idx="143">
                  <c:v>-6.2400815225548509</c:v>
                </c:pt>
                <c:pt idx="144">
                  <c:v>-6.8782418679210249</c:v>
                </c:pt>
                <c:pt idx="145">
                  <c:v>-7.5258167651194121</c:v>
                </c:pt>
                <c:pt idx="146">
                  <c:v>-8.1825034474791796</c:v>
                </c:pt>
                <c:pt idx="147">
                  <c:v>-8.8479796675929698</c:v>
                </c:pt>
                <c:pt idx="148">
                  <c:v>-9.5219067454748636</c:v>
                </c:pt>
                <c:pt idx="149">
                  <c:v>-10.203932751176348</c:v>
                </c:pt>
                <c:pt idx="150">
                  <c:v>-10.893695728935633</c:v>
                </c:pt>
                <c:pt idx="151">
                  <c:v>-11.590826877716756</c:v>
                </c:pt>
                <c:pt idx="152">
                  <c:v>-12.294953613455402</c:v>
                </c:pt>
                <c:pt idx="153">
                  <c:v>-13.005702450560028</c:v>
                </c:pt>
                <c:pt idx="154">
                  <c:v>-13.722701653322586</c:v>
                </c:pt>
                <c:pt idx="155">
                  <c:v>-14.445583621081465</c:v>
                </c:pt>
                <c:pt idx="156">
                  <c:v>-15.17398698357967</c:v>
                </c:pt>
                <c:pt idx="157">
                  <c:v>-15.907558394458945</c:v>
                </c:pt>
                <c:pt idx="158">
                  <c:v>-16.645954020888492</c:v>
                </c:pt>
                <c:pt idx="159">
                  <c:v>-17.388840735729058</c:v>
                </c:pt>
                <c:pt idx="160">
                  <c:v>-18.135897025332987</c:v>
                </c:pt>
                <c:pt idx="161">
                  <c:v>-18.886813631104207</c:v>
                </c:pt>
                <c:pt idx="162">
                  <c:v>-19.641293946417083</c:v>
                </c:pt>
                <c:pt idx="163">
                  <c:v>-20.399054192598598</c:v>
                </c:pt>
                <c:pt idx="164">
                  <c:v>-21.159823398603386</c:v>
                </c:pt>
                <c:pt idx="165">
                  <c:v>-21.923343208986967</c:v>
                </c:pt>
                <c:pt idx="166">
                  <c:v>-22.689367544014345</c:v>
                </c:pt>
                <c:pt idx="167">
                  <c:v>-23.457662134408093</c:v>
                </c:pt>
                <c:pt idx="168">
                  <c:v>-24.228003951553248</c:v>
                </c:pt>
                <c:pt idx="169">
                  <c:v>-25.000180552040092</c:v>
                </c:pt>
                <c:pt idx="170">
                  <c:v>-25.773989353405732</c:v>
                </c:pt>
                <c:pt idx="171">
                  <c:v>-26.549236855899135</c:v>
                </c:pt>
                <c:pt idx="172">
                  <c:v>-27.325737823146781</c:v>
                </c:pt>
                <c:pt idx="173">
                  <c:v>-28.103314432770084</c:v>
                </c:pt>
                <c:pt idx="174">
                  <c:v>-28.881795406369019</c:v>
                </c:pt>
                <c:pt idx="175">
                  <c:v>-29.661015126846195</c:v>
                </c:pt>
                <c:pt idx="176">
                  <c:v>-30.440812749837612</c:v>
                </c:pt>
                <c:pt idx="177">
                  <c:v>-31.221031315043504</c:v>
                </c:pt>
                <c:pt idx="178">
                  <c:v>-32.001516862526188</c:v>
                </c:pt>
                <c:pt idx="179">
                  <c:v>-32.782117558560586</c:v>
                </c:pt>
                <c:pt idx="180">
                  <c:v>-33.562682835393282</c:v>
                </c:pt>
                <c:pt idx="181">
                  <c:v>-34.343062549285193</c:v>
                </c:pt>
                <c:pt idx="182">
                  <c:v>-35.123106161476258</c:v>
                </c:pt>
                <c:pt idx="183">
                  <c:v>-35.902661947225823</c:v>
                </c:pt>
                <c:pt idx="184">
                  <c:v>-36.681576238833962</c:v>
                </c:pt>
                <c:pt idx="185">
                  <c:v>-37.459692709547625</c:v>
                </c:pt>
                <c:pt idx="186">
                  <c:v>-38.236851706471683</c:v>
                </c:pt>
                <c:pt idx="187">
                  <c:v>-39.012889642056564</c:v>
                </c:pt>
                <c:pt idx="188">
                  <c:v>-39.787638455360224</c:v>
                </c:pt>
                <c:pt idx="189">
                  <c:v>-40.560925156100829</c:v>
                </c:pt>
                <c:pt idx="190">
                  <c:v>-41.332571466436377</c:v>
                </c:pt>
                <c:pt idx="191">
                  <c:v>-42.10239357741321</c:v>
                </c:pt>
                <c:pt idx="192">
                  <c:v>-42.870202039012014</c:v>
                </c:pt>
                <c:pt idx="193">
                  <c:v>-43.635801804598543</c:v>
                </c:pt>
                <c:pt idx="194">
                  <c:v>-44.398992452235277</c:v>
                </c:pt>
                <c:pt idx="195">
                  <c:v>-45.159568606573757</c:v>
                </c:pt>
                <c:pt idx="196">
                  <c:v>-45.917320585751682</c:v>
                </c:pt>
                <c:pt idx="197">
                  <c:v>-46.67203529766347</c:v>
                </c:pt>
                <c:pt idx="198">
                  <c:v>-47.423497408938687</c:v>
                </c:pt>
                <c:pt idx="199">
                  <c:v>-48.171490807716296</c:v>
                </c:pt>
                <c:pt idx="200">
                  <c:v>-48.915800377624123</c:v>
                </c:pt>
              </c:numCache>
            </c:numRef>
          </c:yVal>
          <c:smooth val="1"/>
        </c:ser>
        <c:ser>
          <c:idx val="0"/>
          <c:order val="1"/>
          <c:tx>
            <c:v>Ti(s) Gain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Compensation!$Y$64:$Y$264</c:f>
              <c:numCache>
                <c:formatCode>General</c:formatCode>
                <c:ptCount val="201"/>
                <c:pt idx="0">
                  <c:v>2.5512661967089438</c:v>
                </c:pt>
                <c:pt idx="1">
                  <c:v>2.551398105575001</c:v>
                </c:pt>
                <c:pt idx="2">
                  <c:v>2.551542738112571</c:v>
                </c:pt>
                <c:pt idx="3">
                  <c:v>2.5517013213410107</c:v>
                </c:pt>
                <c:pt idx="4">
                  <c:v>2.5518752005517613</c:v>
                </c:pt>
                <c:pt idx="5">
                  <c:v>2.5520658506969478</c:v>
                </c:pt>
                <c:pt idx="6">
                  <c:v>2.5522748888723994</c:v>
                </c:pt>
                <c:pt idx="7">
                  <c:v>2.5525040879995426</c:v>
                </c:pt>
                <c:pt idx="8">
                  <c:v>2.5527553918213881</c:v>
                </c:pt>
                <c:pt idx="9">
                  <c:v>2.5530309313371227</c:v>
                </c:pt>
                <c:pt idx="10">
                  <c:v>2.5533330428127679</c:v>
                </c:pt>
                <c:pt idx="11">
                  <c:v>2.5536642875193847</c:v>
                </c:pt>
                <c:pt idx="12">
                  <c:v>2.554027473361284</c:v>
                </c:pt>
                <c:pt idx="13">
                  <c:v>2.5544256785748614</c:v>
                </c:pt>
                <c:pt idx="14">
                  <c:v>2.5548622776954319</c:v>
                </c:pt>
                <c:pt idx="15">
                  <c:v>2.5553409700049623</c:v>
                </c:pt>
                <c:pt idx="16">
                  <c:v>2.5558658106972127</c:v>
                </c:pt>
                <c:pt idx="17">
                  <c:v>2.5564412450163916</c:v>
                </c:pt>
                <c:pt idx="18">
                  <c:v>2.5570721456485792</c:v>
                </c:pt>
                <c:pt idx="19">
                  <c:v>2.5577638536729177</c:v>
                </c:pt>
                <c:pt idx="20">
                  <c:v>2.5585222234053813</c:v>
                </c:pt>
                <c:pt idx="21">
                  <c:v>2.5593536714997098</c:v>
                </c:pt>
                <c:pt idx="22">
                  <c:v>2.560265230701666</c:v>
                </c:pt>
                <c:pt idx="23">
                  <c:v>2.5612646086894482</c:v>
                </c:pt>
                <c:pt idx="24">
                  <c:v>2.5623602524696878</c:v>
                </c:pt>
                <c:pt idx="25">
                  <c:v>2.5635614188429585</c:v>
                </c:pt>
                <c:pt idx="26">
                  <c:v>2.5648782514932629</c:v>
                </c:pt>
                <c:pt idx="27">
                  <c:v>2.5663218653071196</c:v>
                </c:pt>
                <c:pt idx="28">
                  <c:v>2.5679044385780134</c:v>
                </c:pt>
                <c:pt idx="29">
                  <c:v>2.5696393138077123</c:v>
                </c:pt>
                <c:pt idx="30">
                  <c:v>2.5715411078726094</c:v>
                </c:pt>
                <c:pt idx="31">
                  <c:v>2.5736258323900203</c:v>
                </c:pt>
                <c:pt idx="32">
                  <c:v>2.5759110251801758</c:v>
                </c:pt>
                <c:pt idx="33">
                  <c:v>2.5784158937953672</c:v>
                </c:pt>
                <c:pt idx="34">
                  <c:v>2.5811614721553862</c:v>
                </c:pt>
                <c:pt idx="35">
                  <c:v>2.5841707914106493</c:v>
                </c:pt>
                <c:pt idx="36">
                  <c:v>2.5874690662305859</c:v>
                </c:pt>
                <c:pt idx="37">
                  <c:v>2.5910838977971373</c:v>
                </c:pt>
                <c:pt idx="38">
                  <c:v>2.5950454948691393</c:v>
                </c:pt>
                <c:pt idx="39">
                  <c:v>2.5993869143641817</c:v>
                </c:pt>
                <c:pt idx="40">
                  <c:v>2.6041443229922034</c:v>
                </c:pt>
                <c:pt idx="41">
                  <c:v>2.6093572815519712</c:v>
                </c:pt>
                <c:pt idx="42">
                  <c:v>2.615069053583698</c:v>
                </c:pt>
                <c:pt idx="43">
                  <c:v>2.6213269401372346</c:v>
                </c:pt>
                <c:pt idx="44">
                  <c:v>2.6281826424801791</c:v>
                </c:pt>
                <c:pt idx="45">
                  <c:v>2.6356926546166211</c:v>
                </c:pt>
                <c:pt idx="46">
                  <c:v>2.6439186875189074</c:v>
                </c:pt>
                <c:pt idx="47">
                  <c:v>2.6529281269846221</c:v>
                </c:pt>
                <c:pt idx="48">
                  <c:v>2.6627945270117785</c:v>
                </c:pt>
                <c:pt idx="49">
                  <c:v>2.6735981405336777</c:v>
                </c:pt>
                <c:pt idx="50">
                  <c:v>2.6854264892607498</c:v>
                </c:pt>
                <c:pt idx="51">
                  <c:v>2.698374974232796</c:v>
                </c:pt>
                <c:pt idx="52">
                  <c:v>2.7125475284840412</c:v>
                </c:pt>
                <c:pt idx="53">
                  <c:v>2.7280573129517571</c:v>
                </c:pt>
                <c:pt idx="54">
                  <c:v>2.7450274564117754</c:v>
                </c:pt>
                <c:pt idx="55">
                  <c:v>2.7635918397860553</c:v>
                </c:pt>
                <c:pt idx="56">
                  <c:v>2.7838959246306128</c:v>
                </c:pt>
                <c:pt idx="57">
                  <c:v>2.8060976249728098</c:v>
                </c:pt>
                <c:pt idx="58">
                  <c:v>2.8303682209032526</c:v>
                </c:pt>
                <c:pt idx="59">
                  <c:v>2.8568933114602775</c:v>
                </c:pt>
                <c:pt idx="60">
                  <c:v>2.8858738033477218</c:v>
                </c:pt>
                <c:pt idx="61">
                  <c:v>2.9175269309314307</c:v>
                </c:pt>
                <c:pt idx="62">
                  <c:v>2.9520873017675315</c:v>
                </c:pt>
                <c:pt idx="63">
                  <c:v>2.9898079606633114</c:v>
                </c:pt>
                <c:pt idx="64">
                  <c:v>3.0309614640010869</c:v>
                </c:pt>
                <c:pt idx="65">
                  <c:v>3.0758409548290286</c:v>
                </c:pt>
                <c:pt idx="66">
                  <c:v>3.1247612281232708</c:v>
                </c:pt>
                <c:pt idx="67">
                  <c:v>3.1780597747692996</c:v>
                </c:pt>
                <c:pt idx="68">
                  <c:v>3.236097792327675</c:v>
                </c:pt>
                <c:pt idx="69">
                  <c:v>3.2992611507173337</c:v>
                </c:pt>
                <c:pt idx="70">
                  <c:v>3.3679613017700265</c:v>
                </c:pt>
                <c:pt idx="71">
                  <c:v>3.4426361234126936</c:v>
                </c:pt>
                <c:pt idx="72">
                  <c:v>3.5237506922873574</c:v>
                </c:pt>
                <c:pt idx="73">
                  <c:v>3.6117979832008085</c:v>
                </c:pt>
                <c:pt idx="74">
                  <c:v>3.7072995002006599</c:v>
                </c:pt>
                <c:pt idx="75">
                  <c:v>3.810805852584064</c:v>
                </c:pt>
                <c:pt idx="76">
                  <c:v>3.9228973000281542</c:v>
                </c:pt>
                <c:pt idx="77">
                  <c:v>4.0441843044821928</c:v>
                </c:pt>
                <c:pt idx="78">
                  <c:v>4.1753081426310743</c:v>
                </c:pt>
                <c:pt idx="79">
                  <c:v>4.3169416516407004</c:v>
                </c:pt>
                <c:pt idx="80">
                  <c:v>4.4697902024367391</c:v>
                </c:pt>
                <c:pt idx="81">
                  <c:v>4.6345930186807109</c:v>
                </c:pt>
                <c:pt idx="82">
                  <c:v>4.8121249854524937</c:v>
                </c:pt>
                <c:pt idx="83">
                  <c:v>5.0031991187767417</c:v>
                </c:pt>
                <c:pt idx="84">
                  <c:v>5.2086698946309831</c:v>
                </c:pt>
                <c:pt idx="85">
                  <c:v>5.4294376627215239</c:v>
                </c:pt>
                <c:pt idx="86">
                  <c:v>5.6664543943665358</c:v>
                </c:pt>
                <c:pt idx="87">
                  <c:v>5.9207310327433804</c:v>
                </c:pt>
                <c:pt idx="88">
                  <c:v>6.193346723542188</c:v>
                </c:pt>
                <c:pt idx="89">
                  <c:v>6.4854601981551943</c:v>
                </c:pt>
                <c:pt idx="90">
                  <c:v>6.7983235487042979</c:v>
                </c:pt>
                <c:pt idx="91">
                  <c:v>7.1332985548973626</c:v>
                </c:pt>
                <c:pt idx="92">
                  <c:v>7.4918755624444326</c:v>
                </c:pt>
                <c:pt idx="93">
                  <c:v>7.8756946104244001</c:v>
                </c:pt>
                <c:pt idx="94">
                  <c:v>8.2865679518061928</c:v>
                </c:pt>
                <c:pt idx="95">
                  <c:v>8.7265021128315414</c:v>
                </c:pt>
                <c:pt idx="96">
                  <c:v>9.1977158437840902</c:v>
                </c:pt>
                <c:pt idx="97">
                  <c:v>9.7026470946273324</c:v>
                </c:pt>
                <c:pt idx="98">
                  <c:v>10.243936358542687</c:v>
                </c:pt>
                <c:pt idx="99">
                  <c:v>10.824363282288555</c:v>
                </c:pt>
                <c:pt idx="100">
                  <c:v>11.446694580253984</c:v>
                </c:pt>
                <c:pt idx="101">
                  <c:v>12.11336733976448</c:v>
                </c:pt>
                <c:pt idx="102">
                  <c:v>12.825871548239114</c:v>
                </c:pt>
                <c:pt idx="103">
                  <c:v>13.583592570275956</c:v>
                </c:pt>
                <c:pt idx="104">
                  <c:v>14.381712930297983</c:v>
                </c:pt>
                <c:pt idx="105">
                  <c:v>15.207575225660843</c:v>
                </c:pt>
                <c:pt idx="106">
                  <c:v>16.034864624252588</c:v>
                </c:pt>
                <c:pt idx="107">
                  <c:v>16.815771296565959</c:v>
                </c:pt>
                <c:pt idx="108">
                  <c:v>17.474499601912406</c:v>
                </c:pt>
                <c:pt idx="109">
                  <c:v>17.912065413095849</c:v>
                </c:pt>
                <c:pt idx="110">
                  <c:v>18.035342972780281</c:v>
                </c:pt>
                <c:pt idx="111">
                  <c:v>17.804301151428326</c:v>
                </c:pt>
                <c:pt idx="112">
                  <c:v>17.257438382654506</c:v>
                </c:pt>
                <c:pt idx="113">
                  <c:v>16.48692119641543</c:v>
                </c:pt>
                <c:pt idx="114">
                  <c:v>15.591323799797145</c:v>
                </c:pt>
                <c:pt idx="115">
                  <c:v>14.646237533043243</c:v>
                </c:pt>
                <c:pt idx="116">
                  <c:v>13.699238080654606</c:v>
                </c:pt>
                <c:pt idx="117">
                  <c:v>12.776313300290511</c:v>
                </c:pt>
                <c:pt idx="118">
                  <c:v>11.889718386775526</c:v>
                </c:pt>
                <c:pt idx="119">
                  <c:v>11.043826733104144</c:v>
                </c:pt>
                <c:pt idx="120">
                  <c:v>10.238794385949905</c:v>
                </c:pt>
                <c:pt idx="121">
                  <c:v>9.4726770092335784</c:v>
                </c:pt>
                <c:pt idx="122">
                  <c:v>8.742599768654312</c:v>
                </c:pt>
                <c:pt idx="123">
                  <c:v>8.0453831690767856</c:v>
                </c:pt>
                <c:pt idx="124">
                  <c:v>7.377865728040657</c:v>
                </c:pt>
                <c:pt idx="125">
                  <c:v>6.7370605858906716</c:v>
                </c:pt>
                <c:pt idx="126">
                  <c:v>6.1202224551754334</c:v>
                </c:pt>
                <c:pt idx="127">
                  <c:v>5.5248671064172186</c:v>
                </c:pt>
                <c:pt idx="128">
                  <c:v>4.9487665856081948</c:v>
                </c:pt>
                <c:pt idx="129">
                  <c:v>4.3899328439961343</c:v>
                </c:pt>
                <c:pt idx="130">
                  <c:v>3.846596639935826</c:v>
                </c:pt>
                <c:pt idx="131">
                  <c:v>3.3171853468683761</c:v>
                </c:pt>
                <c:pt idx="132">
                  <c:v>2.8003015154722508</c:v>
                </c:pt>
                <c:pt idx="133">
                  <c:v>2.2947030544595637</c:v>
                </c:pt>
                <c:pt idx="134">
                  <c:v>1.7992853599238836</c:v>
                </c:pt>
                <c:pt idx="135">
                  <c:v>1.3130654402453286</c:v>
                </c:pt>
                <c:pt idx="136">
                  <c:v>0.83516794141648121</c:v>
                </c:pt>
                <c:pt idx="137">
                  <c:v>0.36481291361552382</c:v>
                </c:pt>
                <c:pt idx="138">
                  <c:v>-9.8694861592278513E-2</c:v>
                </c:pt>
                <c:pt idx="139">
                  <c:v>-0.55597516301073369</c:v>
                </c:pt>
                <c:pt idx="140">
                  <c:v>-1.0075804079295694</c:v>
                </c:pt>
                <c:pt idx="141">
                  <c:v>-1.4540026670002879</c:v>
                </c:pt>
                <c:pt idx="142">
                  <c:v>-1.8956797478557323</c:v>
                </c:pt>
                <c:pt idx="143">
                  <c:v>-2.3330004614287096</c:v>
                </c:pt>
                <c:pt idx="144">
                  <c:v>-2.7663091681191436</c:v>
                </c:pt>
                <c:pt idx="145">
                  <c:v>-3.1959096857118396</c:v>
                </c:pt>
                <c:pt idx="146">
                  <c:v>-3.6220686272798446</c:v>
                </c:pt>
                <c:pt idx="147">
                  <c:v>-4.0450182251361708</c:v>
                </c:pt>
                <c:pt idx="148">
                  <c:v>-4.4649586860264225</c:v>
                </c:pt>
                <c:pt idx="149">
                  <c:v>-4.8820601129940471</c:v>
                </c:pt>
                <c:pt idx="150">
                  <c:v>-5.2964640205022517</c:v>
                </c:pt>
                <c:pt idx="151">
                  <c:v>-5.7082844612681685</c:v>
                </c:pt>
                <c:pt idx="152">
                  <c:v>-6.1176087757003241</c:v>
                </c:pt>
                <c:pt idx="153">
                  <c:v>-6.5244979676871235</c:v>
                </c:pt>
                <c:pt idx="154">
                  <c:v>-6.9289867036618773</c:v>
                </c:pt>
                <c:pt idx="155">
                  <c:v>-7.3310829253029164</c:v>
                </c:pt>
                <c:pt idx="156">
                  <c:v>-7.7307670599007619</c:v>
                </c:pt>
                <c:pt idx="157">
                  <c:v>-8.1279908063805735</c:v>
                </c:pt>
                <c:pt idx="158">
                  <c:v>-8.5226754693435964</c:v>
                </c:pt>
                <c:pt idx="159">
                  <c:v>-8.9147098085044725</c:v>
                </c:pt>
                <c:pt idx="160">
                  <c:v>-9.3039473669377681</c:v>
                </c:pt>
                <c:pt idx="161">
                  <c:v>-9.690203239142301</c:v>
                </c:pt>
                <c:pt idx="162">
                  <c:v>-10.073250239876916</c:v>
                </c:pt>
                <c:pt idx="163">
                  <c:v>-10.452814438075604</c:v>
                </c:pt>
                <c:pt idx="164">
                  <c:v>-10.828570028336381</c:v>
                </c:pt>
                <c:pt idx="165">
                  <c:v>-11.200133527326448</c:v>
                </c:pt>
                <c:pt idx="166">
                  <c:v>-11.567057306251982</c:v>
                </c:pt>
                <c:pt idx="167">
                  <c:v>-11.928822506048908</c:v>
                </c:pt>
                <c:pt idx="168">
                  <c:v>-12.284831432339157</c:v>
                </c:pt>
                <c:pt idx="169">
                  <c:v>-12.634399595805997</c:v>
                </c:pt>
                <c:pt idx="170">
                  <c:v>-12.97674765368328</c:v>
                </c:pt>
                <c:pt idx="171">
                  <c:v>-13.31099362185866</c:v>
                </c:pt>
                <c:pt idx="172">
                  <c:v>-13.636145865131734</c:v>
                </c:pt>
                <c:pt idx="173">
                  <c:v>-13.951097532542445</c:v>
                </c:pt>
                <c:pt idx="174">
                  <c:v>-14.254623277238586</c:v>
                </c:pt>
                <c:pt idx="175">
                  <c:v>-14.545379270448047</c:v>
                </c:pt>
                <c:pt idx="176">
                  <c:v>-14.821907661615954</c:v>
                </c:pt>
                <c:pt idx="177">
                  <c:v>-15.082646715798198</c:v>
                </c:pt>
                <c:pt idx="178">
                  <c:v>-15.325947829266378</c:v>
                </c:pt>
                <c:pt idx="179">
                  <c:v>-15.550100433824328</c:v>
                </c:pt>
                <c:pt idx="180">
                  <c:v>-15.753365402108162</c:v>
                </c:pt>
                <c:pt idx="181">
                  <c:v>-15.934016930911776</c:v>
                </c:pt>
                <c:pt idx="182">
                  <c:v>-16.090392014627234</c:v>
                </c:pt>
                <c:pt idx="183">
                  <c:v>-16.220945587796788</c:v>
                </c:pt>
                <c:pt idx="184">
                  <c:v>-16.32430834041633</c:v>
                </c:pt>
                <c:pt idx="185">
                  <c:v>-16.399343275735497</c:v>
                </c:pt>
                <c:pt idx="186">
                  <c:v>-16.445196500378319</c:v>
                </c:pt>
                <c:pt idx="187">
                  <c:v>-16.461337701359394</c:v>
                </c:pt>
                <c:pt idx="188">
                  <c:v>-16.447586382397052</c:v>
                </c:pt>
                <c:pt idx="189">
                  <c:v>-16.404121179648385</c:v>
                </c:pt>
                <c:pt idx="190">
                  <c:v>-16.331471284074414</c:v>
                </c:pt>
                <c:pt idx="191">
                  <c:v>-16.23049087692349</c:v>
                </c:pt>
                <c:pt idx="192">
                  <c:v>-16.102319203704912</c:v>
                </c:pt>
                <c:pt idx="193">
                  <c:v>-15.948330180250213</c:v>
                </c:pt>
                <c:pt idx="194">
                  <c:v>-15.770076066460081</c:v>
                </c:pt>
                <c:pt idx="195">
                  <c:v>-15.569229730585812</c:v>
                </c:pt>
                <c:pt idx="196">
                  <c:v>-15.347529463747305</c:v>
                </c:pt>
                <c:pt idx="197">
                  <c:v>-15.106729379634183</c:v>
                </c:pt>
                <c:pt idx="198">
                  <c:v>-14.848557360664049</c:v>
                </c:pt>
                <c:pt idx="199">
                  <c:v>-14.574681474726326</c:v>
                </c:pt>
                <c:pt idx="200">
                  <c:v>-14.286684914217926</c:v>
                </c:pt>
              </c:numCache>
            </c:numRef>
          </c:yVal>
          <c:smooth val="1"/>
        </c:ser>
        <c:ser>
          <c:idx val="4"/>
          <c:order val="2"/>
          <c:tx>
            <c:v>Tv(s) Gain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Compensation!$AC$64:$AC$264</c:f>
              <c:numCache>
                <c:formatCode>General</c:formatCode>
                <c:ptCount val="201"/>
                <c:pt idx="0">
                  <c:v>20.879288609676209</c:v>
                </c:pt>
                <c:pt idx="1">
                  <c:v>20.87931859732231</c:v>
                </c:pt>
                <c:pt idx="2">
                  <c:v>20.87935147821306</c:v>
                </c:pt>
                <c:pt idx="3">
                  <c:v>20.879387531502218</c:v>
                </c:pt>
                <c:pt idx="4">
                  <c:v>20.879427063279046</c:v>
                </c:pt>
                <c:pt idx="5">
                  <c:v>20.879470409168089</c:v>
                </c:pt>
                <c:pt idx="6">
                  <c:v>20.879517937180339</c:v>
                </c:pt>
                <c:pt idx="7">
                  <c:v>20.879570050837778</c:v>
                </c:pt>
                <c:pt idx="8">
                  <c:v>20.879627192601149</c:v>
                </c:pt>
                <c:pt idx="9">
                  <c:v>20.879689847628686</c:v>
                </c:pt>
                <c:pt idx="10">
                  <c:v>20.879758547896952</c:v>
                </c:pt>
                <c:pt idx="11">
                  <c:v>20.879833876720006</c:v>
                </c:pt>
                <c:pt idx="12">
                  <c:v>20.879916473705439</c:v>
                </c:pt>
                <c:pt idx="13">
                  <c:v>20.880007040188232</c:v>
                </c:pt>
                <c:pt idx="14">
                  <c:v>20.880106345190814</c:v>
                </c:pt>
                <c:pt idx="15">
                  <c:v>20.88021523195712</c:v>
                </c:pt>
                <c:pt idx="16">
                  <c:v>20.880334625120231</c:v>
                </c:pt>
                <c:pt idx="17">
                  <c:v>20.880465538560479</c:v>
                </c:pt>
                <c:pt idx="18">
                  <c:v>20.88060908402494</c:v>
                </c:pt>
                <c:pt idx="19">
                  <c:v>20.880766480578611</c:v>
                </c:pt>
                <c:pt idx="20">
                  <c:v>20.880939064970711</c:v>
                </c:pt>
                <c:pt idx="21">
                  <c:v>20.881128303002889</c:v>
                </c:pt>
                <c:pt idx="22">
                  <c:v>20.881335801996975</c:v>
                </c:pt>
                <c:pt idx="23">
                  <c:v>20.881563324469408</c:v>
                </c:pt>
                <c:pt idx="24">
                  <c:v>20.881812803129396</c:v>
                </c:pt>
                <c:pt idx="25">
                  <c:v>20.882086357327839</c:v>
                </c:pt>
                <c:pt idx="26">
                  <c:v>20.882386311101438</c:v>
                </c:pt>
                <c:pt idx="27">
                  <c:v>20.882715212962928</c:v>
                </c:pt>
                <c:pt idx="28">
                  <c:v>20.883075857610137</c:v>
                </c:pt>
                <c:pt idx="29">
                  <c:v>20.883471309740365</c:v>
                </c:pt>
                <c:pt idx="30">
                  <c:v>20.883904930174765</c:v>
                </c:pt>
                <c:pt idx="31">
                  <c:v>20.884380404518218</c:v>
                </c:pt>
                <c:pt idx="32">
                  <c:v>20.884901774602476</c:v>
                </c:pt>
                <c:pt idx="33">
                  <c:v>20.8854734729859</c:v>
                </c:pt>
                <c:pt idx="34">
                  <c:v>20.886100360806292</c:v>
                </c:pt>
                <c:pt idx="35">
                  <c:v>20.886787769319564</c:v>
                </c:pt>
                <c:pt idx="36">
                  <c:v>20.887541545483316</c:v>
                </c:pt>
                <c:pt idx="37">
                  <c:v>20.888368101983865</c:v>
                </c:pt>
                <c:pt idx="38">
                  <c:v>20.889274472146045</c:v>
                </c:pt>
                <c:pt idx="39">
                  <c:v>20.890268370207234</c:v>
                </c:pt>
                <c:pt idx="40">
                  <c:v>20.891358257485759</c:v>
                </c:pt>
                <c:pt idx="41">
                  <c:v>20.892553415030541</c:v>
                </c:pt>
                <c:pt idx="42">
                  <c:v>20.893864023394816</c:v>
                </c:pt>
                <c:pt idx="43">
                  <c:v>20.895301250246959</c:v>
                </c:pt>
                <c:pt idx="44">
                  <c:v>20.896877346600455</c:v>
                </c:pt>
                <c:pt idx="45">
                  <c:v>20.898605752529939</c:v>
                </c:pt>
                <c:pt idx="46">
                  <c:v>20.900501213330038</c:v>
                </c:pt>
                <c:pt idx="47">
                  <c:v>20.902579907172424</c:v>
                </c:pt>
                <c:pt idx="48">
                  <c:v>20.904859585430266</c:v>
                </c:pt>
                <c:pt idx="49">
                  <c:v>20.907359726964508</c:v>
                </c:pt>
                <c:pt idx="50">
                  <c:v>20.910101707803186</c:v>
                </c:pt>
                <c:pt idx="51">
                  <c:v>20.913108987804513</c:v>
                </c:pt>
                <c:pt idx="52">
                  <c:v>20.916407316064827</c:v>
                </c:pt>
                <c:pt idx="53">
                  <c:v>20.920024957031575</c:v>
                </c:pt>
                <c:pt idx="54">
                  <c:v>20.923992939498763</c:v>
                </c:pt>
                <c:pt idx="55">
                  <c:v>20.928345330910844</c:v>
                </c:pt>
                <c:pt idx="56">
                  <c:v>20.933119539678323</c:v>
                </c:pt>
                <c:pt idx="57">
                  <c:v>20.938356648524469</c:v>
                </c:pt>
                <c:pt idx="58">
                  <c:v>20.944101782238498</c:v>
                </c:pt>
                <c:pt idx="59">
                  <c:v>20.950404513610948</c:v>
                </c:pt>
                <c:pt idx="60">
                  <c:v>20.957319311793494</c:v>
                </c:pt>
                <c:pt idx="61">
                  <c:v>20.964906037839782</c:v>
                </c:pt>
                <c:pt idx="62">
                  <c:v>20.973230492787422</c:v>
                </c:pt>
                <c:pt idx="63">
                  <c:v>20.982365024320742</c:v>
                </c:pt>
                <c:pt idx="64">
                  <c:v>20.992389198840826</c:v>
                </c:pt>
                <c:pt idx="65">
                  <c:v>21.003390546667234</c:v>
                </c:pt>
                <c:pt idx="66">
                  <c:v>21.01546538913885</c:v>
                </c:pt>
                <c:pt idx="67">
                  <c:v>21.028719757580795</c:v>
                </c:pt>
                <c:pt idx="68">
                  <c:v>21.04327041549357</c:v>
                </c:pt>
                <c:pt idx="69">
                  <c:v>21.059245996941989</c:v>
                </c:pt>
                <c:pt idx="70">
                  <c:v>21.07678827599387</c:v>
                </c:pt>
                <c:pt idx="71">
                  <c:v>21.096053584261977</c:v>
                </c:pt>
                <c:pt idx="72">
                  <c:v>21.117214396156587</c:v>
                </c:pt>
                <c:pt idx="73">
                  <c:v>21.140461104467402</c:v>
                </c:pt>
                <c:pt idx="74">
                  <c:v>21.166004012413598</c:v>
                </c:pt>
                <c:pt idx="75">
                  <c:v>21.194075572435889</c:v>
                </c:pt>
                <c:pt idx="76">
                  <c:v>21.22493290687634</c:v>
                </c:pt>
                <c:pt idx="77">
                  <c:v>21.258860651407751</c:v>
                </c:pt>
                <c:pt idx="78">
                  <c:v>21.2961741688062</c:v>
                </c:pt>
                <c:pt idx="79">
                  <c:v>21.337223188554244</c:v>
                </c:pt>
                <c:pt idx="80">
                  <c:v>21.38239593701055</c:v>
                </c:pt>
                <c:pt idx="81">
                  <c:v>21.432123833647012</c:v>
                </c:pt>
                <c:pt idx="82">
                  <c:v>21.486886841307463</c:v>
                </c:pt>
                <c:pt idx="83">
                  <c:v>21.547219572658648</c:v>
                </c:pt>
                <c:pt idx="84">
                  <c:v>21.613718270936431</c:v>
                </c:pt>
                <c:pt idx="85">
                  <c:v>21.687048800409343</c:v>
                </c:pt>
                <c:pt idx="86">
                  <c:v>21.76795579982738</c:v>
                </c:pt>
                <c:pt idx="87">
                  <c:v>21.857273168733677</c:v>
                </c:pt>
                <c:pt idx="88">
                  <c:v>21.955936068475879</c:v>
                </c:pt>
                <c:pt idx="89">
                  <c:v>22.064994620796853</c:v>
                </c:pt>
                <c:pt idx="90">
                  <c:v>22.185629465762844</c:v>
                </c:pt>
                <c:pt idx="91">
                  <c:v>22.319169277527664</c:v>
                </c:pt>
                <c:pt idx="92">
                  <c:v>22.467110195800469</c:v>
                </c:pt>
                <c:pt idx="93">
                  <c:v>22.631136850669279</c:v>
                </c:pt>
                <c:pt idx="94">
                  <c:v>22.813144128573782</c:v>
                </c:pt>
                <c:pt idx="95">
                  <c:v>23.015257851822781</c:v>
                </c:pt>
                <c:pt idx="96">
                  <c:v>23.2398507723642</c:v>
                </c:pt>
                <c:pt idx="97">
                  <c:v>23.489547080100692</c:v>
                </c:pt>
                <c:pt idx="98">
                  <c:v>23.767202850379054</c:v>
                </c:pt>
                <c:pt idx="99">
                  <c:v>24.075839421440406</c:v>
                </c:pt>
                <c:pt idx="100">
                  <c:v>24.418487836045209</c:v>
                </c:pt>
                <c:pt idx="101">
                  <c:v>24.797868532922287</c:v>
                </c:pt>
                <c:pt idx="102">
                  <c:v>25.215770213151679</c:v>
                </c:pt>
                <c:pt idx="103">
                  <c:v>25.671888696811628</c:v>
                </c:pt>
                <c:pt idx="104">
                  <c:v>26.161725202661273</c:v>
                </c:pt>
                <c:pt idx="105">
                  <c:v>26.672945940817318</c:v>
                </c:pt>
                <c:pt idx="106">
                  <c:v>27.179561524367561</c:v>
                </c:pt>
                <c:pt idx="107">
                  <c:v>27.63408658841476</c:v>
                </c:pt>
                <c:pt idx="108">
                  <c:v>27.961046461791923</c:v>
                </c:pt>
                <c:pt idx="109">
                  <c:v>28.06177228939157</c:v>
                </c:pt>
                <c:pt idx="110">
                  <c:v>27.843446001415074</c:v>
                </c:pt>
                <c:pt idx="111">
                  <c:v>27.26633499356064</c:v>
                </c:pt>
                <c:pt idx="112">
                  <c:v>26.36922578092204</c:v>
                </c:pt>
                <c:pt idx="113">
                  <c:v>25.244561527444709</c:v>
                </c:pt>
                <c:pt idx="114">
                  <c:v>23.99118087821174</c:v>
                </c:pt>
                <c:pt idx="115">
                  <c:v>22.684926897247806</c:v>
                </c:pt>
                <c:pt idx="116">
                  <c:v>21.373613964476284</c:v>
                </c:pt>
                <c:pt idx="117">
                  <c:v>20.08345546815525</c:v>
                </c:pt>
                <c:pt idx="118">
                  <c:v>18.826918984289087</c:v>
                </c:pt>
                <c:pt idx="119">
                  <c:v>17.608577280309401</c:v>
                </c:pt>
                <c:pt idx="120">
                  <c:v>16.428773017573459</c:v>
                </c:pt>
                <c:pt idx="121">
                  <c:v>15.285736045193079</c:v>
                </c:pt>
                <c:pt idx="122">
                  <c:v>14.176753679118461</c:v>
                </c:pt>
                <c:pt idx="123">
                  <c:v>13.098796981500275</c:v>
                </c:pt>
                <c:pt idx="124">
                  <c:v>12.048843908792843</c:v>
                </c:pt>
                <c:pt idx="125">
                  <c:v>11.024036416274445</c:v>
                </c:pt>
                <c:pt idx="126">
                  <c:v>10.021747910643317</c:v>
                </c:pt>
                <c:pt idx="127">
                  <c:v>9.0396032384829255</c:v>
                </c:pt>
                <c:pt idx="128">
                  <c:v>8.0754743981352632</c:v>
                </c:pt>
                <c:pt idx="129">
                  <c:v>7.1274646490457343</c:v>
                </c:pt>
                <c:pt idx="130">
                  <c:v>6.1938878729829563</c:v>
                </c:pt>
                <c:pt idx="131">
                  <c:v>5.2732468167738915</c:v>
                </c:pt>
                <c:pt idx="132">
                  <c:v>4.3642120609581045</c:v>
                </c:pt>
                <c:pt idx="133">
                  <c:v>3.4656025758096769</c:v>
                </c:pt>
                <c:pt idx="134">
                  <c:v>2.5763681920804755</c:v>
                </c:pt>
                <c:pt idx="135">
                  <c:v>1.6955740312362257</c:v>
                </c:pt>
                <c:pt idx="136">
                  <c:v>0.8223867980131474</c:v>
                </c:pt>
                <c:pt idx="137">
                  <c:v>-4.393722585648252E-2</c:v>
                </c:pt>
                <c:pt idx="138">
                  <c:v>-0.90406266940413182</c:v>
                </c:pt>
                <c:pt idx="139">
                  <c:v>-1.7585842234672704</c:v>
                </c:pt>
                <c:pt idx="140">
                  <c:v>-2.6080346249321105</c:v>
                </c:pt>
                <c:pt idx="141">
                  <c:v>-3.4528916275078148</c:v>
                </c:pt>
                <c:pt idx="142">
                  <c:v>-4.2935840945006749</c:v>
                </c:pt>
                <c:pt idx="143">
                  <c:v>-5.1304973317108695</c:v>
                </c:pt>
                <c:pt idx="144">
                  <c:v>-5.9639777626022994</c:v>
                </c:pt>
                <c:pt idx="145">
                  <c:v>-6.7943370336373103</c:v>
                </c:pt>
                <c:pt idx="146">
                  <c:v>-7.6218556251729099</c:v>
                </c:pt>
                <c:pt idx="147">
                  <c:v>-8.4467860325063171</c:v>
                </c:pt>
                <c:pt idx="148">
                  <c:v>-9.2693555723671555</c:v>
                </c:pt>
                <c:pt idx="149">
                  <c:v>-10.089768862216097</c:v>
                </c:pt>
                <c:pt idx="150">
                  <c:v>-10.908210012939792</c:v>
                </c:pt>
                <c:pt idx="151">
                  <c:v>-11.724844569768065</c:v>
                </c:pt>
                <c:pt idx="152">
                  <c:v>-12.539821231331501</c:v>
                </c:pt>
                <c:pt idx="153">
                  <c:v>-13.35327337259714</c:v>
                </c:pt>
                <c:pt idx="154">
                  <c:v>-14.165320393852991</c:v>
                </c:pt>
                <c:pt idx="155">
                  <c:v>-14.97606891486415</c:v>
                </c:pt>
                <c:pt idx="156">
                  <c:v>-15.785613830715571</c:v>
                </c:pt>
                <c:pt idx="157">
                  <c:v>-16.594039243612514</c:v>
                </c:pt>
                <c:pt idx="158">
                  <c:v>-17.401419282985838</c:v>
                </c:pt>
                <c:pt idx="159">
                  <c:v>-18.207818824580414</c:v>
                </c:pt>
                <c:pt idx="160">
                  <c:v>-19.013294117768918</c:v>
                </c:pt>
                <c:pt idx="161">
                  <c:v>-19.81789332907956</c:v>
                </c:pt>
                <c:pt idx="162">
                  <c:v>-20.621657008839335</c:v>
                </c:pt>
                <c:pt idx="163">
                  <c:v>-21.424618486886608</c:v>
                </c:pt>
                <c:pt idx="164">
                  <c:v>-22.226804202476416</c:v>
                </c:pt>
                <c:pt idx="165">
                  <c:v>-23.028233972776199</c:v>
                </c:pt>
                <c:pt idx="166">
                  <c:v>-23.828921203722849</c:v>
                </c:pt>
                <c:pt idx="167">
                  <c:v>-24.628873046450121</c:v>
                </c:pt>
                <c:pt idx="168">
                  <c:v>-25.428090502030429</c:v>
                </c:pt>
                <c:pt idx="169">
                  <c:v>-26.226568476855579</c:v>
                </c:pt>
                <c:pt idx="170">
                  <c:v>-27.024295790644555</c:v>
                </c:pt>
                <c:pt idx="171">
                  <c:v>-27.821255138777602</c:v>
                </c:pt>
                <c:pt idx="172">
                  <c:v>-28.617423010443606</c:v>
                </c:pt>
                <c:pt idx="173">
                  <c:v>-29.412769563924137</c:v>
                </c:pt>
                <c:pt idx="174">
                  <c:v>-30.20725846025579</c:v>
                </c:pt>
                <c:pt idx="175">
                  <c:v>-31.000846656488086</c:v>
                </c:pt>
                <c:pt idx="176">
                  <c:v>-31.793484159817027</c:v>
                </c:pt>
                <c:pt idx="177">
                  <c:v>-32.585113744016475</c:v>
                </c:pt>
                <c:pt idx="178">
                  <c:v>-33.375670629828619</c:v>
                </c:pt>
                <c:pt idx="179">
                  <c:v>-34.165082131314925</c:v>
                </c:pt>
                <c:pt idx="180">
                  <c:v>-34.953267270626938</c:v>
                </c:pt>
                <c:pt idx="181">
                  <c:v>-35.740136364241948</c:v>
                </c:pt>
                <c:pt idx="182">
                  <c:v>-36.525590584431868</c:v>
                </c:pt>
                <c:pt idx="183">
                  <c:v>-37.309521500613563</c:v>
                </c:pt>
                <c:pt idx="184">
                  <c:v>-38.091810606267387</c:v>
                </c:pt>
                <c:pt idx="185">
                  <c:v>-38.872328838328428</c:v>
                </c:pt>
                <c:pt idx="186">
                  <c:v>-39.650936097340988</c:v>
                </c:pt>
                <c:pt idx="187">
                  <c:v>-40.427480778244089</c:v>
                </c:pt>
                <c:pt idx="188">
                  <c:v>-41.201799323387476</c:v>
                </c:pt>
                <c:pt idx="189">
                  <c:v>-41.973715811278545</c:v>
                </c:pt>
                <c:pt idx="190">
                  <c:v>-42.743041596569768</c:v>
                </c:pt>
                <c:pt idx="191">
                  <c:v>-43.509575018892335</c:v>
                </c:pt>
                <c:pt idx="192">
                  <c:v>-44.273101200245286</c:v>
                </c:pt>
                <c:pt idx="193">
                  <c:v>-45.033391952677221</c:v>
                </c:pt>
                <c:pt idx="194">
                  <c:v>-45.790205819842704</c:v>
                </c:pt>
                <c:pt idx="195">
                  <c:v>-46.54328827753406</c:v>
                </c:pt>
                <c:pt idx="196">
                  <c:v>-47.292372119324433</c:v>
                </c:pt>
                <c:pt idx="197">
                  <c:v>-48.037178053819346</c:v>
                </c:pt>
                <c:pt idx="198">
                  <c:v>-48.777415539500723</c:v>
                </c:pt>
                <c:pt idx="199">
                  <c:v>-49.512783881539512</c:v>
                </c:pt>
                <c:pt idx="200">
                  <c:v>-50.242973612045631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5728"/>
        <c:axId val="358427648"/>
      </c:scatterChart>
      <c:valAx>
        <c:axId val="358425728"/>
        <c:scaling>
          <c:logBase val="10"/>
          <c:orientation val="minMax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427648"/>
        <c:crosses val="autoZero"/>
        <c:crossBetween val="midCat"/>
      </c:valAx>
      <c:valAx>
        <c:axId val="35842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425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5345228311108"/>
          <c:y val="2.5352180375043481E-2"/>
          <c:w val="0.20258154599361949"/>
          <c:h val="0.163380577427821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9966273187178E-2"/>
          <c:y val="7.02247191011236E-2"/>
          <c:w val="0.88532883642495785"/>
          <c:h val="0.86235955056179781"/>
        </c:manualLayout>
      </c:layout>
      <c:scatterChart>
        <c:scatterStyle val="smoothMarker"/>
        <c:varyColors val="0"/>
        <c:ser>
          <c:idx val="3"/>
          <c:order val="0"/>
          <c:tx>
            <c:v> T(s) w/o Comp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Compensation!$AG$64:$AG$264</c:f>
              <c:numCache>
                <c:formatCode>General</c:formatCode>
                <c:ptCount val="201"/>
                <c:pt idx="0">
                  <c:v>13.489884485471615</c:v>
                </c:pt>
                <c:pt idx="1">
                  <c:v>13.489854867766219</c:v>
                </c:pt>
                <c:pt idx="2">
                  <c:v>13.489822392811119</c:v>
                </c:pt>
                <c:pt idx="3">
                  <c:v>13.489786784987515</c:v>
                </c:pt>
                <c:pt idx="4">
                  <c:v>13.489747742093636</c:v>
                </c:pt>
                <c:pt idx="5">
                  <c:v>13.489704932782194</c:v>
                </c:pt>
                <c:pt idx="6">
                  <c:v>13.489657993751322</c:v>
                </c:pt>
                <c:pt idx="7">
                  <c:v>13.489606526663229</c:v>
                </c:pt>
                <c:pt idx="8">
                  <c:v>13.489550094767218</c:v>
                </c:pt>
                <c:pt idx="9">
                  <c:v>13.489488219197892</c:v>
                </c:pt>
                <c:pt idx="10">
                  <c:v>13.489420374916223</c:v>
                </c:pt>
                <c:pt idx="11">
                  <c:v>13.489345986259739</c:v>
                </c:pt>
                <c:pt idx="12">
                  <c:v>13.489264422065332</c:v>
                </c:pt>
                <c:pt idx="13">
                  <c:v>13.489174990322043</c:v>
                </c:pt>
                <c:pt idx="14">
                  <c:v>13.489076932310182</c:v>
                </c:pt>
                <c:pt idx="15">
                  <c:v>13.488969416175859</c:v>
                </c:pt>
                <c:pt idx="16">
                  <c:v>13.488851529889539</c:v>
                </c:pt>
                <c:pt idx="17">
                  <c:v>13.488722273525696</c:v>
                </c:pt>
                <c:pt idx="18">
                  <c:v>13.488580550803167</c:v>
                </c:pt>
                <c:pt idx="19">
                  <c:v>13.488425159811275</c:v>
                </c:pt>
                <c:pt idx="20">
                  <c:v>13.488254782847376</c:v>
                </c:pt>
                <c:pt idx="21">
                  <c:v>13.488067975278925</c:v>
                </c:pt>
                <c:pt idx="22">
                  <c:v>13.487863153337614</c:v>
                </c:pt>
                <c:pt idx="23">
                  <c:v>13.487638580744193</c:v>
                </c:pt>
                <c:pt idx="24">
                  <c:v>13.487392354053556</c:v>
                </c:pt>
                <c:pt idx="25">
                  <c:v>13.487122386595418</c:v>
                </c:pt>
                <c:pt idx="26">
                  <c:v>13.486826390882747</c:v>
                </c:pt>
                <c:pt idx="27">
                  <c:v>13.486501859337736</c:v>
                </c:pt>
                <c:pt idx="28">
                  <c:v>13.486146043179247</c:v>
                </c:pt>
                <c:pt idx="29">
                  <c:v>13.485755929298078</c:v>
                </c:pt>
                <c:pt idx="30">
                  <c:v>13.485328214931048</c:v>
                </c:pt>
                <c:pt idx="31">
                  <c:v>13.484859279925974</c:v>
                </c:pt>
                <c:pt idx="32">
                  <c:v>13.484345156374149</c:v>
                </c:pt>
                <c:pt idx="33">
                  <c:v>13.483781495364063</c:v>
                </c:pt>
                <c:pt idx="34">
                  <c:v>13.483163530588056</c:v>
                </c:pt>
                <c:pt idx="35">
                  <c:v>13.482486038512704</c:v>
                </c:pt>
                <c:pt idx="36">
                  <c:v>13.481743294794077</c:v>
                </c:pt>
                <c:pt idx="37">
                  <c:v>13.480929026593891</c:v>
                </c:pt>
                <c:pt idx="38">
                  <c:v>13.48003636042322</c:v>
                </c:pt>
                <c:pt idx="39">
                  <c:v>13.479057765107543</c:v>
                </c:pt>
                <c:pt idx="40">
                  <c:v>13.477984989431182</c:v>
                </c:pt>
                <c:pt idx="41">
                  <c:v>13.476808993987637</c:v>
                </c:pt>
                <c:pt idx="42">
                  <c:v>13.475519876717502</c:v>
                </c:pt>
                <c:pt idx="43">
                  <c:v>13.474106791580951</c:v>
                </c:pt>
                <c:pt idx="44">
                  <c:v>13.472557859762253</c:v>
                </c:pt>
                <c:pt idx="45">
                  <c:v>13.470860072762999</c:v>
                </c:pt>
                <c:pt idx="46">
                  <c:v>13.468999186692599</c:v>
                </c:pt>
                <c:pt idx="47">
                  <c:v>13.466959607012852</c:v>
                </c:pt>
                <c:pt idx="48">
                  <c:v>13.464724262946149</c:v>
                </c:pt>
                <c:pt idx="49">
                  <c:v>13.462274470704491</c:v>
                </c:pt>
                <c:pt idx="50">
                  <c:v>13.459589784644187</c:v>
                </c:pt>
                <c:pt idx="51">
                  <c:v>13.456647835403112</c:v>
                </c:pt>
                <c:pt idx="52">
                  <c:v>13.453424154024848</c:v>
                </c:pt>
                <c:pt idx="53">
                  <c:v>13.449891981032573</c:v>
                </c:pt>
                <c:pt idx="54">
                  <c:v>13.446022059371817</c:v>
                </c:pt>
                <c:pt idx="55">
                  <c:v>13.441782410109031</c:v>
                </c:pt>
                <c:pt idx="56">
                  <c:v>13.437138089748986</c:v>
                </c:pt>
                <c:pt idx="57">
                  <c:v>13.432050928020887</c:v>
                </c:pt>
                <c:pt idx="58">
                  <c:v>13.426479244992397</c:v>
                </c:pt>
                <c:pt idx="59">
                  <c:v>13.420377546388163</c:v>
                </c:pt>
                <c:pt idx="60">
                  <c:v>13.413696196052179</c:v>
                </c:pt>
                <c:pt idx="61">
                  <c:v>13.406381064565382</c:v>
                </c:pt>
                <c:pt idx="62">
                  <c:v>13.398373153160062</c:v>
                </c:pt>
                <c:pt idx="63">
                  <c:v>13.389608192236933</c:v>
                </c:pt>
                <c:pt idx="64">
                  <c:v>13.380016214018173</c:v>
                </c:pt>
                <c:pt idx="65">
                  <c:v>13.369521099156618</c:v>
                </c:pt>
                <c:pt idx="66">
                  <c:v>13.358040097493397</c:v>
                </c:pt>
                <c:pt idx="67">
                  <c:v>13.345483323610338</c:v>
                </c:pt>
                <c:pt idx="68">
                  <c:v>13.331753228381816</c:v>
                </c:pt>
                <c:pt idx="69">
                  <c:v>13.316744048411158</c:v>
                </c:pt>
                <c:pt idx="70">
                  <c:v>13.300341236033466</c:v>
                </c:pt>
                <c:pt idx="71">
                  <c:v>13.282420873524741</c:v>
                </c:pt>
                <c:pt idx="72">
                  <c:v>13.262849076249303</c:v>
                </c:pt>
                <c:pt idx="73">
                  <c:v>13.241481390752545</c:v>
                </c:pt>
                <c:pt idx="74">
                  <c:v>13.218162195239113</c:v>
                </c:pt>
                <c:pt idx="75">
                  <c:v>13.19272411148139</c:v>
                </c:pt>
                <c:pt idx="76">
                  <c:v>13.164987438974844</c:v>
                </c:pt>
                <c:pt idx="77">
                  <c:v>13.13475962406577</c:v>
                </c:pt>
                <c:pt idx="78">
                  <c:v>13.101834778803273</c:v>
                </c:pt>
                <c:pt idx="79">
                  <c:v>13.065993266355285</c:v>
                </c:pt>
                <c:pt idx="80">
                  <c:v>13.027001371921003</c:v>
                </c:pt>
                <c:pt idx="81">
                  <c:v>12.984611080066841</c:v>
                </c:pt>
                <c:pt idx="82">
                  <c:v>12.938559981215441</c:v>
                </c:pt>
                <c:pt idx="83">
                  <c:v>12.888571331469471</c:v>
                </c:pt>
                <c:pt idx="84">
                  <c:v>12.834354290903763</c:v>
                </c:pt>
                <c:pt idx="85">
                  <c:v>12.77560436571807</c:v>
                </c:pt>
                <c:pt idx="86">
                  <c:v>12.712004079001309</c:v>
                </c:pt>
                <c:pt idx="87">
                  <c:v>12.643223893107557</c:v>
                </c:pt>
                <c:pt idx="88">
                  <c:v>12.568923403576719</c:v>
                </c:pt>
                <c:pt idx="89">
                  <c:v>12.488752819958329</c:v>
                </c:pt>
                <c:pt idx="90">
                  <c:v>12.402354742684054</c:v>
                </c:pt>
                <c:pt idx="91">
                  <c:v>12.309366237211382</c:v>
                </c:pt>
                <c:pt idx="92">
                  <c:v>12.209421197060147</c:v>
                </c:pt>
                <c:pt idx="93">
                  <c:v>12.102152976235292</c:v>
                </c:pt>
                <c:pt idx="94">
                  <c:v>11.987197259191547</c:v>
                </c:pt>
                <c:pt idx="95">
                  <c:v>11.864195123388178</c:v>
                </c:pt>
                <c:pt idx="96">
                  <c:v>11.7327962362485</c:v>
                </c:pt>
                <c:pt idx="97">
                  <c:v>11.592662115723343</c:v>
                </c:pt>
                <c:pt idx="98">
                  <c:v>11.443469372545227</c:v>
                </c:pt>
                <c:pt idx="99">
                  <c:v>11.284912843549822</c:v>
                </c:pt>
                <c:pt idx="100">
                  <c:v>11.116708520028237</c:v>
                </c:pt>
                <c:pt idx="101">
                  <c:v>10.938596173731847</c:v>
                </c:pt>
                <c:pt idx="102">
                  <c:v>10.750341586439013</c:v>
                </c:pt>
                <c:pt idx="103">
                  <c:v>10.551738297200279</c:v>
                </c:pt>
                <c:pt idx="104">
                  <c:v>10.342608794446441</c:v>
                </c:pt>
                <c:pt idx="105">
                  <c:v>10.122805097629202</c:v>
                </c:pt>
                <c:pt idx="106">
                  <c:v>9.8922086941897742</c:v>
                </c:pt>
                <c:pt idx="107">
                  <c:v>9.6507298213018</c:v>
                </c:pt>
                <c:pt idx="108">
                  <c:v>9.3983061067071585</c:v>
                </c:pt>
                <c:pt idx="109">
                  <c:v>9.1349006076254433</c:v>
                </c:pt>
                <c:pt idx="110">
                  <c:v>8.8604993097875937</c:v>
                </c:pt>
                <c:pt idx="111">
                  <c:v>8.5751081688705302</c:v>
                </c:pt>
                <c:pt idx="112">
                  <c:v>8.2787497930041951</c:v>
                </c:pt>
                <c:pt idx="113">
                  <c:v>7.9714598769182521</c:v>
                </c:pt>
                <c:pt idx="114">
                  <c:v>7.6532835053667503</c:v>
                </c:pt>
                <c:pt idx="115">
                  <c:v>7.324271445744337</c:v>
                </c:pt>
                <c:pt idx="116">
                  <c:v>6.9844765475855102</c:v>
                </c:pt>
                <c:pt idx="117">
                  <c:v>6.633950360460295</c:v>
                </c:pt>
                <c:pt idx="118">
                  <c:v>6.2727400723004854</c:v>
                </c:pt>
                <c:pt idx="119">
                  <c:v>5.9008858581191479</c:v>
                </c:pt>
                <c:pt idx="120">
                  <c:v>5.5184187151061357</c:v>
                </c:pt>
                <c:pt idx="121">
                  <c:v>5.1253588447879057</c:v>
                </c:pt>
                <c:pt idx="122">
                  <c:v>4.7217146268033119</c:v>
                </c:pt>
                <c:pt idx="123">
                  <c:v>4.3074822122295666</c:v>
                </c:pt>
                <c:pt idx="124">
                  <c:v>3.8826457475196623</c:v>
                </c:pt>
                <c:pt idx="125">
                  <c:v>3.4471782231651731</c:v>
                </c:pt>
                <c:pt idx="126">
                  <c:v>3.0010429242859815</c:v>
                </c:pt>
                <c:pt idx="127">
                  <c:v>2.5441954436366077</c:v>
                </c:pt>
                <c:pt idx="128">
                  <c:v>2.0765862012033889</c:v>
                </c:pt>
                <c:pt idx="129">
                  <c:v>1.5981633989805681</c:v>
                </c:pt>
                <c:pt idx="130">
                  <c:v>1.1088763250760962</c:v>
                </c:pt>
                <c:pt idx="131">
                  <c:v>0.60867890858781781</c:v>
                </c:pt>
                <c:pt idx="132">
                  <c:v>9.7533416359512376E-2</c:v>
                </c:pt>
                <c:pt idx="133">
                  <c:v>-0.42458582452433913</c:v>
                </c:pt>
                <c:pt idx="134">
                  <c:v>-0.95768879811165342</c:v>
                </c:pt>
                <c:pt idx="135">
                  <c:v>-1.501766383561169</c:v>
                </c:pt>
                <c:pt idx="136">
                  <c:v>-2.0567872648421601</c:v>
                </c:pt>
                <c:pt idx="137">
                  <c:v>-2.6226952688132386</c:v>
                </c:pt>
                <c:pt idx="138">
                  <c:v>-3.1994072192378957</c:v>
                </c:pt>
                <c:pt idx="139">
                  <c:v>-3.7868113751222676</c:v>
                </c:pt>
                <c:pt idx="140">
                  <c:v>-4.3847664994233391</c:v>
                </c:pt>
                <c:pt idx="141">
                  <c:v>-4.9931015798380765</c:v>
                </c:pt>
                <c:pt idx="142">
                  <c:v>-5.6116161984156934</c:v>
                </c:pt>
                <c:pt idx="143">
                  <c:v>-6.2400815225548509</c:v>
                </c:pt>
                <c:pt idx="144">
                  <c:v>-6.8782418679210249</c:v>
                </c:pt>
                <c:pt idx="145">
                  <c:v>-7.5258167651194121</c:v>
                </c:pt>
                <c:pt idx="146">
                  <c:v>-8.1825034474791796</c:v>
                </c:pt>
                <c:pt idx="147">
                  <c:v>-8.8479796675929698</c:v>
                </c:pt>
                <c:pt idx="148">
                  <c:v>-9.5219067454748636</c:v>
                </c:pt>
                <c:pt idx="149">
                  <c:v>-10.203932751176348</c:v>
                </c:pt>
                <c:pt idx="150">
                  <c:v>-10.893695728935633</c:v>
                </c:pt>
                <c:pt idx="151">
                  <c:v>-11.590826877716756</c:v>
                </c:pt>
                <c:pt idx="152">
                  <c:v>-12.294953613455402</c:v>
                </c:pt>
                <c:pt idx="153">
                  <c:v>-13.005702450560028</c:v>
                </c:pt>
                <c:pt idx="154">
                  <c:v>-13.722701653322586</c:v>
                </c:pt>
                <c:pt idx="155">
                  <c:v>-14.445583621081465</c:v>
                </c:pt>
                <c:pt idx="156">
                  <c:v>-15.17398698357967</c:v>
                </c:pt>
                <c:pt idx="157">
                  <c:v>-15.907558394458945</c:v>
                </c:pt>
                <c:pt idx="158">
                  <c:v>-16.645954020888492</c:v>
                </c:pt>
                <c:pt idx="159">
                  <c:v>-17.388840735729058</c:v>
                </c:pt>
                <c:pt idx="160">
                  <c:v>-18.135897025332987</c:v>
                </c:pt>
                <c:pt idx="161">
                  <c:v>-18.886813631104207</c:v>
                </c:pt>
                <c:pt idx="162">
                  <c:v>-19.641293946417083</c:v>
                </c:pt>
                <c:pt idx="163">
                  <c:v>-20.399054192598598</c:v>
                </c:pt>
                <c:pt idx="164">
                  <c:v>-21.159823398603386</c:v>
                </c:pt>
                <c:pt idx="165">
                  <c:v>-21.923343208986967</c:v>
                </c:pt>
                <c:pt idx="166">
                  <c:v>-22.689367544014345</c:v>
                </c:pt>
                <c:pt idx="167">
                  <c:v>-23.457662134408093</c:v>
                </c:pt>
                <c:pt idx="168">
                  <c:v>-24.228003951553248</c:v>
                </c:pt>
                <c:pt idx="169">
                  <c:v>-25.000180552040092</c:v>
                </c:pt>
                <c:pt idx="170">
                  <c:v>-25.773989353405732</c:v>
                </c:pt>
                <c:pt idx="171">
                  <c:v>-26.549236855899135</c:v>
                </c:pt>
                <c:pt idx="172">
                  <c:v>-27.325737823146781</c:v>
                </c:pt>
                <c:pt idx="173">
                  <c:v>-28.103314432770084</c:v>
                </c:pt>
                <c:pt idx="174">
                  <c:v>-28.881795406369019</c:v>
                </c:pt>
                <c:pt idx="175">
                  <c:v>-29.661015126846195</c:v>
                </c:pt>
                <c:pt idx="176">
                  <c:v>-30.440812749837612</c:v>
                </c:pt>
                <c:pt idx="177">
                  <c:v>-31.221031315043504</c:v>
                </c:pt>
                <c:pt idx="178">
                  <c:v>-32.001516862526188</c:v>
                </c:pt>
                <c:pt idx="179">
                  <c:v>-32.782117558560586</c:v>
                </c:pt>
                <c:pt idx="180">
                  <c:v>-33.562682835393282</c:v>
                </c:pt>
                <c:pt idx="181">
                  <c:v>-34.343062549285193</c:v>
                </c:pt>
                <c:pt idx="182">
                  <c:v>-35.123106161476258</c:v>
                </c:pt>
                <c:pt idx="183">
                  <c:v>-35.902661947225823</c:v>
                </c:pt>
                <c:pt idx="184">
                  <c:v>-36.681576238833962</c:v>
                </c:pt>
                <c:pt idx="185">
                  <c:v>-37.459692709547625</c:v>
                </c:pt>
                <c:pt idx="186">
                  <c:v>-38.236851706471683</c:v>
                </c:pt>
                <c:pt idx="187">
                  <c:v>-39.012889642056564</c:v>
                </c:pt>
                <c:pt idx="188">
                  <c:v>-39.787638455360224</c:v>
                </c:pt>
                <c:pt idx="189">
                  <c:v>-40.560925156100829</c:v>
                </c:pt>
                <c:pt idx="190">
                  <c:v>-41.332571466436377</c:v>
                </c:pt>
                <c:pt idx="191">
                  <c:v>-42.10239357741321</c:v>
                </c:pt>
                <c:pt idx="192">
                  <c:v>-42.870202039012014</c:v>
                </c:pt>
                <c:pt idx="193">
                  <c:v>-43.635801804598543</c:v>
                </c:pt>
                <c:pt idx="194">
                  <c:v>-44.398992452235277</c:v>
                </c:pt>
                <c:pt idx="195">
                  <c:v>-45.159568606573757</c:v>
                </c:pt>
                <c:pt idx="196">
                  <c:v>-45.917320585751682</c:v>
                </c:pt>
                <c:pt idx="197">
                  <c:v>-46.67203529766347</c:v>
                </c:pt>
                <c:pt idx="198">
                  <c:v>-47.423497408938687</c:v>
                </c:pt>
                <c:pt idx="199">
                  <c:v>-48.171490807716296</c:v>
                </c:pt>
                <c:pt idx="200">
                  <c:v>-48.915800377624123</c:v>
                </c:pt>
              </c:numCache>
            </c:numRef>
          </c:yVal>
          <c:smooth val="1"/>
        </c:ser>
        <c:ser>
          <c:idx val="0"/>
          <c:order val="1"/>
          <c:tx>
            <c:v>Compensation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Compensation!$AX$64:$AX$264</c:f>
              <c:numCache>
                <c:formatCode>General</c:formatCode>
                <c:ptCount val="201"/>
                <c:pt idx="0">
                  <c:v>23.668412469117655</c:v>
                </c:pt>
                <c:pt idx="1">
                  <c:v>23.271651116040225</c:v>
                </c:pt>
                <c:pt idx="2">
                  <c:v>22.875168943280055</c:v>
                </c:pt>
                <c:pt idx="3">
                  <c:v>22.478995092679259</c:v>
                </c:pt>
                <c:pt idx="4">
                  <c:v>22.083161180007373</c:v>
                </c:pt>
                <c:pt idx="5">
                  <c:v>21.687701534835071</c:v>
                </c:pt>
                <c:pt idx="6">
                  <c:v>21.29265345787848</c:v>
                </c:pt>
                <c:pt idx="7">
                  <c:v>20.898057496926189</c:v>
                </c:pt>
                <c:pt idx="8">
                  <c:v>20.503957742420997</c:v>
                </c:pt>
                <c:pt idx="9">
                  <c:v>20.110402143701439</c:v>
                </c:pt>
                <c:pt idx="10">
                  <c:v>19.717442846810588</c:v>
                </c:pt>
                <c:pt idx="11">
                  <c:v>19.325136554636288</c:v>
                </c:pt>
                <c:pt idx="12">
                  <c:v>18.933544909971648</c:v>
                </c:pt>
                <c:pt idx="13">
                  <c:v>18.542734901832635</c:v>
                </c:pt>
                <c:pt idx="14">
                  <c:v>18.152779295071269</c:v>
                </c:pt>
                <c:pt idx="15">
                  <c:v>17.763757082931892</c:v>
                </c:pt>
                <c:pt idx="16">
                  <c:v>17.375753961727227</c:v>
                </c:pt>
                <c:pt idx="17">
                  <c:v>16.98886282622912</c:v>
                </c:pt>
                <c:pt idx="18">
                  <c:v>16.603184283678484</c:v>
                </c:pt>
                <c:pt idx="19">
                  <c:v>16.218827183489687</c:v>
                </c:pt>
                <c:pt idx="20">
                  <c:v>15.835909158758509</c:v>
                </c:pt>
                <c:pt idx="21">
                  <c:v>15.454557174556909</c:v>
                </c:pt>
                <c:pt idx="22">
                  <c:v>15.07490807670527</c:v>
                </c:pt>
                <c:pt idx="23">
                  <c:v>14.697109133254514</c:v>
                </c:pt>
                <c:pt idx="24">
                  <c:v>14.321318559272703</c:v>
                </c:pt>
                <c:pt idx="25">
                  <c:v>13.947706013734052</c:v>
                </c:pt>
                <c:pt idx="26">
                  <c:v>13.576453055362705</c:v>
                </c:pt>
                <c:pt idx="27">
                  <c:v>13.207753542222218</c:v>
                </c:pt>
                <c:pt idx="28">
                  <c:v>12.84181395770802</c:v>
                </c:pt>
                <c:pt idx="29">
                  <c:v>12.478853643465985</c:v>
                </c:pt>
                <c:pt idx="30">
                  <c:v>12.119104917705519</c:v>
                </c:pt>
                <c:pt idx="31">
                  <c:v>11.762813055517983</c:v>
                </c:pt>
                <c:pt idx="32">
                  <c:v>11.41023610628727</c:v>
                </c:pt>
                <c:pt idx="33">
                  <c:v>11.06164452225088</c:v>
                </c:pt>
                <c:pt idx="34">
                  <c:v>10.717320571927747</c:v>
                </c:pt>
                <c:pt idx="35">
                  <c:v>10.377557512674764</c:v>
                </c:pt>
                <c:pt idx="36">
                  <c:v>10.042658498284185</c:v>
                </c:pt>
                <c:pt idx="37">
                  <c:v>9.7129352005004783</c:v>
                </c:pt>
                <c:pt idx="38">
                  <c:v>9.3887061277995834</c:v>
                </c:pt>
                <c:pt idx="39">
                  <c:v>9.0702946308915617</c:v>
                </c:pt>
                <c:pt idx="40">
                  <c:v>8.758026592239128</c:v>
                </c:pt>
                <c:pt idx="41">
                  <c:v>8.4522278064263094</c:v>
                </c:pt>
                <c:pt idx="42">
                  <c:v>8.153221069298791</c:v>
                </c:pt>
                <c:pt idx="43">
                  <c:v>7.8613230061592274</c:v>
                </c:pt>
                <c:pt idx="44">
                  <c:v>7.5768406824764387</c:v>
                </c:pt>
                <c:pt idx="45">
                  <c:v>7.300068053954889</c:v>
                </c:pt>
                <c:pt idx="46">
                  <c:v>7.031282325664808</c:v>
                </c:pt>
                <c:pt idx="47">
                  <c:v>6.77074030139093</c:v>
                </c:pt>
                <c:pt idx="48">
                  <c:v>6.5186748135265846</c:v>
                </c:pt>
                <c:pt idx="49">
                  <c:v>6.2752913298304414</c:v>
                </c:pt>
                <c:pt idx="50">
                  <c:v>6.0407648354163976</c:v>
                </c:pt>
                <c:pt idx="51">
                  <c:v>5.8152370858928082</c:v>
                </c:pt>
                <c:pt idx="52">
                  <c:v>5.5988143203194944</c:v>
                </c:pt>
                <c:pt idx="53">
                  <c:v>5.3915655106700475</c:v>
                </c:pt>
                <c:pt idx="54">
                  <c:v>5.1935212081941433</c:v>
                </c:pt>
                <c:pt idx="55">
                  <c:v>5.0046730272626156</c:v>
                </c:pt>
                <c:pt idx="56">
                  <c:v>4.8249737850386429</c:v>
                </c:pt>
                <c:pt idx="57">
                  <c:v>4.6543382919653729</c:v>
                </c:pt>
                <c:pt idx="58">
                  <c:v>4.4926447650134733</c:v>
                </c:pt>
                <c:pt idx="59">
                  <c:v>4.3397368142783597</c:v>
                </c:pt>
                <c:pt idx="60">
                  <c:v>4.1954259350847218</c:v>
                </c:pt>
                <c:pt idx="61">
                  <c:v>4.0594944232314205</c:v>
                </c:pt>
                <c:pt idx="62">
                  <c:v>3.9316986210118809</c:v>
                </c:pt>
                <c:pt idx="63">
                  <c:v>3.8117723964599923</c:v>
                </c:pt>
                <c:pt idx="64">
                  <c:v>3.699430757790116</c:v>
                </c:pt>
                <c:pt idx="65">
                  <c:v>3.5943735088153921</c:v>
                </c:pt>
                <c:pt idx="66">
                  <c:v>3.4962888585763423</c:v>
                </c:pt>
                <c:pt idx="67">
                  <c:v>3.4048569086676421</c:v>
                </c:pt>
                <c:pt idx="68">
                  <c:v>3.3197529539114212</c:v>
                </c:pt>
                <c:pt idx="69">
                  <c:v>3.2406505452050141</c:v>
                </c:pt>
                <c:pt idx="70">
                  <c:v>3.16722427675169</c:v>
                </c:pt>
                <c:pt idx="71">
                  <c:v>3.0991522727754308</c:v>
                </c:pt>
                <c:pt idx="72">
                  <c:v>3.0361183606786328</c:v>
                </c:pt>
                <c:pt idx="73">
                  <c:v>2.9778139280616269</c:v>
                </c:pt>
                <c:pt idx="74">
                  <c:v>2.9239394698358208</c:v>
                </c:pt>
                <c:pt idx="75">
                  <c:v>2.8742058387598632</c:v>
                </c:pt>
                <c:pt idx="76">
                  <c:v>2.828335218126953</c:v>
                </c:pt>
                <c:pt idx="77">
                  <c:v>2.7860618391283367</c:v>
                </c:pt>
                <c:pt idx="78">
                  <c:v>2.7471324677992142</c:v>
                </c:pt>
                <c:pt idx="79">
                  <c:v>2.7113066876013732</c:v>
                </c:pt>
                <c:pt idx="80">
                  <c:v>2.6783570038332578</c:v>
                </c:pt>
                <c:pt idx="81">
                  <c:v>2.6480687953969531</c:v>
                </c:pt>
                <c:pt idx="82">
                  <c:v>2.620240138184414</c:v>
                </c:pt>
                <c:pt idx="83">
                  <c:v>2.5946815226572726</c:v>
                </c:pt>
                <c:pt idx="84">
                  <c:v>2.5712154862289651</c:v>
                </c:pt>
                <c:pt idx="85">
                  <c:v>2.549676178956362</c:v>
                </c:pt>
                <c:pt idx="86">
                  <c:v>2.5299088788939543</c:v>
                </c:pt>
                <c:pt idx="87">
                  <c:v>2.5117694713503336</c:v>
                </c:pt>
                <c:pt idx="88">
                  <c:v>2.4951239042602906</c:v>
                </c:pt>
                <c:pt idx="89">
                  <c:v>2.4798476299964261</c:v>
                </c:pt>
                <c:pt idx="90">
                  <c:v>2.4658250421993881</c:v>
                </c:pt>
                <c:pt idx="91">
                  <c:v>2.4529489146413432</c:v>
                </c:pt>
                <c:pt idx="92">
                  <c:v>2.4411198477335314</c:v>
                </c:pt>
                <c:pt idx="93">
                  <c:v>2.4302457270625437</c:v>
                </c:pt>
                <c:pt idx="94">
                  <c:v>2.4202411972661695</c:v>
                </c:pt>
                <c:pt idx="95">
                  <c:v>2.4110271536444152</c:v>
                </c:pt>
                <c:pt idx="96">
                  <c:v>2.4025302531168724</c:v>
                </c:pt>
                <c:pt idx="97">
                  <c:v>2.3946824454777591</c:v>
                </c:pt>
                <c:pt idx="98">
                  <c:v>2.3874205253542065</c:v>
                </c:pt>
                <c:pt idx="99">
                  <c:v>2.3806857048172287</c:v>
                </c:pt>
                <c:pt idx="100">
                  <c:v>2.3744232062260866</c:v>
                </c:pt>
                <c:pt idx="101">
                  <c:v>2.3685818745871083</c:v>
                </c:pt>
                <c:pt idx="102">
                  <c:v>2.3631138084713417</c:v>
                </c:pt>
                <c:pt idx="103">
                  <c:v>2.3579740083450362</c:v>
                </c:pt>
                <c:pt idx="104">
                  <c:v>2.3531200410221342</c:v>
                </c:pt>
                <c:pt idx="105">
                  <c:v>2.3485117188377922</c:v>
                </c:pt>
                <c:pt idx="106">
                  <c:v>2.3441107920529132</c:v>
                </c:pt>
                <c:pt idx="107">
                  <c:v>2.339880652944017</c:v>
                </c:pt>
                <c:pt idx="108">
                  <c:v>2.3357860499817797</c:v>
                </c:pt>
                <c:pt idx="109">
                  <c:v>2.3317928104755148</c:v>
                </c:pt>
                <c:pt idx="110">
                  <c:v>2.327867570033066</c:v>
                </c:pt>
                <c:pt idx="111">
                  <c:v>2.3239775071774522</c:v>
                </c:pt>
                <c:pt idx="112">
                  <c:v>2.3200900814478809</c:v>
                </c:pt>
                <c:pt idx="113">
                  <c:v>2.3161727733089648</c:v>
                </c:pt>
                <c:pt idx="114">
                  <c:v>2.3121928241902747</c:v>
                </c:pt>
                <c:pt idx="115">
                  <c:v>2.3081169749757664</c:v>
                </c:pt>
                <c:pt idx="116">
                  <c:v>2.3039112012672218</c:v>
                </c:pt>
                <c:pt idx="117">
                  <c:v>2.2995404437467455</c:v>
                </c:pt>
                <c:pt idx="118">
                  <c:v>2.2949683319759084</c:v>
                </c:pt>
                <c:pt idx="119">
                  <c:v>2.2901568999760431</c:v>
                </c:pt>
                <c:pt idx="120">
                  <c:v>2.2850662919609057</c:v>
                </c:pt>
                <c:pt idx="121">
                  <c:v>2.2796544566158508</c:v>
                </c:pt>
                <c:pt idx="122">
                  <c:v>2.2738768283631696</c:v>
                </c:pt>
                <c:pt idx="123">
                  <c:v>2.2676859941099452</c:v>
                </c:pt>
                <c:pt idx="124">
                  <c:v>2.2610313440542438</c:v>
                </c:pt>
                <c:pt idx="125">
                  <c:v>2.2538587052320942</c:v>
                </c:pt>
                <c:pt idx="126">
                  <c:v>2.2461099566235823</c:v>
                </c:pt>
                <c:pt idx="127">
                  <c:v>2.2377226248199888</c:v>
                </c:pt>
                <c:pt idx="128">
                  <c:v>2.2286294594767257</c:v>
                </c:pt>
                <c:pt idx="129">
                  <c:v>2.2187579880676083</c:v>
                </c:pt>
                <c:pt idx="130">
                  <c:v>2.2080300498077801</c:v>
                </c:pt>
                <c:pt idx="131">
                  <c:v>2.1963613090515404</c:v>
                </c:pt>
                <c:pt idx="132">
                  <c:v>2.1836607489983915</c:v>
                </c:pt>
                <c:pt idx="133">
                  <c:v>2.1698301471803996</c:v>
                </c:pt>
                <c:pt idx="134">
                  <c:v>2.1547635349578966</c:v>
                </c:pt>
                <c:pt idx="135">
                  <c:v>2.138346644146738</c:v>
                </c:pt>
                <c:pt idx="136">
                  <c:v>2.1204563449354246</c:v>
                </c:pt>
                <c:pt idx="137">
                  <c:v>2.1009600804542607</c:v>
                </c:pt>
                <c:pt idx="138">
                  <c:v>2.0797153047208323</c:v>
                </c:pt>
                <c:pt idx="139">
                  <c:v>2.0565689322253693</c:v>
                </c:pt>
                <c:pt idx="140">
                  <c:v>2.0313568091274679</c:v>
                </c:pt>
                <c:pt idx="141">
                  <c:v>2.0039032178973026</c:v>
                </c:pt>
                <c:pt idx="142">
                  <c:v>1.974020429238079</c:v>
                </c:pt>
                <c:pt idx="143">
                  <c:v>1.941508317223535</c:v>
                </c:pt>
                <c:pt idx="144">
                  <c:v>1.9061540557346417</c:v>
                </c:pt>
                <c:pt idx="145">
                  <c:v>1.8677319163927295</c:v>
                </c:pt>
                <c:pt idx="146">
                  <c:v>1.8260031901835974</c:v>
                </c:pt>
                <c:pt idx="147">
                  <c:v>1.7807162567128119</c:v>
                </c:pt>
                <c:pt idx="148">
                  <c:v>1.7316068263825033</c:v>
                </c:pt>
                <c:pt idx="149">
                  <c:v>1.678398381564681</c:v>
                </c:pt>
                <c:pt idx="150">
                  <c:v>1.6208028428639807</c:v>
                </c:pt>
                <c:pt idx="151">
                  <c:v>1.5585214856097298</c:v>
                </c:pt>
                <c:pt idx="152">
                  <c:v>1.4912461295705577</c:v>
                </c:pt>
                <c:pt idx="153">
                  <c:v>1.418660621356655</c:v>
                </c:pt>
                <c:pt idx="154">
                  <c:v>1.3404426238637237</c:v>
                </c:pt>
                <c:pt idx="155">
                  <c:v>1.2562657203324856</c:v>
                </c:pt>
                <c:pt idx="156">
                  <c:v>1.1658018320741472</c:v>
                </c:pt>
                <c:pt idx="157">
                  <c:v>1.0687239387428444</c:v>
                </c:pt>
                <c:pt idx="158">
                  <c:v>0.9647090783897343</c:v>
                </c:pt>
                <c:pt idx="159">
                  <c:v>0.85344159179190449</c:v>
                </c:pt>
                <c:pt idx="160">
                  <c:v>0.73461656218948423</c:v>
                </c:pt>
                <c:pt idx="161">
                  <c:v>0.60794338828979455</c:v>
                </c:pt>
                <c:pt idx="162">
                  <c:v>0.47314941596018889</c:v>
                </c:pt>
                <c:pt idx="163">
                  <c:v>0.32998354335457869</c:v>
                </c:pt>
                <c:pt idx="164">
                  <c:v>0.1782197061751967</c:v>
                </c:pt>
                <c:pt idx="165">
                  <c:v>1.7660145218996517E-2</c:v>
                </c:pt>
                <c:pt idx="166">
                  <c:v>-0.15186164199836019</c:v>
                </c:pt>
                <c:pt idx="167">
                  <c:v>-0.33047835946100995</c:v>
                </c:pt>
                <c:pt idx="168">
                  <c:v>-0.51828686552409919</c:v>
                </c:pt>
                <c:pt idx="169">
                  <c:v>-0.71534669153497943</c:v>
                </c:pt>
                <c:pt idx="170">
                  <c:v>-0.92167917954721901</c:v>
                </c:pt>
                <c:pt idx="171">
                  <c:v>-1.1372672715855565</c:v>
                </c:pt>
                <c:pt idx="172">
                  <c:v>-1.3620559601160998</c:v>
                </c:pt>
                <c:pt idx="173">
                  <c:v>-1.5959533859989001</c:v>
                </c:pt>
                <c:pt idx="174">
                  <c:v>-1.838832547691531</c:v>
                </c:pt>
                <c:pt idx="175">
                  <c:v>-2.0905335651623016</c:v>
                </c:pt>
                <c:pt idx="176">
                  <c:v>-2.3508664250065299</c:v>
                </c:pt>
                <c:pt idx="177">
                  <c:v>-2.6196141204900965</c:v>
                </c:pt>
                <c:pt idx="178">
                  <c:v>-2.8965360921574792</c:v>
                </c:pt>
                <c:pt idx="179">
                  <c:v>-3.1813718713718613</c:v>
                </c:pt>
                <c:pt idx="180">
                  <c:v>-3.4738448304614664</c:v>
                </c:pt>
                <c:pt idx="181">
                  <c:v>-3.7736659485196098</c:v>
                </c:pt>
                <c:pt idx="182">
                  <c:v>-4.0805375106028086</c:v>
                </c:pt>
                <c:pt idx="183">
                  <c:v>-4.3941566692227871</c:v>
                </c:pt>
                <c:pt idx="184">
                  <c:v>-4.7142188097398368</c:v>
                </c:pt>
                <c:pt idx="185">
                  <c:v>-5.040420674654448</c:v>
                </c:pt>
                <c:pt idx="186">
                  <c:v>-5.3724632150943687</c:v>
                </c:pt>
                <c:pt idx="187">
                  <c:v>-5.7100541503749183</c:v>
                </c:pt>
                <c:pt idx="188">
                  <c:v>-6.0529102278821858</c:v>
                </c:pt>
                <c:pt idx="189">
                  <c:v>-6.4007591853749668</c:v>
                </c:pt>
                <c:pt idx="190">
                  <c:v>-6.7533414259556315</c:v>
                </c:pt>
                <c:pt idx="191">
                  <c:v>-7.1104114223663846</c:v>
                </c:pt>
                <c:pt idx="192">
                  <c:v>-7.4717388719850932</c:v>
                </c:pt>
                <c:pt idx="193">
                  <c:v>-7.8371096270591201</c:v>
                </c:pt>
                <c:pt idx="194">
                  <c:v>-8.2063264264877471</c:v>
                </c:pt>
                <c:pt idx="195">
                  <c:v>-8.5792094560585479</c:v>
                </c:pt>
                <c:pt idx="196">
                  <c:v>-8.9555967636612106</c:v>
                </c:pt>
                <c:pt idx="197">
                  <c:v>-9.3353445548394784</c:v>
                </c:pt>
                <c:pt idx="198">
                  <c:v>-9.7183273922867155</c:v>
                </c:pt>
                <c:pt idx="199">
                  <c:v>-10.104438320690914</c:v>
                </c:pt>
                <c:pt idx="200">
                  <c:v>-10.493588935831173</c:v>
                </c:pt>
              </c:numCache>
            </c:numRef>
          </c:yVal>
          <c:smooth val="1"/>
        </c:ser>
        <c:ser>
          <c:idx val="1"/>
          <c:order val="2"/>
          <c:tx>
            <c:v>T(s) with Comp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Compensation!$BE$64:$BE$264</c:f>
              <c:numCache>
                <c:formatCode>General</c:formatCode>
                <c:ptCount val="201"/>
                <c:pt idx="0">
                  <c:v>37.158296954589225</c:v>
                </c:pt>
                <c:pt idx="1">
                  <c:v>36.761505983806416</c:v>
                </c:pt>
                <c:pt idx="2">
                  <c:v>36.364991336091201</c:v>
                </c:pt>
                <c:pt idx="3">
                  <c:v>35.9687818776668</c:v>
                </c:pt>
                <c:pt idx="4">
                  <c:v>35.572908922100957</c:v>
                </c:pt>
                <c:pt idx="5">
                  <c:v>35.177406467617274</c:v>
                </c:pt>
                <c:pt idx="6">
                  <c:v>34.782311451629802</c:v>
                </c:pt>
                <c:pt idx="7">
                  <c:v>34.387664023589409</c:v>
                </c:pt>
                <c:pt idx="8">
                  <c:v>33.993507837188197</c:v>
                </c:pt>
                <c:pt idx="9">
                  <c:v>33.599890362899309</c:v>
                </c:pt>
                <c:pt idx="10">
                  <c:v>33.206863221726863</c:v>
                </c:pt>
                <c:pt idx="11">
                  <c:v>32.814482540896073</c:v>
                </c:pt>
                <c:pt idx="12">
                  <c:v>32.422809332036977</c:v>
                </c:pt>
                <c:pt idx="13">
                  <c:v>32.03190989215468</c:v>
                </c:pt>
                <c:pt idx="14">
                  <c:v>31.641856227381492</c:v>
                </c:pt>
                <c:pt idx="15">
                  <c:v>31.252726499107759</c:v>
                </c:pt>
                <c:pt idx="16">
                  <c:v>30.864605491616764</c:v>
                </c:pt>
                <c:pt idx="17">
                  <c:v>30.477585099754812</c:v>
                </c:pt>
                <c:pt idx="18">
                  <c:v>30.091764834481623</c:v>
                </c:pt>
                <c:pt idx="19">
                  <c:v>29.707252343300951</c:v>
                </c:pt>
                <c:pt idx="20">
                  <c:v>29.324163941605896</c:v>
                </c:pt>
                <c:pt idx="21">
                  <c:v>28.942625149835855</c:v>
                </c:pt>
                <c:pt idx="22">
                  <c:v>28.562771230042841</c:v>
                </c:pt>
                <c:pt idx="23">
                  <c:v>28.184747713998696</c:v>
                </c:pt>
                <c:pt idx="24">
                  <c:v>27.808710913326205</c:v>
                </c:pt>
                <c:pt idx="25">
                  <c:v>27.434828400329479</c:v>
                </c:pt>
                <c:pt idx="26">
                  <c:v>27.063279446245506</c:v>
                </c:pt>
                <c:pt idx="27">
                  <c:v>26.694255401559928</c:v>
                </c:pt>
                <c:pt idx="28">
                  <c:v>26.327960000887245</c:v>
                </c:pt>
                <c:pt idx="29">
                  <c:v>25.96460957276409</c:v>
                </c:pt>
                <c:pt idx="30">
                  <c:v>25.604433132636512</c:v>
                </c:pt>
                <c:pt idx="31">
                  <c:v>25.247672335443994</c:v>
                </c:pt>
                <c:pt idx="32">
                  <c:v>24.894581262661436</c:v>
                </c:pt>
                <c:pt idx="33">
                  <c:v>24.545426017614943</c:v>
                </c:pt>
                <c:pt idx="34">
                  <c:v>24.200484102515777</c:v>
                </c:pt>
                <c:pt idx="35">
                  <c:v>23.86004355118747</c:v>
                </c:pt>
                <c:pt idx="36">
                  <c:v>23.524401793078304</c:v>
                </c:pt>
                <c:pt idx="37">
                  <c:v>23.193864227094334</c:v>
                </c:pt>
                <c:pt idx="38">
                  <c:v>22.868742488222846</c:v>
                </c:pt>
                <c:pt idx="39">
                  <c:v>22.549352395999058</c:v>
                </c:pt>
                <c:pt idx="40">
                  <c:v>22.236011581670301</c:v>
                </c:pt>
                <c:pt idx="41">
                  <c:v>21.929036800413893</c:v>
                </c:pt>
                <c:pt idx="42">
                  <c:v>21.6287409460163</c:v>
                </c:pt>
                <c:pt idx="43">
                  <c:v>21.33542979774024</c:v>
                </c:pt>
                <c:pt idx="44">
                  <c:v>21.049398542238698</c:v>
                </c:pt>
                <c:pt idx="45">
                  <c:v>20.770928126717884</c:v>
                </c:pt>
                <c:pt idx="46">
                  <c:v>20.500281512357404</c:v>
                </c:pt>
                <c:pt idx="47">
                  <c:v>20.237699908403801</c:v>
                </c:pt>
                <c:pt idx="48">
                  <c:v>19.983399076472704</c:v>
                </c:pt>
                <c:pt idx="49">
                  <c:v>19.737565800534941</c:v>
                </c:pt>
                <c:pt idx="50">
                  <c:v>19.500354620060577</c:v>
                </c:pt>
                <c:pt idx="51">
                  <c:v>19.271884921295939</c:v>
                </c:pt>
                <c:pt idx="52">
                  <c:v>19.052238474344318</c:v>
                </c:pt>
                <c:pt idx="53">
                  <c:v>18.841457491702617</c:v>
                </c:pt>
                <c:pt idx="54">
                  <c:v>18.639543267565919</c:v>
                </c:pt>
                <c:pt idx="55">
                  <c:v>18.446455437371682</c:v>
                </c:pt>
                <c:pt idx="56">
                  <c:v>18.262111874787582</c:v>
                </c:pt>
                <c:pt idx="57">
                  <c:v>18.086389219986248</c:v>
                </c:pt>
                <c:pt idx="58">
                  <c:v>17.919124010005845</c:v>
                </c:pt>
                <c:pt idx="59">
                  <c:v>17.760114360666496</c:v>
                </c:pt>
                <c:pt idx="60">
                  <c:v>17.609122131136928</c:v>
                </c:pt>
                <c:pt idx="61">
                  <c:v>17.465875487796801</c:v>
                </c:pt>
                <c:pt idx="62">
                  <c:v>17.33007177417193</c:v>
                </c:pt>
                <c:pt idx="63">
                  <c:v>17.201380588696956</c:v>
                </c:pt>
                <c:pt idx="64">
                  <c:v>17.079446971808313</c:v>
                </c:pt>
                <c:pt idx="65">
                  <c:v>16.963894607972044</c:v>
                </c:pt>
                <c:pt idx="66">
                  <c:v>16.854328956069754</c:v>
                </c:pt>
                <c:pt idx="67">
                  <c:v>16.750340232277981</c:v>
                </c:pt>
                <c:pt idx="68">
                  <c:v>16.651506182293243</c:v>
                </c:pt>
                <c:pt idx="69">
                  <c:v>16.557394593616145</c:v>
                </c:pt>
                <c:pt idx="70">
                  <c:v>16.467565512785136</c:v>
                </c:pt>
                <c:pt idx="71">
                  <c:v>16.381573146300184</c:v>
                </c:pt>
                <c:pt idx="72">
                  <c:v>16.29896743692791</c:v>
                </c:pt>
                <c:pt idx="73">
                  <c:v>16.21929531881419</c:v>
                </c:pt>
                <c:pt idx="74">
                  <c:v>16.142101665074932</c:v>
                </c:pt>
                <c:pt idx="75">
                  <c:v>16.066929950241242</c:v>
                </c:pt>
                <c:pt idx="76">
                  <c:v>15.993322657101787</c:v>
                </c:pt>
                <c:pt idx="77">
                  <c:v>15.920821463194098</c:v>
                </c:pt>
                <c:pt idx="78">
                  <c:v>15.848967246602516</c:v>
                </c:pt>
                <c:pt idx="79">
                  <c:v>15.77729995395665</c:v>
                </c:pt>
                <c:pt idx="80">
                  <c:v>15.705358375754274</c:v>
                </c:pt>
                <c:pt idx="81">
                  <c:v>15.632679875463772</c:v>
                </c:pt>
                <c:pt idx="82">
                  <c:v>15.558800119399853</c:v>
                </c:pt>
                <c:pt idx="83">
                  <c:v>15.483252854126711</c:v>
                </c:pt>
                <c:pt idx="84">
                  <c:v>15.405569777132715</c:v>
                </c:pt>
                <c:pt idx="85">
                  <c:v>15.325280544674474</c:v>
                </c:pt>
                <c:pt idx="86">
                  <c:v>15.241912957895238</c:v>
                </c:pt>
                <c:pt idx="87">
                  <c:v>15.154993364457898</c:v>
                </c:pt>
                <c:pt idx="88">
                  <c:v>15.064047307837004</c:v>
                </c:pt>
                <c:pt idx="89">
                  <c:v>14.968600449954794</c:v>
                </c:pt>
                <c:pt idx="90">
                  <c:v>14.868179784883424</c:v>
                </c:pt>
                <c:pt idx="91">
                  <c:v>14.762315151852729</c:v>
                </c:pt>
                <c:pt idx="92">
                  <c:v>14.650541044793668</c:v>
                </c:pt>
                <c:pt idx="93">
                  <c:v>14.532398703297849</c:v>
                </c:pt>
                <c:pt idx="94">
                  <c:v>14.407438456457699</c:v>
                </c:pt>
                <c:pt idx="95">
                  <c:v>14.275222277032588</c:v>
                </c:pt>
                <c:pt idx="96">
                  <c:v>14.135326489365385</c:v>
                </c:pt>
                <c:pt idx="97">
                  <c:v>13.987344561201114</c:v>
                </c:pt>
                <c:pt idx="98">
                  <c:v>13.830889897899446</c:v>
                </c:pt>
                <c:pt idx="99">
                  <c:v>13.665598548367042</c:v>
                </c:pt>
                <c:pt idx="100">
                  <c:v>13.491131726254332</c:v>
                </c:pt>
                <c:pt idx="101">
                  <c:v>13.307178048318955</c:v>
                </c:pt>
                <c:pt idx="102">
                  <c:v>13.113455394910345</c:v>
                </c:pt>
                <c:pt idx="103">
                  <c:v>12.909712305545288</c:v>
                </c:pt>
                <c:pt idx="104">
                  <c:v>12.695728835468552</c:v>
                </c:pt>
                <c:pt idx="105">
                  <c:v>12.471316816466986</c:v>
                </c:pt>
                <c:pt idx="106">
                  <c:v>12.236319486242701</c:v>
                </c:pt>
                <c:pt idx="107">
                  <c:v>11.990610474245855</c:v>
                </c:pt>
                <c:pt idx="108">
                  <c:v>11.734092156688957</c:v>
                </c:pt>
                <c:pt idx="109">
                  <c:v>11.466693418100988</c:v>
                </c:pt>
                <c:pt idx="110">
                  <c:v>11.188366879820624</c:v>
                </c:pt>
                <c:pt idx="111">
                  <c:v>10.89908567604798</c:v>
                </c:pt>
                <c:pt idx="112">
                  <c:v>10.598839874452089</c:v>
                </c:pt>
                <c:pt idx="113">
                  <c:v>10.287632650227227</c:v>
                </c:pt>
                <c:pt idx="114">
                  <c:v>9.9654763295570099</c:v>
                </c:pt>
                <c:pt idx="115">
                  <c:v>9.6323884207201331</c:v>
                </c:pt>
                <c:pt idx="116">
                  <c:v>9.2883877488527045</c:v>
                </c:pt>
                <c:pt idx="117">
                  <c:v>8.933490804207036</c:v>
                </c:pt>
                <c:pt idx="118">
                  <c:v>8.5677084042764289</c:v>
                </c:pt>
                <c:pt idx="119">
                  <c:v>8.1910427580952057</c:v>
                </c:pt>
                <c:pt idx="120">
                  <c:v>7.803485007067037</c:v>
                </c:pt>
                <c:pt idx="121">
                  <c:v>7.4050133014037574</c:v>
                </c:pt>
                <c:pt idx="122">
                  <c:v>6.995591455166501</c:v>
                </c:pt>
                <c:pt idx="123">
                  <c:v>6.5751682063395558</c:v>
                </c:pt>
                <c:pt idx="124">
                  <c:v>6.1436770915738901</c:v>
                </c:pt>
                <c:pt idx="125">
                  <c:v>5.701036928397242</c:v>
                </c:pt>
                <c:pt idx="126">
                  <c:v>5.2471528809095744</c:v>
                </c:pt>
                <c:pt idx="127">
                  <c:v>4.781918068456589</c:v>
                </c:pt>
                <c:pt idx="128">
                  <c:v>4.3052156606801191</c:v>
                </c:pt>
                <c:pt idx="129">
                  <c:v>3.8169213870481737</c:v>
                </c:pt>
                <c:pt idx="130">
                  <c:v>3.3169063748838044</c:v>
                </c:pt>
                <c:pt idx="131">
                  <c:v>2.8050402176393465</c:v>
                </c:pt>
                <c:pt idx="132">
                  <c:v>2.2811941653578796</c:v>
                </c:pt>
                <c:pt idx="133">
                  <c:v>1.7452443226560519</c:v>
                </c:pt>
                <c:pt idx="134">
                  <c:v>1.197074736846256</c:v>
                </c:pt>
                <c:pt idx="135">
                  <c:v>0.63658026058556982</c:v>
                </c:pt>
                <c:pt idx="136">
                  <c:v>6.3669080093286368E-2</c:v>
                </c:pt>
                <c:pt idx="137">
                  <c:v>-0.52173518835896415</c:v>
                </c:pt>
                <c:pt idx="138">
                  <c:v>-1.1196919145170423</c:v>
                </c:pt>
                <c:pt idx="139">
                  <c:v>-1.730242442896923</c:v>
                </c:pt>
                <c:pt idx="140">
                  <c:v>-2.3534096902958637</c:v>
                </c:pt>
                <c:pt idx="141">
                  <c:v>-2.9891983619407809</c:v>
                </c:pt>
                <c:pt idx="142">
                  <c:v>-3.6375957691776168</c:v>
                </c:pt>
                <c:pt idx="143">
                  <c:v>-4.2985732053312979</c:v>
                </c:pt>
                <c:pt idx="144">
                  <c:v>-4.9720878121863912</c:v>
                </c:pt>
                <c:pt idx="145">
                  <c:v>-5.6580848487266833</c:v>
                </c:pt>
                <c:pt idx="146">
                  <c:v>-6.3565002572955756</c:v>
                </c:pt>
                <c:pt idx="147">
                  <c:v>-7.0672634108801837</c:v>
                </c:pt>
                <c:pt idx="148">
                  <c:v>-7.7902999190923774</c:v>
                </c:pt>
                <c:pt idx="149">
                  <c:v>-8.525534369611659</c:v>
                </c:pt>
                <c:pt idx="150">
                  <c:v>-9.272892886071638</c:v>
                </c:pt>
                <c:pt idx="151">
                  <c:v>-10.032305392107002</c:v>
                </c:pt>
                <c:pt idx="152">
                  <c:v>-10.803707483884855</c:v>
                </c:pt>
                <c:pt idx="153">
                  <c:v>-11.587041829203358</c:v>
                </c:pt>
                <c:pt idx="154">
                  <c:v>-12.382259029458869</c:v>
                </c:pt>
                <c:pt idx="155">
                  <c:v>-13.189317900748986</c:v>
                </c:pt>
                <c:pt idx="156">
                  <c:v>-14.00818515150551</c:v>
                </c:pt>
                <c:pt idx="157">
                  <c:v>-14.838834455716059</c:v>
                </c:pt>
                <c:pt idx="158">
                  <c:v>-15.681244942498754</c:v>
                </c:pt>
                <c:pt idx="159">
                  <c:v>-16.535399143937127</c:v>
                </c:pt>
                <c:pt idx="160">
                  <c:v>-17.401280463143483</c:v>
                </c:pt>
                <c:pt idx="161">
                  <c:v>-18.278870242814399</c:v>
                </c:pt>
                <c:pt idx="162">
                  <c:v>-19.168144530456871</c:v>
                </c:pt>
                <c:pt idx="163">
                  <c:v>-20.069070649244022</c:v>
                </c:pt>
                <c:pt idx="164">
                  <c:v>-20.981603692428187</c:v>
                </c:pt>
                <c:pt idx="165">
                  <c:v>-21.905683063767967</c:v>
                </c:pt>
                <c:pt idx="166">
                  <c:v>-22.841229186012697</c:v>
                </c:pt>
                <c:pt idx="167">
                  <c:v>-23.788140493869086</c:v>
                </c:pt>
                <c:pt idx="168">
                  <c:v>-24.746290817077359</c:v>
                </c:pt>
                <c:pt idx="169">
                  <c:v>-25.715527243575078</c:v>
                </c:pt>
                <c:pt idx="170">
                  <c:v>-26.69566853295294</c:v>
                </c:pt>
                <c:pt idx="171">
                  <c:v>-27.686504127484689</c:v>
                </c:pt>
                <c:pt idx="172">
                  <c:v>-28.68779378326289</c:v>
                </c:pt>
                <c:pt idx="173">
                  <c:v>-29.699267818768988</c:v>
                </c:pt>
                <c:pt idx="174">
                  <c:v>-30.720627954060554</c:v>
                </c:pt>
                <c:pt idx="175">
                  <c:v>-31.751548692008519</c:v>
                </c:pt>
                <c:pt idx="176">
                  <c:v>-32.791679174844127</c:v>
                </c:pt>
                <c:pt idx="177">
                  <c:v>-33.840645435533588</c:v>
                </c:pt>
                <c:pt idx="178">
                  <c:v>-34.898052954683635</c:v>
                </c:pt>
                <c:pt idx="179">
                  <c:v>-35.963489429932437</c:v>
                </c:pt>
                <c:pt idx="180">
                  <c:v>-37.03652766585472</c:v>
                </c:pt>
                <c:pt idx="181">
                  <c:v>-38.116728497804814</c:v>
                </c:pt>
                <c:pt idx="182">
                  <c:v>-39.203643672079117</c:v>
                </c:pt>
                <c:pt idx="183">
                  <c:v>-40.29681861644859</c:v>
                </c:pt>
                <c:pt idx="184">
                  <c:v>-41.395795048573831</c:v>
                </c:pt>
                <c:pt idx="185">
                  <c:v>-42.500113384202088</c:v>
                </c:pt>
                <c:pt idx="186">
                  <c:v>-43.609314921566096</c:v>
                </c:pt>
                <c:pt idx="187">
                  <c:v>-44.722943792431451</c:v>
                </c:pt>
                <c:pt idx="188">
                  <c:v>-45.840548683242403</c:v>
                </c:pt>
                <c:pt idx="189">
                  <c:v>-46.961684341475795</c:v>
                </c:pt>
                <c:pt idx="190">
                  <c:v>-48.085912892391995</c:v>
                </c:pt>
                <c:pt idx="191">
                  <c:v>-49.212804999779593</c:v>
                </c:pt>
                <c:pt idx="192">
                  <c:v>-50.34194091099711</c:v>
                </c:pt>
                <c:pt idx="193">
                  <c:v>-51.472911431657678</c:v>
                </c:pt>
                <c:pt idx="194">
                  <c:v>-52.605318878722997</c:v>
                </c:pt>
                <c:pt idx="195">
                  <c:v>-53.738778062632313</c:v>
                </c:pt>
                <c:pt idx="196">
                  <c:v>-54.87291734941293</c:v>
                </c:pt>
                <c:pt idx="197">
                  <c:v>-56.007379852502936</c:v>
                </c:pt>
                <c:pt idx="198">
                  <c:v>-57.141824801225397</c:v>
                </c:pt>
                <c:pt idx="199">
                  <c:v>-58.275929128407228</c:v>
                </c:pt>
                <c:pt idx="200">
                  <c:v>-59.409389313455286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70784"/>
        <c:axId val="358472704"/>
      </c:scatterChart>
      <c:valAx>
        <c:axId val="358470784"/>
        <c:scaling>
          <c:logBase val="10"/>
          <c:orientation val="minMax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472704"/>
        <c:crosses val="autoZero"/>
        <c:crossBetween val="midCat"/>
      </c:valAx>
      <c:valAx>
        <c:axId val="35847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470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93704328274311"/>
          <c:y val="2.5280789781945517E-2"/>
          <c:w val="0.26363125351320965"/>
          <c:h val="0.162921341276254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92784830285748E-2"/>
          <c:y val="7.3033707865168537E-2"/>
          <c:w val="0.86423910925786851"/>
          <c:h val="0.8567415730337079"/>
        </c:manualLayout>
      </c:layout>
      <c:scatterChart>
        <c:scatterStyle val="smoothMarker"/>
        <c:varyColors val="0"/>
        <c:ser>
          <c:idx val="3"/>
          <c:order val="0"/>
          <c:tx>
            <c:v> T(s) 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Compensation!$AH$64:$AH$264</c:f>
              <c:numCache>
                <c:formatCode>General</c:formatCode>
                <c:ptCount val="201"/>
                <c:pt idx="0">
                  <c:v>179.43085330796117</c:v>
                </c:pt>
                <c:pt idx="1">
                  <c:v>179.40403133524271</c:v>
                </c:pt>
                <c:pt idx="2">
                  <c:v>179.37594544255739</c:v>
                </c:pt>
                <c:pt idx="3">
                  <c:v>179.34653608699259</c:v>
                </c:pt>
                <c:pt idx="4">
                  <c:v>179.31574092298999</c:v>
                </c:pt>
                <c:pt idx="5">
                  <c:v>179.28349467078323</c:v>
                </c:pt>
                <c:pt idx="6">
                  <c:v>179.24972897871223</c:v>
                </c:pt>
                <c:pt idx="7">
                  <c:v>179.21437227913771</c:v>
                </c:pt>
                <c:pt idx="8">
                  <c:v>179.17734963766654</c:v>
                </c:pt>
                <c:pt idx="9">
                  <c:v>179.13858259538878</c:v>
                </c:pt>
                <c:pt idx="10">
                  <c:v>179.09798900381358</c:v>
                </c:pt>
                <c:pt idx="11">
                  <c:v>179.05548285217989</c:v>
                </c:pt>
                <c:pt idx="12">
                  <c:v>179.01097408680582</c:v>
                </c:pt>
                <c:pt idx="13">
                  <c:v>178.96436842212688</c:v>
                </c:pt>
                <c:pt idx="14">
                  <c:v>178.91556714306228</c:v>
                </c:pt>
                <c:pt idx="15">
                  <c:v>178.8644668983342</c:v>
                </c:pt>
                <c:pt idx="16">
                  <c:v>178.81095948435402</c:v>
                </c:pt>
                <c:pt idx="17">
                  <c:v>178.75493161927562</c:v>
                </c:pt>
                <c:pt idx="18">
                  <c:v>178.69626470680501</c:v>
                </c:pt>
                <c:pt idx="19">
                  <c:v>178.63483458934269</c:v>
                </c:pt>
                <c:pt idx="20">
                  <c:v>178.57051129002522</c:v>
                </c:pt>
                <c:pt idx="21">
                  <c:v>178.50315874322106</c:v>
                </c:pt>
                <c:pt idx="22">
                  <c:v>178.43263451302653</c:v>
                </c:pt>
                <c:pt idx="23">
                  <c:v>178.35878949930083</c:v>
                </c:pt>
                <c:pt idx="24">
                  <c:v>178.28146763077046</c:v>
                </c:pt>
                <c:pt idx="25">
                  <c:v>178.20050554473056</c:v>
                </c:pt>
                <c:pt idx="26">
                  <c:v>178.1157322528671</c:v>
                </c:pt>
                <c:pt idx="27">
                  <c:v>178.02696879272565</c:v>
                </c:pt>
                <c:pt idx="28">
                  <c:v>177.93402786435425</c:v>
                </c:pt>
                <c:pt idx="29">
                  <c:v>177.83671345165845</c:v>
                </c:pt>
                <c:pt idx="30">
                  <c:v>177.73482042801658</c:v>
                </c:pt>
                <c:pt idx="31">
                  <c:v>177.6281341457227</c:v>
                </c:pt>
                <c:pt idx="32">
                  <c:v>177.5164300088494</c:v>
                </c:pt>
                <c:pt idx="33">
                  <c:v>177.39947302915468</c:v>
                </c:pt>
                <c:pt idx="34">
                  <c:v>177.27701736469731</c:v>
                </c:pt>
                <c:pt idx="35">
                  <c:v>177.14880584087874</c:v>
                </c:pt>
                <c:pt idx="36">
                  <c:v>177.01456945369108</c:v>
                </c:pt>
                <c:pt idx="37">
                  <c:v>176.87402685502929</c:v>
                </c:pt>
                <c:pt idx="38">
                  <c:v>176.72688382001888</c:v>
                </c:pt>
                <c:pt idx="39">
                  <c:v>176.57283269642255</c:v>
                </c:pt>
                <c:pt idx="40">
                  <c:v>176.41155183632205</c:v>
                </c:pt>
                <c:pt idx="41">
                  <c:v>176.24270501042952</c:v>
                </c:pt>
                <c:pt idx="42">
                  <c:v>176.0659408055686</c:v>
                </c:pt>
                <c:pt idx="43">
                  <c:v>175.88089200608141</c:v>
                </c:pt>
                <c:pt idx="44">
                  <c:v>175.68717496017268</c:v>
                </c:pt>
                <c:pt idx="45">
                  <c:v>175.48438893249769</c:v>
                </c:pt>
                <c:pt idx="46">
                  <c:v>175.27211544464015</c:v>
                </c:pt>
                <c:pt idx="47">
                  <c:v>175.04991760552423</c:v>
                </c:pt>
                <c:pt idx="48">
                  <c:v>174.81733943425778</c:v>
                </c:pt>
                <c:pt idx="49">
                  <c:v>174.57390517842592</c:v>
                </c:pt>
                <c:pt idx="50">
                  <c:v>174.31911863145334</c:v>
                </c:pt>
                <c:pt idx="51">
                  <c:v>174.05246245333382</c:v>
                </c:pt>
                <c:pt idx="52">
                  <c:v>173.77339749980362</c:v>
                </c:pt>
                <c:pt idx="53">
                  <c:v>173.48136216591433</c:v>
                </c:pt>
                <c:pt idx="54">
                  <c:v>173.17577175095684</c:v>
                </c:pt>
                <c:pt idx="55">
                  <c:v>172.85601785280937</c:v>
                </c:pt>
                <c:pt idx="56">
                  <c:v>172.52146780104178</c:v>
                </c:pt>
                <c:pt idx="57">
                  <c:v>172.17146413951554</c:v>
                </c:pt>
                <c:pt idx="58">
                  <c:v>171.80532417078507</c:v>
                </c:pt>
                <c:pt idx="59">
                  <c:v>171.42233957634267</c:v>
                </c:pt>
                <c:pt idx="60">
                  <c:v>171.02177612866194</c:v>
                </c:pt>
                <c:pt idx="61">
                  <c:v>170.60287351308509</c:v>
                </c:pt>
                <c:pt idx="62">
                  <c:v>170.16484527988231</c:v>
                </c:pt>
                <c:pt idx="63">
                  <c:v>169.70687894926084</c:v>
                </c:pt>
                <c:pt idx="64">
                  <c:v>169.22813629473046</c:v>
                </c:pt>
                <c:pt idx="65">
                  <c:v>168.72775383300115</c:v>
                </c:pt>
                <c:pt idx="66">
                  <c:v>168.20484355147855</c:v>
                </c:pt>
                <c:pt idx="67">
                  <c:v>167.65849390738163</c:v>
                </c:pt>
                <c:pt idx="68">
                  <c:v>167.08777113547163</c:v>
                </c:pt>
                <c:pt idx="69">
                  <c:v>166.49172090427265</c:v>
                </c:pt>
                <c:pt idx="70">
                  <c:v>165.86937036335843</c:v>
                </c:pt>
                <c:pt idx="71">
                  <c:v>165.21973062665475</c:v>
                </c:pt>
                <c:pt idx="72">
                  <c:v>164.54179973856816</c:v>
                </c:pt>
                <c:pt idx="73">
                  <c:v>163.83456617090906</c:v>
                </c:pt>
                <c:pt idx="74">
                  <c:v>163.09701289875593</c:v>
                </c:pt>
                <c:pt idx="75">
                  <c:v>162.32812210232996</c:v>
                </c:pt>
                <c:pt idx="76">
                  <c:v>161.52688053926039</c:v>
                </c:pt>
                <c:pt idx="77">
                  <c:v>160.69228562696335</c:v>
                </c:pt>
                <c:pt idx="78">
                  <c:v>159.82335226779171</c:v>
                </c:pt>
                <c:pt idx="79">
                  <c:v>158.91912043974347</c:v>
                </c:pt>
                <c:pt idx="80">
                  <c:v>157.9786635623779</c:v>
                </c:pt>
                <c:pt idx="81">
                  <c:v>157.00109763081633</c:v>
                </c:pt>
                <c:pt idx="82">
                  <c:v>155.9855910899206</c:v>
                </c:pt>
                <c:pt idx="83">
                  <c:v>154.93137539575773</c:v>
                </c:pt>
                <c:pt idx="84">
                  <c:v>153.83775618218678</c:v>
                </c:pt>
                <c:pt idx="85">
                  <c:v>152.70412491703118</c:v>
                </c:pt>
                <c:pt idx="86">
                  <c:v>151.52997089528751</c:v>
                </c:pt>
                <c:pt idx="87">
                  <c:v>150.31489337702365</c:v>
                </c:pt>
                <c:pt idx="88">
                  <c:v>149.05861363629509</c:v>
                </c:pt>
                <c:pt idx="89">
                  <c:v>147.7609866463136</c:v>
                </c:pt>
                <c:pt idx="90">
                  <c:v>146.42201208748222</c:v>
                </c:pt>
                <c:pt idx="91">
                  <c:v>145.04184433142888</c:v>
                </c:pt>
                <c:pt idx="92">
                  <c:v>143.62080102896539</c:v>
                </c:pt>
                <c:pt idx="93">
                  <c:v>142.15936991619589</c:v>
                </c:pt>
                <c:pt idx="94">
                  <c:v>140.65821345417771</c:v>
                </c:pt>
                <c:pt idx="95">
                  <c:v>139.11817093658851</c:v>
                </c:pt>
                <c:pt idx="96">
                  <c:v>137.54025773920441</c:v>
                </c:pt>
                <c:pt idx="97">
                  <c:v>135.92566144607329</c:v>
                </c:pt>
                <c:pt idx="98">
                  <c:v>134.27573467018695</c:v>
                </c:pt>
                <c:pt idx="99">
                  <c:v>132.59198448966131</c:v>
                </c:pt>
                <c:pt idx="100">
                  <c:v>130.87605854067826</c:v>
                </c:pt>
                <c:pt idx="101">
                  <c:v>129.12972794056932</c:v>
                </c:pt>
                <c:pt idx="102">
                  <c:v>127.35486735179975</c:v>
                </c:pt>
                <c:pt idx="103">
                  <c:v>125.5534326323093</c:v>
                </c:pt>
                <c:pt idx="104">
                  <c:v>123.7274366412759</c:v>
                </c:pt>
                <c:pt idx="105">
                  <c:v>121.87892387346884</c:v>
                </c:pt>
                <c:pt idx="106">
                  <c:v>120.00994467262819</c:v>
                </c:pt>
                <c:pt idx="107">
                  <c:v>118.12252981884225</c:v>
                </c:pt>
                <c:pt idx="108">
                  <c:v>116.21866629328507</c:v>
                </c:pt>
                <c:pt idx="109">
                  <c:v>114.30027499485848</c:v>
                </c:pt>
                <c:pt idx="110">
                  <c:v>112.3691911190364</c:v>
                </c:pt>
                <c:pt idx="111">
                  <c:v>110.42714781366708</c:v>
                </c:pt>
                <c:pt idx="112">
                  <c:v>108.47576360573721</c:v>
                </c:pt>
                <c:pt idx="113">
                  <c:v>106.51653395459307</c:v>
                </c:pt>
                <c:pt idx="114">
                  <c:v>104.55082713873557</c:v>
                </c:pt>
                <c:pt idx="115">
                  <c:v>102.57988453284513</c:v>
                </c:pt>
                <c:pt idx="116">
                  <c:v>100.60482518601171</c:v>
                </c:pt>
                <c:pt idx="117">
                  <c:v>98.626654476915505</c:v>
                </c:pt>
                <c:pt idx="118">
                  <c:v>96.646276500933922</c:v>
                </c:pt>
                <c:pt idx="119">
                  <c:v>94.66450974047352</c:v>
                </c:pt>
                <c:pt idx="120">
                  <c:v>92.682105484277912</c:v>
                </c:pt>
                <c:pt idx="121">
                  <c:v>90.699768394187274</c:v>
                </c:pt>
                <c:pt idx="122">
                  <c:v>88.718178568088462</c:v>
                </c:pt>
                <c:pt idx="123">
                  <c:v>86.738014414696778</c:v>
                </c:pt>
                <c:pt idx="124">
                  <c:v>84.759975638403816</c:v>
                </c:pt>
                <c:pt idx="125">
                  <c:v>82.784805630173452</c:v>
                </c:pt>
                <c:pt idx="126">
                  <c:v>80.813312573256795</c:v>
                </c:pt>
                <c:pt idx="127">
                  <c:v>78.84638860078887</c:v>
                </c:pt>
                <c:pt idx="128">
                  <c:v>76.885026386938335</c:v>
                </c:pt>
                <c:pt idx="129">
                  <c:v>74.930332615189997</c:v>
                </c:pt>
                <c:pt idx="130">
                  <c:v>72.983537847320704</c:v>
                </c:pt>
                <c:pt idx="131">
                  <c:v>71.046002414931266</c:v>
                </c:pt>
                <c:pt idx="132">
                  <c:v>69.119218071184463</c:v>
                </c:pt>
                <c:pt idx="133">
                  <c:v>67.204805271634669</c:v>
                </c:pt>
                <c:pt idx="134">
                  <c:v>65.304506096089412</c:v>
                </c:pt>
                <c:pt idx="135">
                  <c:v>63.420172973132935</c:v>
                </c:pt>
                <c:pt idx="136">
                  <c:v>61.553753518729437</c:v>
                </c:pt>
                <c:pt idx="137">
                  <c:v>59.707271942657272</c:v>
                </c:pt>
                <c:pt idx="138">
                  <c:v>57.88280760344567</c:v>
                </c:pt>
                <c:pt idx="139">
                  <c:v>56.082471396332025</c:v>
                </c:pt>
                <c:pt idx="140">
                  <c:v>54.308380733000462</c:v>
                </c:pt>
                <c:pt idx="141">
                  <c:v>52.56263391162409</c:v>
                </c:pt>
                <c:pt idx="142">
                  <c:v>50.847284678598697</c:v>
                </c:pt>
                <c:pt idx="143">
                  <c:v>49.164317749419723</c:v>
                </c:pt>
                <c:pt idx="144">
                  <c:v>47.515625988236621</c:v>
                </c:pt>
                <c:pt idx="145">
                  <c:v>45.902989848822813</c:v>
                </c:pt>
                <c:pt idx="146">
                  <c:v>44.328059561105533</c:v>
                </c:pt>
                <c:pt idx="147">
                  <c:v>42.792340415056543</c:v>
                </c:pt>
                <c:pt idx="148">
                  <c:v>41.297181356243726</c:v>
                </c:pt>
                <c:pt idx="149">
                  <c:v>39.84376697277213</c:v>
                </c:pt>
                <c:pt idx="150">
                  <c:v>38.433112828789177</c:v>
                </c:pt>
                <c:pt idx="151">
                  <c:v>37.066063990828241</c:v>
                </c:pt>
                <c:pt idx="152">
                  <c:v>35.743296503841208</c:v>
                </c:pt>
                <c:pt idx="153">
                  <c:v>34.46532150586998</c:v>
                </c:pt>
                <c:pt idx="154">
                  <c:v>33.232491624310114</c:v>
                </c:pt>
                <c:pt idx="155">
                  <c:v>32.045009271529523</c:v>
                </c:pt>
                <c:pt idx="156">
                  <c:v>30.902936451077807</c:v>
                </c:pt>
                <c:pt idx="157">
                  <c:v>29.806205694988961</c:v>
                </c:pt>
                <c:pt idx="158">
                  <c:v>28.754631774417788</c:v>
                </c:pt>
                <c:pt idx="159">
                  <c:v>27.747923856806977</c:v>
                </c:pt>
                <c:pt idx="160">
                  <c:v>26.785697819699408</c:v>
                </c:pt>
                <c:pt idx="161">
                  <c:v>25.867488471433916</c:v>
                </c:pt>
                <c:pt idx="162">
                  <c:v>24.992761469843259</c:v>
                </c:pt>
                <c:pt idx="163">
                  <c:v>24.160924769864891</c:v>
                </c:pt>
                <c:pt idx="164">
                  <c:v>23.371339468186846</c:v>
                </c:pt>
                <c:pt idx="165">
                  <c:v>22.623329946800879</c:v>
                </c:pt>
                <c:pt idx="166">
                  <c:v>21.916193246927492</c:v>
                </c:pt>
                <c:pt idx="167">
                  <c:v>21.24920763006412</c:v>
                </c:pt>
                <c:pt idx="168">
                  <c:v>20.621640303768146</c:v>
                </c:pt>
                <c:pt idx="169">
                  <c:v>20.032754306485771</c:v>
                </c:pt>
                <c:pt idx="170">
                  <c:v>19.481814558515424</c:v>
                </c:pt>
                <c:pt idx="171">
                  <c:v>18.968093095463047</c:v>
                </c:pt>
                <c:pt idx="172">
                  <c:v>18.490873506713996</c:v>
                </c:pt>
                <c:pt idx="173">
                  <c:v>18.049454604952672</c:v>
                </c:pt>
                <c:pt idx="174">
                  <c:v>17.643153354012242</c:v>
                </c:pt>
                <c:pt idx="175">
                  <c:v>17.27130708176017</c:v>
                </c:pt>
                <c:pt idx="176">
                  <c:v>16.93327500264445</c:v>
                </c:pt>
                <c:pt idx="177">
                  <c:v>16.628439071319264</c:v>
                </c:pt>
                <c:pt idx="178">
                  <c:v>16.356204184717882</c:v>
                </c:pt>
                <c:pt idx="179">
                  <c:v>16.115997745318793</c:v>
                </c:pt>
                <c:pt idx="180">
                  <c:v>15.907268593431553</c:v>
                </c:pt>
                <c:pt idx="181">
                  <c:v>15.729485311341477</c:v>
                </c:pt>
                <c:pt idx="182">
                  <c:v>15.582133897338537</c:v>
                </c:pt>
                <c:pt idx="183">
                  <c:v>15.464714803255816</c:v>
                </c:pt>
                <c:pt idx="184">
                  <c:v>15.376739325419521</c:v>
                </c:pt>
                <c:pt idx="185">
                  <c:v>15.317725336119622</c:v>
                </c:pt>
                <c:pt idx="186">
                  <c:v>15.287192341160818</c:v>
                </c:pt>
                <c:pt idx="187">
                  <c:v>15.284655849078121</c:v>
                </c:pt>
                <c:pt idx="188">
                  <c:v>15.309621039539678</c:v>
                </c:pt>
                <c:pt idx="189">
                  <c:v>15.361575722745386</c:v>
                </c:pt>
                <c:pt idx="190">
                  <c:v>15.439982588627032</c:v>
                </c:pt>
                <c:pt idx="191">
                  <c:v>15.544270754862055</c:v>
                </c:pt>
                <c:pt idx="192">
                  <c:v>15.673826636500706</c:v>
                </c:pt>
                <c:pt idx="193">
                  <c:v>15.827984177810578</c:v>
                </c:pt>
                <c:pt idx="194">
                  <c:v>16.006014509081098</c:v>
                </c:pt>
                <c:pt idx="195">
                  <c:v>16.207115117818063</c:v>
                </c:pt>
                <c:pt idx="196">
                  <c:v>16.430398655036839</c:v>
                </c:pt>
                <c:pt idx="197">
                  <c:v>16.674881533044726</c:v>
                </c:pt>
                <c:pt idx="198">
                  <c:v>16.939472510676325</c:v>
                </c:pt>
                <c:pt idx="199">
                  <c:v>17.222961504514814</c:v>
                </c:pt>
                <c:pt idx="200">
                  <c:v>17.524008908877676</c:v>
                </c:pt>
              </c:numCache>
            </c:numRef>
          </c:yVal>
          <c:smooth val="1"/>
        </c:ser>
        <c:ser>
          <c:idx val="0"/>
          <c:order val="1"/>
          <c:tx>
            <c:v> Ti(s) Phase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Compensation!$Z$64:$Z$264</c:f>
              <c:numCache>
                <c:formatCode>General</c:formatCode>
                <c:ptCount val="201"/>
                <c:pt idx="0">
                  <c:v>-179.28488988423089</c:v>
                </c:pt>
                <c:pt idx="1">
                  <c:v>-179.25119571075146</c:v>
                </c:pt>
                <c:pt idx="2">
                  <c:v>-179.21591475411293</c:v>
                </c:pt>
                <c:pt idx="3">
                  <c:v>-179.17897240544491</c:v>
                </c:pt>
                <c:pt idx="4">
                  <c:v>-179.14029056541935</c:v>
                </c:pt>
                <c:pt idx="5">
                  <c:v>-179.09978748356096</c:v>
                </c:pt>
                <c:pt idx="6">
                  <c:v>-179.05737759054819</c:v>
                </c:pt>
                <c:pt idx="7">
                  <c:v>-179.01297132325749</c:v>
                </c:pt>
                <c:pt idx="8">
                  <c:v>-178.96647494230427</c:v>
                </c:pt>
                <c:pt idx="9">
                  <c:v>-178.91779034183634</c:v>
                </c:pt>
                <c:pt idx="10">
                  <c:v>-178.86681485134073</c:v>
                </c:pt>
                <c:pt idx="11">
                  <c:v>-178.81344102923106</c:v>
                </c:pt>
                <c:pt idx="12">
                  <c:v>-178.75755644799358</c:v>
                </c:pt>
                <c:pt idx="13">
                  <c:v>-178.69904347068356</c:v>
                </c:pt>
                <c:pt idx="14">
                  <c:v>-178.63777901858165</c:v>
                </c:pt>
                <c:pt idx="15">
                  <c:v>-178.57363432984246</c:v>
                </c:pt>
                <c:pt idx="16">
                  <c:v>-178.50647470899688</c:v>
                </c:pt>
                <c:pt idx="17">
                  <c:v>-178.43615926720383</c:v>
                </c:pt>
                <c:pt idx="18">
                  <c:v>-178.36254065319088</c:v>
                </c:pt>
                <c:pt idx="19">
                  <c:v>-178.28546477487436</c:v>
                </c:pt>
                <c:pt idx="20">
                  <c:v>-178.2047705117123</c:v>
                </c:pt>
                <c:pt idx="21">
                  <c:v>-178.12028941791675</c:v>
                </c:pt>
                <c:pt idx="22">
                  <c:v>-178.0318454167402</c:v>
                </c:pt>
                <c:pt idx="23">
                  <c:v>-177.93925448615465</c:v>
                </c:pt>
                <c:pt idx="24">
                  <c:v>-177.84232433636225</c:v>
                </c:pt>
                <c:pt idx="25">
                  <c:v>-177.74085407972058</c:v>
                </c:pt>
                <c:pt idx="26">
                  <c:v>-177.63463389382997</c:v>
                </c:pt>
                <c:pt idx="27">
                  <c:v>-177.52344467872555</c:v>
                </c:pt>
                <c:pt idx="28">
                  <c:v>-177.40705770933954</c:v>
                </c:pt>
                <c:pt idx="29">
                  <c:v>-177.28523428466116</c:v>
                </c:pt>
                <c:pt idx="30">
                  <c:v>-177.1577253753205</c:v>
                </c:pt>
                <c:pt idx="31">
                  <c:v>-177.02427127167002</c:v>
                </c:pt>
                <c:pt idx="32">
                  <c:v>-176.88460123483506</c:v>
                </c:pt>
                <c:pt idx="33">
                  <c:v>-176.73843315366341</c:v>
                </c:pt>
                <c:pt idx="34">
                  <c:v>-176.58547321102569</c:v>
                </c:pt>
                <c:pt idx="35">
                  <c:v>-176.42541556351966</c:v>
                </c:pt>
                <c:pt idx="36">
                  <c:v>-176.25794203931329</c:v>
                </c:pt>
                <c:pt idx="37">
                  <c:v>-176.08272185963887</c:v>
                </c:pt>
                <c:pt idx="38">
                  <c:v>-175.89941139033533</c:v>
                </c:pt>
                <c:pt idx="39">
                  <c:v>-175.70765393083389</c:v>
                </c:pt>
                <c:pt idx="40">
                  <c:v>-175.50707954911607</c:v>
                </c:pt>
                <c:pt idx="41">
                  <c:v>-175.29730497244449</c:v>
                </c:pt>
                <c:pt idx="42">
                  <c:v>-175.07793354510295</c:v>
                </c:pt>
                <c:pt idx="43">
                  <c:v>-174.84855526598341</c:v>
                </c:pt>
                <c:pt idx="44">
                  <c:v>-174.60874692065158</c:v>
                </c:pt>
                <c:pt idx="45">
                  <c:v>-174.35807232451688</c:v>
                </c:pt>
                <c:pt idx="46">
                  <c:v>-174.09608269593505</c:v>
                </c:pt>
                <c:pt idx="47">
                  <c:v>-173.82231718051057</c:v>
                </c:pt>
                <c:pt idx="48">
                  <c:v>-173.53630355053059</c:v>
                </c:pt>
                <c:pt idx="49">
                  <c:v>-173.23755910637067</c:v>
                </c:pt>
                <c:pt idx="50">
                  <c:v>-172.9255918098616</c:v>
                </c:pt>
                <c:pt idx="51">
                  <c:v>-172.59990168298611</c:v>
                </c:pt>
                <c:pt idx="52">
                  <c:v>-172.25998250887415</c:v>
                </c:pt>
                <c:pt idx="53">
                  <c:v>-171.90532387584824</c:v>
                </c:pt>
                <c:pt idx="54">
                  <c:v>-171.53541360920909</c:v>
                </c:pt>
                <c:pt idx="55">
                  <c:v>-171.14974063947122</c:v>
                </c:pt>
                <c:pt idx="56">
                  <c:v>-170.74779835979075</c:v>
                </c:pt>
                <c:pt idx="57">
                  <c:v>-170.32908852926963</c:v>
                </c:pt>
                <c:pt idx="58">
                  <c:v>-169.8931257825308</c:v>
                </c:pt>
                <c:pt idx="59">
                  <c:v>-169.43944280930313</c:v>
                </c:pt>
                <c:pt idx="60">
                  <c:v>-168.9675962705164</c:v>
                </c:pt>
                <c:pt idx="61">
                  <c:v>-168.47717351939173</c:v>
                </c:pt>
                <c:pt idx="62">
                  <c:v>-167.96780019696666</c:v>
                </c:pt>
                <c:pt idx="63">
                  <c:v>-167.43914877114597</c:v>
                </c:pt>
                <c:pt idx="64">
                  <c:v>-166.89094808646774</c:v>
                </c:pt>
                <c:pt idx="65">
                  <c:v>-166.32299398803613</c:v>
                </c:pt>
                <c:pt idx="66">
                  <c:v>-165.73516107728551</c:v>
                </c:pt>
                <c:pt idx="67">
                  <c:v>-165.12741564926168</c:v>
                </c:pt>
                <c:pt idx="68">
                  <c:v>-164.49982985089892</c:v>
                </c:pt>
                <c:pt idx="69">
                  <c:v>-163.85259708751641</c:v>
                </c:pt>
                <c:pt idx="70">
                  <c:v>-163.1860486908738</c:v>
                </c:pt>
                <c:pt idx="71">
                  <c:v>-162.50067184741798</c:v>
                </c:pt>
                <c:pt idx="72">
                  <c:v>-161.79712877107676</c:v>
                </c:pt>
                <c:pt idx="73">
                  <c:v>-161.07627709298268</c:v>
                </c:pt>
                <c:pt idx="74">
                  <c:v>-160.33919143341029</c:v>
                </c:pt>
                <c:pt idx="75">
                  <c:v>-159.58718612247222</c:v>
                </c:pt>
                <c:pt idx="76">
                  <c:v>-158.82183905018803</c:v>
                </c:pt>
                <c:pt idx="77">
                  <c:v>-158.04501665911468</c:v>
                </c:pt>
                <c:pt idx="78">
                  <c:v>-157.25890015075163</c:v>
                </c:pt>
                <c:pt idx="79">
                  <c:v>-156.46601306896929</c:v>
                </c:pt>
                <c:pt idx="80">
                  <c:v>-155.66925056000585</c:v>
                </c:pt>
                <c:pt idx="81">
                  <c:v>-154.87191080157197</c:v>
                </c:pt>
                <c:pt idx="82">
                  <c:v>-154.07772935835393</c:v>
                </c:pt>
                <c:pt idx="83">
                  <c:v>-153.29091757640361</c:v>
                </c:pt>
                <c:pt idx="84">
                  <c:v>-152.51620659815217</c:v>
                </c:pt>
                <c:pt idx="85">
                  <c:v>-151.75889919400981</c:v>
                </c:pt>
                <c:pt idx="86">
                  <c:v>-151.02493240727875</c:v>
                </c:pt>
                <c:pt idx="87">
                  <c:v>-150.32095505399315</c:v>
                </c:pt>
                <c:pt idx="88">
                  <c:v>-149.65442548966021</c:v>
                </c:pt>
                <c:pt idx="89">
                  <c:v>-149.03373686744595</c:v>
                </c:pt>
                <c:pt idx="90">
                  <c:v>-148.46837953611583</c:v>
                </c:pt>
                <c:pt idx="91">
                  <c:v>-147.96915350651798</c:v>
                </c:pt>
                <c:pt idx="92">
                  <c:v>-147.54844840970378</c:v>
                </c:pt>
                <c:pt idx="93">
                  <c:v>-147.22061459498383</c:v>
                </c:pt>
                <c:pt idx="94">
                  <c:v>-147.00245771493539</c:v>
                </c:pt>
                <c:pt idx="95">
                  <c:v>-146.91390136406176</c:v>
                </c:pt>
                <c:pt idx="96">
                  <c:v>-146.97887950560383</c:v>
                </c:pt>
                <c:pt idx="97">
                  <c:v>-147.22654434570413</c:v>
                </c:pt>
                <c:pt idx="98">
                  <c:v>-147.69290791353419</c:v>
                </c:pt>
                <c:pt idx="99">
                  <c:v>-148.42307780987954</c:v>
                </c:pt>
                <c:pt idx="100">
                  <c:v>-149.47429597352433</c:v>
                </c:pt>
                <c:pt idx="101">
                  <c:v>-150.92002682661627</c:v>
                </c:pt>
                <c:pt idx="102">
                  <c:v>-152.85531298081443</c:v>
                </c:pt>
                <c:pt idx="103">
                  <c:v>-155.40337103713722</c:v>
                </c:pt>
                <c:pt idx="104">
                  <c:v>-158.72255499130861</c:v>
                </c:pt>
                <c:pt idx="105">
                  <c:v>-163.01051128214337</c:v>
                </c:pt>
                <c:pt idx="106">
                  <c:v>-168.49703141441438</c:v>
                </c:pt>
                <c:pt idx="107">
                  <c:v>-175.40746739022282</c:v>
                </c:pt>
                <c:pt idx="108">
                  <c:v>176.13032996375182</c:v>
                </c:pt>
                <c:pt idx="109">
                  <c:v>166.24397728620409</c:v>
                </c:pt>
                <c:pt idx="110">
                  <c:v>155.45780095831748</c:v>
                </c:pt>
                <c:pt idx="111">
                  <c:v>144.62980560373438</c:v>
                </c:pt>
                <c:pt idx="112">
                  <c:v>134.62064771310517</c:v>
                </c:pt>
                <c:pt idx="113">
                  <c:v>125.96030858833663</c:v>
                </c:pt>
                <c:pt idx="114">
                  <c:v>118.78137054313412</c:v>
                </c:pt>
                <c:pt idx="115">
                  <c:v>112.95892557764154</c:v>
                </c:pt>
                <c:pt idx="116">
                  <c:v>108.26912474985708</c:v>
                </c:pt>
                <c:pt idx="117">
                  <c:v>104.48311958568485</c:v>
                </c:pt>
                <c:pt idx="118">
                  <c:v>101.40419016747906</c:v>
                </c:pt>
                <c:pt idx="119">
                  <c:v>98.875126733708157</c:v>
                </c:pt>
                <c:pt idx="120">
                  <c:v>96.774144256447329</c:v>
                </c:pt>
                <c:pt idx="121">
                  <c:v>95.007919643596225</c:v>
                </c:pt>
                <c:pt idx="122">
                  <c:v>93.504972372193237</c:v>
                </c:pt>
                <c:pt idx="123">
                  <c:v>92.210278552358403</c:v>
                </c:pt>
                <c:pt idx="124">
                  <c:v>91.081151552652699</c:v>
                </c:pt>
                <c:pt idx="125">
                  <c:v>90.08417220163895</c:v>
                </c:pt>
                <c:pt idx="126">
                  <c:v>89.192921998780719</c:v>
                </c:pt>
                <c:pt idx="127">
                  <c:v>88.386310037148931</c:v>
                </c:pt>
                <c:pt idx="128">
                  <c:v>87.647332874500066</c:v>
                </c:pt>
                <c:pt idx="129">
                  <c:v>86.962149036637996</c:v>
                </c:pt>
                <c:pt idx="130">
                  <c:v>86.319382670109619</c:v>
                </c:pt>
                <c:pt idx="131">
                  <c:v>85.709594974847903</c:v>
                </c:pt>
                <c:pt idx="132">
                  <c:v>85.124879349649319</c:v>
                </c:pt>
                <c:pt idx="133">
                  <c:v>84.558548482709298</c:v>
                </c:pt>
                <c:pt idx="134">
                  <c:v>84.004890346262798</c:v>
                </c:pt>
                <c:pt idx="135">
                  <c:v>83.458976261414321</c:v>
                </c:pt>
                <c:pt idx="136">
                  <c:v>82.916508635890082</c:v>
                </c:pt>
                <c:pt idx="137">
                  <c:v>82.373699169013506</c:v>
                </c:pt>
                <c:pt idx="138">
                  <c:v>81.827170630775726</c:v>
                </c:pt>
                <c:pt idx="139">
                  <c:v>81.273877010433807</c:v>
                </c:pt>
                <c:pt idx="140">
                  <c:v>80.711038072756892</c:v>
                </c:pt>
                <c:pt idx="141">
                  <c:v>80.13608528183201</c:v>
                </c:pt>
                <c:pt idx="142">
                  <c:v>79.546616741540277</c:v>
                </c:pt>
                <c:pt idx="143">
                  <c:v>78.940359321153537</c:v>
                </c:pt>
                <c:pt idx="144">
                  <c:v>78.315136528950731</c:v>
                </c:pt>
                <c:pt idx="145">
                  <c:v>77.668840998758455</c:v>
                </c:pt>
                <c:pt idx="146">
                  <c:v>76.999410687522428</c:v>
                </c:pt>
                <c:pt idx="147">
                  <c:v>76.304808063790873</c:v>
                </c:pt>
                <c:pt idx="148">
                  <c:v>75.583001710233873</c:v>
                </c:pt>
                <c:pt idx="149">
                  <c:v>74.831949877769588</c:v>
                </c:pt>
                <c:pt idx="150">
                  <c:v>74.049585621919093</c:v>
                </c:pt>
                <c:pt idx="151">
                  <c:v>73.23380322949069</c:v>
                </c:pt>
                <c:pt idx="152">
                  <c:v>72.382445710230897</c:v>
                </c:pt>
                <c:pt idx="153">
                  <c:v>71.493293187544893</c:v>
                </c:pt>
                <c:pt idx="154">
                  <c:v>70.564052078120199</c:v>
                </c:pt>
                <c:pt idx="155">
                  <c:v>69.592345005312708</c:v>
                </c:pt>
                <c:pt idx="156">
                  <c:v>68.575701448362906</c:v>
                </c:pt>
                <c:pt idx="157">
                  <c:v>67.511549191755677</c:v>
                </c:pt>
                <c:pt idx="158">
                  <c:v>66.397206709253837</c:v>
                </c:pt>
                <c:pt idx="159">
                  <c:v>65.229876698348363</c:v>
                </c:pt>
                <c:pt idx="160">
                  <c:v>64.006641076248059</c:v>
                </c:pt>
                <c:pt idx="161">
                  <c:v>62.72445786124473</c:v>
                </c:pt>
                <c:pt idx="162">
                  <c:v>61.380160496401302</c:v>
                </c:pt>
                <c:pt idx="163">
                  <c:v>59.970460328601746</c:v>
                </c:pt>
                <c:pt idx="164">
                  <c:v>58.491953136675747</c:v>
                </c:pt>
                <c:pt idx="165">
                  <c:v>56.941130807376609</c:v>
                </c:pt>
                <c:pt idx="166">
                  <c:v>55.314399484270751</c:v>
                </c:pt>
                <c:pt idx="167">
                  <c:v>53.608105754383899</c:v>
                </c:pt>
                <c:pt idx="168">
                  <c:v>51.818572676211744</c:v>
                </c:pt>
                <c:pt idx="169">
                  <c:v>49.942147666661214</c:v>
                </c:pt>
                <c:pt idx="170">
                  <c:v>47.975264417336319</c:v>
                </c:pt>
                <c:pt idx="171">
                  <c:v>45.91452105069888</c:v>
                </c:pt>
                <c:pt idx="172">
                  <c:v>43.756776584599919</c:v>
                </c:pt>
                <c:pt idx="173">
                  <c:v>41.499267362262941</c:v>
                </c:pt>
                <c:pt idx="174">
                  <c:v>39.139744322495801</c:v>
                </c:pt>
                <c:pt idx="175">
                  <c:v>36.676630726450156</c:v>
                </c:pt>
                <c:pt idx="176">
                  <c:v>34.109198132975536</c:v>
                </c:pt>
                <c:pt idx="177">
                  <c:v>31.437755981694181</c:v>
                </c:pt>
                <c:pt idx="178">
                  <c:v>28.663847147611648</c:v>
                </c:pt>
                <c:pt idx="179">
                  <c:v>25.790438457412478</c:v>
                </c:pt>
                <c:pt idx="180">
                  <c:v>22.82209177091454</c:v>
                </c:pt>
                <c:pt idx="181">
                  <c:v>19.765098395698203</c:v>
                </c:pt>
                <c:pt idx="182">
                  <c:v>16.627558048615896</c:v>
                </c:pt>
                <c:pt idx="183">
                  <c:v>13.419384092151347</c:v>
                </c:pt>
                <c:pt idx="184">
                  <c:v>10.152220012889501</c:v>
                </c:pt>
                <c:pt idx="185">
                  <c:v>6.8392583561486333</c:v>
                </c:pt>
                <c:pt idx="186">
                  <c:v>3.4949622657568966</c:v>
                </c:pt>
                <c:pt idx="187">
                  <c:v>0.13470036467151658</c:v>
                </c:pt>
                <c:pt idx="188">
                  <c:v>-3.2256837118904969</c:v>
                </c:pt>
                <c:pt idx="189">
                  <c:v>-6.570337214616643</c:v>
                </c:pt>
                <c:pt idx="190">
                  <c:v>-9.8838648201509614</c:v>
                </c:pt>
                <c:pt idx="191">
                  <c:v>-13.151760933291683</c:v>
                </c:pt>
                <c:pt idx="192">
                  <c:v>-16.360777583927216</c:v>
                </c:pt>
                <c:pt idx="193">
                  <c:v>-19.499206248204104</c:v>
                </c:pt>
                <c:pt idx="194">
                  <c:v>-22.557062462351411</c:v>
                </c:pt>
                <c:pt idx="195">
                  <c:v>-25.526172715829176</c:v>
                </c:pt>
                <c:pt idx="196">
                  <c:v>-28.40017212752241</c:v>
                </c:pt>
                <c:pt idx="197">
                  <c:v>-31.174427762544468</c:v>
                </c:pt>
                <c:pt idx="198">
                  <c:v>-33.84590579339843</c:v>
                </c:pt>
                <c:pt idx="199">
                  <c:v>-36.413001312090501</c:v>
                </c:pt>
                <c:pt idx="200">
                  <c:v>-38.875348106535142</c:v>
                </c:pt>
              </c:numCache>
            </c:numRef>
          </c:yVal>
          <c:smooth val="1"/>
        </c:ser>
        <c:ser>
          <c:idx val="4"/>
          <c:order val="2"/>
          <c:tx>
            <c:v> Tv(s) Phase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Compensation!$AD$64:$AD$264</c:f>
              <c:numCache>
                <c:formatCode>General</c:formatCode>
                <c:ptCount val="201"/>
                <c:pt idx="0">
                  <c:v>179.84054622007449</c:v>
                </c:pt>
                <c:pt idx="1">
                  <c:v>179.83303078687965</c:v>
                </c:pt>
                <c:pt idx="2">
                  <c:v>179.82516107213834</c:v>
                </c:pt>
                <c:pt idx="3">
                  <c:v>179.81692036572701</c:v>
                </c:pt>
                <c:pt idx="4">
                  <c:v>179.80829116802016</c:v>
                </c:pt>
                <c:pt idx="5">
                  <c:v>179.79925515238932</c:v>
                </c:pt>
                <c:pt idx="6">
                  <c:v>179.7897931258909</c:v>
                </c:pt>
                <c:pt idx="7">
                  <c:v>179.77988498805158</c:v>
                </c:pt>
                <c:pt idx="8">
                  <c:v>179.76950968765394</c:v>
                </c:pt>
                <c:pt idx="9">
                  <c:v>179.75864517741979</c:v>
                </c:pt>
                <c:pt idx="10">
                  <c:v>179.74726836648219</c:v>
                </c:pt>
                <c:pt idx="11">
                  <c:v>179.73535507053063</c:v>
                </c:pt>
                <c:pt idx="12">
                  <c:v>179.72287995950728</c:v>
                </c:pt>
                <c:pt idx="13">
                  <c:v>179.70981650272367</c:v>
                </c:pt>
                <c:pt idx="14">
                  <c:v>179.69613691125934</c:v>
                </c:pt>
                <c:pt idx="15">
                  <c:v>179.68181207749518</c:v>
                </c:pt>
                <c:pt idx="16">
                  <c:v>179.66681151162354</c:v>
                </c:pt>
                <c:pt idx="17">
                  <c:v>179.6511032749672</c:v>
                </c:pt>
                <c:pt idx="18">
                  <c:v>179.63465390992729</c:v>
                </c:pt>
                <c:pt idx="19">
                  <c:v>179.61742836636722</c:v>
                </c:pt>
                <c:pt idx="20">
                  <c:v>179.59938992422539</c:v>
                </c:pt>
                <c:pt idx="21">
                  <c:v>179.58050011213481</c:v>
                </c:pt>
                <c:pt idx="22">
                  <c:v>179.56071862180929</c:v>
                </c:pt>
                <c:pt idx="23">
                  <c:v>179.54000321793777</c:v>
                </c:pt>
                <c:pt idx="24">
                  <c:v>179.51830964330716</c:v>
                </c:pt>
                <c:pt idx="25">
                  <c:v>179.49559151885074</c:v>
                </c:pt>
                <c:pt idx="26">
                  <c:v>179.4718002382927</c:v>
                </c:pt>
                <c:pt idx="27">
                  <c:v>179.4468848570317</c:v>
                </c:pt>
                <c:pt idx="28">
                  <c:v>179.42079197487246</c:v>
                </c:pt>
                <c:pt idx="29">
                  <c:v>179.39346561217948</c:v>
                </c:pt>
                <c:pt idx="30">
                  <c:v>179.36484707898609</c:v>
                </c:pt>
                <c:pt idx="31">
                  <c:v>179.33487483654585</c:v>
                </c:pt>
                <c:pt idx="32">
                  <c:v>179.30348435076328</c:v>
                </c:pt>
                <c:pt idx="33">
                  <c:v>179.27060793688196</c:v>
                </c:pt>
                <c:pt idx="34">
                  <c:v>179.2361745947434</c:v>
                </c:pt>
                <c:pt idx="35">
                  <c:v>179.20010983385629</c:v>
                </c:pt>
                <c:pt idx="36">
                  <c:v>179.16233548743196</c:v>
                </c:pt>
                <c:pt idx="37">
                  <c:v>179.12276951444676</c:v>
                </c:pt>
                <c:pt idx="38">
                  <c:v>179.08132578868498</c:v>
                </c:pt>
                <c:pt idx="39">
                  <c:v>179.03791387359229</c:v>
                </c:pt>
                <c:pt idx="40">
                  <c:v>178.99243878163065</c:v>
                </c:pt>
                <c:pt idx="41">
                  <c:v>178.94480071666561</c:v>
                </c:pt>
                <c:pt idx="42">
                  <c:v>178.89489479773425</c:v>
                </c:pt>
                <c:pt idx="43">
                  <c:v>178.84261076233398</c:v>
                </c:pt>
                <c:pt idx="44">
                  <c:v>178.78783264713266</c:v>
                </c:pt>
                <c:pt idx="45">
                  <c:v>178.73043844372552</c:v>
                </c:pt>
                <c:pt idx="46">
                  <c:v>178.67029972674999</c:v>
                </c:pt>
                <c:pt idx="47">
                  <c:v>178.60728125130547</c:v>
                </c:pt>
                <c:pt idx="48">
                  <c:v>178.54124051620678</c:v>
                </c:pt>
                <c:pt idx="49">
                  <c:v>178.47202728911824</c:v>
                </c:pt>
                <c:pt idx="50">
                  <c:v>178.39948308905576</c:v>
                </c:pt>
                <c:pt idx="51">
                  <c:v>178.32344062110019</c:v>
                </c:pt>
                <c:pt idx="52">
                  <c:v>178.24372315741556</c:v>
                </c:pt>
                <c:pt idx="53">
                  <c:v>178.16014385779741</c:v>
                </c:pt>
                <c:pt idx="54">
                  <c:v>178.07250502196507</c:v>
                </c:pt>
                <c:pt idx="55">
                  <c:v>177.98059726463501</c:v>
                </c:pt>
                <c:pt idx="56">
                  <c:v>177.88419860303725</c:v>
                </c:pt>
                <c:pt idx="57">
                  <c:v>177.78307344492978</c:v>
                </c:pt>
                <c:pt idx="58">
                  <c:v>177.67697146328251</c:v>
                </c:pt>
                <c:pt idx="59">
                  <c:v>177.56562634158965</c:v>
                </c:pt>
                <c:pt idx="60">
                  <c:v>177.44875437116761</c:v>
                </c:pt>
                <c:pt idx="61">
                  <c:v>177.32605287872079</c:v>
                </c:pt>
                <c:pt idx="62">
                  <c:v>177.19719845882759</c:v>
                </c:pt>
                <c:pt idx="63">
                  <c:v>177.06184498168702</c:v>
                </c:pt>
                <c:pt idx="64">
                  <c:v>176.91962134134349</c:v>
                </c:pt>
                <c:pt idx="65">
                  <c:v>176.77012890349164</c:v>
                </c:pt>
                <c:pt idx="66">
                  <c:v>176.61293860465099</c:v>
                </c:pt>
                <c:pt idx="67">
                  <c:v>176.44758764571469</c:v>
                </c:pt>
                <c:pt idx="68">
                  <c:v>176.27357571229916</c:v>
                </c:pt>
                <c:pt idx="69">
                  <c:v>176.09036064152863</c:v>
                </c:pt>
                <c:pt idx="70">
                  <c:v>175.89735343936167</c:v>
                </c:pt>
                <c:pt idx="71">
                  <c:v>175.69391253364904</c:v>
                </c:pt>
                <c:pt idx="72">
                  <c:v>175.47933712495578</c:v>
                </c:pt>
                <c:pt idx="73">
                  <c:v>175.25285946872683</c:v>
                </c:pt>
                <c:pt idx="74">
                  <c:v>175.01363588723245</c:v>
                </c:pt>
                <c:pt idx="75">
                  <c:v>174.76073626613433</c:v>
                </c:pt>
                <c:pt idx="76">
                  <c:v>174.49313173614374</c:v>
                </c:pt>
                <c:pt idx="77">
                  <c:v>174.20968017209688</c:v>
                </c:pt>
                <c:pt idx="78">
                  <c:v>173.90910905587683</c:v>
                </c:pt>
                <c:pt idx="79">
                  <c:v>173.58999514073281</c:v>
                </c:pt>
                <c:pt idx="80">
                  <c:v>173.25074021571854</c:v>
                </c:pt>
                <c:pt idx="81">
                  <c:v>172.88954209085242</c:v>
                </c:pt>
                <c:pt idx="82">
                  <c:v>172.50435969360709</c:v>
                </c:pt>
                <c:pt idx="83">
                  <c:v>172.09287086837344</c:v>
                </c:pt>
                <c:pt idx="84">
                  <c:v>171.65242107924033</c:v>
                </c:pt>
                <c:pt idx="85">
                  <c:v>171.17996070059212</c:v>
                </c:pt>
                <c:pt idx="86">
                  <c:v>170.67196789498647</c:v>
                </c:pt>
                <c:pt idx="87">
                  <c:v>170.12435316112072</c:v>
                </c:pt>
                <c:pt idx="88">
                  <c:v>169.53234039859996</c:v>
                </c:pt>
                <c:pt idx="89">
                  <c:v>168.89031765625563</c:v>
                </c:pt>
                <c:pt idx="90">
                  <c:v>168.19164842965799</c:v>
                </c:pt>
                <c:pt idx="91">
                  <c:v>167.42843119737483</c:v>
                </c:pt>
                <c:pt idx="92">
                  <c:v>166.59119047006365</c:v>
                </c:pt>
                <c:pt idx="93">
                  <c:v>165.66847644868301</c:v>
                </c:pt>
                <c:pt idx="94">
                  <c:v>164.64634170189433</c:v>
                </c:pt>
                <c:pt idx="95">
                  <c:v>163.50765102965789</c:v>
                </c:pt>
                <c:pt idx="96">
                  <c:v>162.23116345472801</c:v>
                </c:pt>
                <c:pt idx="97">
                  <c:v>160.79030127174329</c:v>
                </c:pt>
                <c:pt idx="98">
                  <c:v>159.15148837340547</c:v>
                </c:pt>
                <c:pt idx="99">
                  <c:v>157.27189774280933</c:v>
                </c:pt>
                <c:pt idx="100">
                  <c:v>155.09639948021865</c:v>
                </c:pt>
                <c:pt idx="101">
                  <c:v>152.55346308761446</c:v>
                </c:pt>
                <c:pt idx="102">
                  <c:v>149.54979578878195</c:v>
                </c:pt>
                <c:pt idx="103">
                  <c:v>145.96374420079837</c:v>
                </c:pt>
                <c:pt idx="104">
                  <c:v>141.63833160163367</c:v>
                </c:pt>
                <c:pt idx="105">
                  <c:v>136.37710644153654</c:v>
                </c:pt>
                <c:pt idx="106">
                  <c:v>129.95129580253564</c:v>
                </c:pt>
                <c:pt idx="107">
                  <c:v>122.1363981794081</c:v>
                </c:pt>
                <c:pt idx="108">
                  <c:v>112.80525509299322</c:v>
                </c:pt>
                <c:pt idx="109">
                  <c:v>102.08602865452181</c:v>
                </c:pt>
                <c:pt idx="110">
                  <c:v>90.503456077189654</c:v>
                </c:pt>
                <c:pt idx="111">
                  <c:v>78.915831027613009</c:v>
                </c:pt>
                <c:pt idx="112">
                  <c:v>68.183990413259579</c:v>
                </c:pt>
                <c:pt idx="113">
                  <c:v>58.838000536642554</c:v>
                </c:pt>
                <c:pt idx="114">
                  <c:v>51.01044633117516</c:v>
                </c:pt>
                <c:pt idx="115">
                  <c:v>44.576352716751984</c:v>
                </c:pt>
                <c:pt idx="116">
                  <c:v>39.311746157758591</c:v>
                </c:pt>
                <c:pt idx="117">
                  <c:v>34.987607661867344</c:v>
                </c:pt>
                <c:pt idx="118">
                  <c:v>31.407011788493691</c:v>
                </c:pt>
                <c:pt idx="119">
                  <c:v>28.412518456809636</c:v>
                </c:pt>
                <c:pt idx="120">
                  <c:v>25.88209700119836</c:v>
                </c:pt>
                <c:pt idx="121">
                  <c:v>23.722172121949797</c:v>
                </c:pt>
                <c:pt idx="122">
                  <c:v>21.861012554290568</c:v>
                </c:pt>
                <c:pt idx="123">
                  <c:v>20.243352484306342</c:v>
                </c:pt>
                <c:pt idx="124">
                  <c:v>18.826278880769991</c:v>
                </c:pt>
                <c:pt idx="125">
                  <c:v>17.576167802440949</c:v>
                </c:pt>
                <c:pt idx="126">
                  <c:v>16.466423163067731</c:v>
                </c:pt>
                <c:pt idx="127">
                  <c:v>15.475808708163555</c:v>
                </c:pt>
                <c:pt idx="128">
                  <c:v>14.587212492766781</c:v>
                </c:pt>
                <c:pt idx="129">
                  <c:v>13.786725596669328</c:v>
                </c:pt>
                <c:pt idx="130">
                  <c:v>13.0629496458115</c:v>
                </c:pt>
                <c:pt idx="131">
                  <c:v>12.406471820584329</c:v>
                </c:pt>
                <c:pt idx="132">
                  <c:v>11.809463332121936</c:v>
                </c:pt>
                <c:pt idx="133">
                  <c:v>11.265369644834749</c:v>
                </c:pt>
                <c:pt idx="134">
                  <c:v>10.768669447968222</c:v>
                </c:pt>
                <c:pt idx="135">
                  <c:v>10.314685583704602</c:v>
                </c:pt>
                <c:pt idx="136">
                  <c:v>9.8994355737249577</c:v>
                </c:pt>
                <c:pt idx="137">
                  <c:v>9.5195125755599292</c:v>
                </c:pt>
                <c:pt idx="138">
                  <c:v>9.1719899106115577</c:v>
                </c:pt>
                <c:pt idx="139">
                  <c:v>8.8543439923949734</c:v>
                </c:pt>
                <c:pt idx="140">
                  <c:v>8.5643917244705108</c:v>
                </c:pt>
                <c:pt idx="141">
                  <c:v>8.3002393576514919</c:v>
                </c:pt>
                <c:pt idx="142">
                  <c:v>8.0602404836390633</c:v>
                </c:pt>
                <c:pt idx="143">
                  <c:v>7.8429613599058712</c:v>
                </c:pt>
                <c:pt idx="144">
                  <c:v>7.6471521533030398</c:v>
                </c:pt>
                <c:pt idx="145">
                  <c:v>7.4717229898120081</c:v>
                </c:pt>
                <c:pt idx="146">
                  <c:v>7.3157239285794162</c:v>
                </c:pt>
                <c:pt idx="147">
                  <c:v>7.1783281570136808</c:v>
                </c:pt>
                <c:pt idx="148">
                  <c:v>7.0588178429237303</c:v>
                </c:pt>
                <c:pt idx="149">
                  <c:v>6.956572188814647</c:v>
                </c:pt>
                <c:pt idx="150">
                  <c:v>6.8710573195065479</c:v>
                </c:pt>
                <c:pt idx="151">
                  <c:v>6.8018177024795534</c:v>
                </c:pt>
                <c:pt idx="152">
                  <c:v>6.7484688547299641</c:v>
                </c:pt>
                <c:pt idx="153">
                  <c:v>6.7106911334826123</c:v>
                </c:pt>
                <c:pt idx="154">
                  <c:v>6.6882244431496929</c:v>
                </c:pt>
                <c:pt idx="155">
                  <c:v>6.68086371923863</c:v>
                </c:pt>
                <c:pt idx="156">
                  <c:v>6.6884550728677254</c:v>
                </c:pt>
                <c:pt idx="157">
                  <c:v>6.7108924982186409</c:v>
                </c:pt>
                <c:pt idx="158">
                  <c:v>6.7481150604738218</c:v>
                </c:pt>
                <c:pt idx="159">
                  <c:v>6.8001044942134286</c:v>
                </c:pt>
                <c:pt idx="160">
                  <c:v>6.8668831523969232</c:v>
                </c:pt>
                <c:pt idx="161">
                  <c:v>6.948512254331348</c:v>
                </c:pt>
                <c:pt idx="162">
                  <c:v>7.0450903877635938</c:v>
                </c:pt>
                <c:pt idx="163">
                  <c:v>7.1567522256857501</c:v>
                </c:pt>
                <c:pt idx="164">
                  <c:v>7.2836674227937408</c:v>
                </c:pt>
                <c:pt idx="165">
                  <c:v>7.4260396599976559</c:v>
                </c:pt>
                <c:pt idx="166">
                  <c:v>7.5841058080197286</c:v>
                </c:pt>
                <c:pt idx="167">
                  <c:v>7.7581351830912411</c:v>
                </c:pt>
                <c:pt idx="168">
                  <c:v>7.9484288691145366</c:v>
                </c:pt>
                <c:pt idx="169">
                  <c:v>8.1553190814819629</c:v>
                </c:pt>
                <c:pt idx="170">
                  <c:v>8.3791685480772742</c:v>
                </c:pt>
                <c:pt idx="171">
                  <c:v>8.6203698828817892</c:v>
                </c:pt>
                <c:pt idx="172">
                  <c:v>8.8793449270926033</c:v>
                </c:pt>
                <c:pt idx="173">
                  <c:v>9.1565440317731372</c:v>
                </c:pt>
                <c:pt idx="174">
                  <c:v>9.4524452548199349</c:v>
                </c:pt>
                <c:pt idx="175">
                  <c:v>9.7675534434791871</c:v>
                </c:pt>
                <c:pt idx="176">
                  <c:v>10.102399171806695</c:v>
                </c:pt>
                <c:pt idx="177">
                  <c:v>10.457537500380056</c:v>
                </c:pt>
                <c:pt idx="178">
                  <c:v>10.83354652328623</c:v>
                </c:pt>
                <c:pt idx="179">
                  <c:v>11.231025664975846</c:v>
                </c:pt>
                <c:pt idx="180">
                  <c:v>11.65059368707648</c:v>
                </c:pt>
                <c:pt idx="181">
                  <c:v>12.092886362781286</c:v>
                </c:pt>
                <c:pt idx="182">
                  <c:v>12.558553774095259</c:v>
                </c:pt>
                <c:pt idx="183">
                  <c:v>13.048257185170939</c:v>
                </c:pt>
                <c:pt idx="184">
                  <c:v>13.562665443385185</c:v>
                </c:pt>
                <c:pt idx="185">
                  <c:v>14.102450858903779</c:v>
                </c:pt>
                <c:pt idx="186">
                  <c:v>14.668284513512646</c:v>
                </c:pt>
                <c:pt idx="187">
                  <c:v>15.260830950766433</c:v>
                </c:pt>
                <c:pt idx="188">
                  <c:v>15.88074220233986</c:v>
                </c:pt>
                <c:pt idx="189">
                  <c:v>16.528651110277082</c:v>
                </c:pt>
                <c:pt idx="190">
                  <c:v>17.205163911993054</c:v>
                </c:pt>
                <c:pt idx="191">
                  <c:v>17.910852064865736</c:v>
                </c:pt>
                <c:pt idx="192">
                  <c:v>18.646243300474879</c:v>
                </c:pt>
                <c:pt idx="193">
                  <c:v>19.411811915422305</c:v>
                </c:pt>
                <c:pt idx="194">
                  <c:v>20.207968326562224</c:v>
                </c:pt>
                <c:pt idx="195">
                  <c:v>21.035047943623454</c:v>
                </c:pt>
                <c:pt idx="196">
                  <c:v>21.89329944170899</c:v>
                </c:pt>
                <c:pt idx="197">
                  <c:v>22.782872549876174</c:v>
                </c:pt>
                <c:pt idx="198">
                  <c:v>23.70380550951117</c:v>
                </c:pt>
                <c:pt idx="199">
                  <c:v>24.656012396708661</c:v>
                </c:pt>
                <c:pt idx="200">
                  <c:v>25.639270545153636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11744"/>
        <c:axId val="358513664"/>
      </c:scatterChart>
      <c:valAx>
        <c:axId val="358511744"/>
        <c:scaling>
          <c:logBase val="10"/>
          <c:orientation val="minMax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513664"/>
        <c:crosses val="autoZero"/>
        <c:crossBetween val="midCat"/>
      </c:valAx>
      <c:valAx>
        <c:axId val="35851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(°)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511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12064668387044"/>
          <c:y val="3.9325913587724616E-2"/>
          <c:w val="0.24407878426961335"/>
          <c:h val="0.15168534221683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08719137916309E-2"/>
          <c:y val="7.2829330875051626E-2"/>
          <c:w val="0.86468786208207971"/>
          <c:h val="0.85714520183714615"/>
        </c:manualLayout>
      </c:layout>
      <c:scatterChart>
        <c:scatterStyle val="smoothMarker"/>
        <c:varyColors val="0"/>
        <c:ser>
          <c:idx val="3"/>
          <c:order val="0"/>
          <c:tx>
            <c:v> T(s) Phase w/o Comp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Compensation!$AH$64:$AH$264</c:f>
              <c:numCache>
                <c:formatCode>General</c:formatCode>
                <c:ptCount val="201"/>
                <c:pt idx="0">
                  <c:v>179.43085330796117</c:v>
                </c:pt>
                <c:pt idx="1">
                  <c:v>179.40403133524271</c:v>
                </c:pt>
                <c:pt idx="2">
                  <c:v>179.37594544255739</c:v>
                </c:pt>
                <c:pt idx="3">
                  <c:v>179.34653608699259</c:v>
                </c:pt>
                <c:pt idx="4">
                  <c:v>179.31574092298999</c:v>
                </c:pt>
                <c:pt idx="5">
                  <c:v>179.28349467078323</c:v>
                </c:pt>
                <c:pt idx="6">
                  <c:v>179.24972897871223</c:v>
                </c:pt>
                <c:pt idx="7">
                  <c:v>179.21437227913771</c:v>
                </c:pt>
                <c:pt idx="8">
                  <c:v>179.17734963766654</c:v>
                </c:pt>
                <c:pt idx="9">
                  <c:v>179.13858259538878</c:v>
                </c:pt>
                <c:pt idx="10">
                  <c:v>179.09798900381358</c:v>
                </c:pt>
                <c:pt idx="11">
                  <c:v>179.05548285217989</c:v>
                </c:pt>
                <c:pt idx="12">
                  <c:v>179.01097408680582</c:v>
                </c:pt>
                <c:pt idx="13">
                  <c:v>178.96436842212688</c:v>
                </c:pt>
                <c:pt idx="14">
                  <c:v>178.91556714306228</c:v>
                </c:pt>
                <c:pt idx="15">
                  <c:v>178.8644668983342</c:v>
                </c:pt>
                <c:pt idx="16">
                  <c:v>178.81095948435402</c:v>
                </c:pt>
                <c:pt idx="17">
                  <c:v>178.75493161927562</c:v>
                </c:pt>
                <c:pt idx="18">
                  <c:v>178.69626470680501</c:v>
                </c:pt>
                <c:pt idx="19">
                  <c:v>178.63483458934269</c:v>
                </c:pt>
                <c:pt idx="20">
                  <c:v>178.57051129002522</c:v>
                </c:pt>
                <c:pt idx="21">
                  <c:v>178.50315874322106</c:v>
                </c:pt>
                <c:pt idx="22">
                  <c:v>178.43263451302653</c:v>
                </c:pt>
                <c:pt idx="23">
                  <c:v>178.35878949930083</c:v>
                </c:pt>
                <c:pt idx="24">
                  <c:v>178.28146763077046</c:v>
                </c:pt>
                <c:pt idx="25">
                  <c:v>178.20050554473056</c:v>
                </c:pt>
                <c:pt idx="26">
                  <c:v>178.1157322528671</c:v>
                </c:pt>
                <c:pt idx="27">
                  <c:v>178.02696879272565</c:v>
                </c:pt>
                <c:pt idx="28">
                  <c:v>177.93402786435425</c:v>
                </c:pt>
                <c:pt idx="29">
                  <c:v>177.83671345165845</c:v>
                </c:pt>
                <c:pt idx="30">
                  <c:v>177.73482042801658</c:v>
                </c:pt>
                <c:pt idx="31">
                  <c:v>177.6281341457227</c:v>
                </c:pt>
                <c:pt idx="32">
                  <c:v>177.5164300088494</c:v>
                </c:pt>
                <c:pt idx="33">
                  <c:v>177.39947302915468</c:v>
                </c:pt>
                <c:pt idx="34">
                  <c:v>177.27701736469731</c:v>
                </c:pt>
                <c:pt idx="35">
                  <c:v>177.14880584087874</c:v>
                </c:pt>
                <c:pt idx="36">
                  <c:v>177.01456945369108</c:v>
                </c:pt>
                <c:pt idx="37">
                  <c:v>176.87402685502929</c:v>
                </c:pt>
                <c:pt idx="38">
                  <c:v>176.72688382001888</c:v>
                </c:pt>
                <c:pt idx="39">
                  <c:v>176.57283269642255</c:v>
                </c:pt>
                <c:pt idx="40">
                  <c:v>176.41155183632205</c:v>
                </c:pt>
                <c:pt idx="41">
                  <c:v>176.24270501042952</c:v>
                </c:pt>
                <c:pt idx="42">
                  <c:v>176.0659408055686</c:v>
                </c:pt>
                <c:pt idx="43">
                  <c:v>175.88089200608141</c:v>
                </c:pt>
                <c:pt idx="44">
                  <c:v>175.68717496017268</c:v>
                </c:pt>
                <c:pt idx="45">
                  <c:v>175.48438893249769</c:v>
                </c:pt>
                <c:pt idx="46">
                  <c:v>175.27211544464015</c:v>
                </c:pt>
                <c:pt idx="47">
                  <c:v>175.04991760552423</c:v>
                </c:pt>
                <c:pt idx="48">
                  <c:v>174.81733943425778</c:v>
                </c:pt>
                <c:pt idx="49">
                  <c:v>174.57390517842592</c:v>
                </c:pt>
                <c:pt idx="50">
                  <c:v>174.31911863145334</c:v>
                </c:pt>
                <c:pt idx="51">
                  <c:v>174.05246245333382</c:v>
                </c:pt>
                <c:pt idx="52">
                  <c:v>173.77339749980362</c:v>
                </c:pt>
                <c:pt idx="53">
                  <c:v>173.48136216591433</c:v>
                </c:pt>
                <c:pt idx="54">
                  <c:v>173.17577175095684</c:v>
                </c:pt>
                <c:pt idx="55">
                  <c:v>172.85601785280937</c:v>
                </c:pt>
                <c:pt idx="56">
                  <c:v>172.52146780104178</c:v>
                </c:pt>
                <c:pt idx="57">
                  <c:v>172.17146413951554</c:v>
                </c:pt>
                <c:pt idx="58">
                  <c:v>171.80532417078507</c:v>
                </c:pt>
                <c:pt idx="59">
                  <c:v>171.42233957634267</c:v>
                </c:pt>
                <c:pt idx="60">
                  <c:v>171.02177612866194</c:v>
                </c:pt>
                <c:pt idx="61">
                  <c:v>170.60287351308509</c:v>
                </c:pt>
                <c:pt idx="62">
                  <c:v>170.16484527988231</c:v>
                </c:pt>
                <c:pt idx="63">
                  <c:v>169.70687894926084</c:v>
                </c:pt>
                <c:pt idx="64">
                  <c:v>169.22813629473046</c:v>
                </c:pt>
                <c:pt idx="65">
                  <c:v>168.72775383300115</c:v>
                </c:pt>
                <c:pt idx="66">
                  <c:v>168.20484355147855</c:v>
                </c:pt>
                <c:pt idx="67">
                  <c:v>167.65849390738163</c:v>
                </c:pt>
                <c:pt idx="68">
                  <c:v>167.08777113547163</c:v>
                </c:pt>
                <c:pt idx="69">
                  <c:v>166.49172090427265</c:v>
                </c:pt>
                <c:pt idx="70">
                  <c:v>165.86937036335843</c:v>
                </c:pt>
                <c:pt idx="71">
                  <c:v>165.21973062665475</c:v>
                </c:pt>
                <c:pt idx="72">
                  <c:v>164.54179973856816</c:v>
                </c:pt>
                <c:pt idx="73">
                  <c:v>163.83456617090906</c:v>
                </c:pt>
                <c:pt idx="74">
                  <c:v>163.09701289875593</c:v>
                </c:pt>
                <c:pt idx="75">
                  <c:v>162.32812210232996</c:v>
                </c:pt>
                <c:pt idx="76">
                  <c:v>161.52688053926039</c:v>
                </c:pt>
                <c:pt idx="77">
                  <c:v>160.69228562696335</c:v>
                </c:pt>
                <c:pt idx="78">
                  <c:v>159.82335226779171</c:v>
                </c:pt>
                <c:pt idx="79">
                  <c:v>158.91912043974347</c:v>
                </c:pt>
                <c:pt idx="80">
                  <c:v>157.9786635623779</c:v>
                </c:pt>
                <c:pt idx="81">
                  <c:v>157.00109763081633</c:v>
                </c:pt>
                <c:pt idx="82">
                  <c:v>155.9855910899206</c:v>
                </c:pt>
                <c:pt idx="83">
                  <c:v>154.93137539575773</c:v>
                </c:pt>
                <c:pt idx="84">
                  <c:v>153.83775618218678</c:v>
                </c:pt>
                <c:pt idx="85">
                  <c:v>152.70412491703118</c:v>
                </c:pt>
                <c:pt idx="86">
                  <c:v>151.52997089528751</c:v>
                </c:pt>
                <c:pt idx="87">
                  <c:v>150.31489337702365</c:v>
                </c:pt>
                <c:pt idx="88">
                  <c:v>149.05861363629509</c:v>
                </c:pt>
                <c:pt idx="89">
                  <c:v>147.7609866463136</c:v>
                </c:pt>
                <c:pt idx="90">
                  <c:v>146.42201208748222</c:v>
                </c:pt>
                <c:pt idx="91">
                  <c:v>145.04184433142888</c:v>
                </c:pt>
                <c:pt idx="92">
                  <c:v>143.62080102896539</c:v>
                </c:pt>
                <c:pt idx="93">
                  <c:v>142.15936991619589</c:v>
                </c:pt>
                <c:pt idx="94">
                  <c:v>140.65821345417771</c:v>
                </c:pt>
                <c:pt idx="95">
                  <c:v>139.11817093658851</c:v>
                </c:pt>
                <c:pt idx="96">
                  <c:v>137.54025773920441</c:v>
                </c:pt>
                <c:pt idx="97">
                  <c:v>135.92566144607329</c:v>
                </c:pt>
                <c:pt idx="98">
                  <c:v>134.27573467018695</c:v>
                </c:pt>
                <c:pt idx="99">
                  <c:v>132.59198448966131</c:v>
                </c:pt>
                <c:pt idx="100">
                  <c:v>130.87605854067826</c:v>
                </c:pt>
                <c:pt idx="101">
                  <c:v>129.12972794056932</c:v>
                </c:pt>
                <c:pt idx="102">
                  <c:v>127.35486735179975</c:v>
                </c:pt>
                <c:pt idx="103">
                  <c:v>125.5534326323093</c:v>
                </c:pt>
                <c:pt idx="104">
                  <c:v>123.7274366412759</c:v>
                </c:pt>
                <c:pt idx="105">
                  <c:v>121.87892387346884</c:v>
                </c:pt>
                <c:pt idx="106">
                  <c:v>120.00994467262819</c:v>
                </c:pt>
                <c:pt idx="107">
                  <c:v>118.12252981884225</c:v>
                </c:pt>
                <c:pt idx="108">
                  <c:v>116.21866629328507</c:v>
                </c:pt>
                <c:pt idx="109">
                  <c:v>114.30027499485848</c:v>
                </c:pt>
                <c:pt idx="110">
                  <c:v>112.3691911190364</c:v>
                </c:pt>
                <c:pt idx="111">
                  <c:v>110.42714781366708</c:v>
                </c:pt>
                <c:pt idx="112">
                  <c:v>108.47576360573721</c:v>
                </c:pt>
                <c:pt idx="113">
                  <c:v>106.51653395459307</c:v>
                </c:pt>
                <c:pt idx="114">
                  <c:v>104.55082713873557</c:v>
                </c:pt>
                <c:pt idx="115">
                  <c:v>102.57988453284513</c:v>
                </c:pt>
                <c:pt idx="116">
                  <c:v>100.60482518601171</c:v>
                </c:pt>
                <c:pt idx="117">
                  <c:v>98.626654476915505</c:v>
                </c:pt>
                <c:pt idx="118">
                  <c:v>96.646276500933922</c:v>
                </c:pt>
                <c:pt idx="119">
                  <c:v>94.66450974047352</c:v>
                </c:pt>
                <c:pt idx="120">
                  <c:v>92.682105484277912</c:v>
                </c:pt>
                <c:pt idx="121">
                  <c:v>90.699768394187274</c:v>
                </c:pt>
                <c:pt idx="122">
                  <c:v>88.718178568088462</c:v>
                </c:pt>
                <c:pt idx="123">
                  <c:v>86.738014414696778</c:v>
                </c:pt>
                <c:pt idx="124">
                  <c:v>84.759975638403816</c:v>
                </c:pt>
                <c:pt idx="125">
                  <c:v>82.784805630173452</c:v>
                </c:pt>
                <c:pt idx="126">
                  <c:v>80.813312573256795</c:v>
                </c:pt>
                <c:pt idx="127">
                  <c:v>78.84638860078887</c:v>
                </c:pt>
                <c:pt idx="128">
                  <c:v>76.885026386938335</c:v>
                </c:pt>
                <c:pt idx="129">
                  <c:v>74.930332615189997</c:v>
                </c:pt>
                <c:pt idx="130">
                  <c:v>72.983537847320704</c:v>
                </c:pt>
                <c:pt idx="131">
                  <c:v>71.046002414931266</c:v>
                </c:pt>
                <c:pt idx="132">
                  <c:v>69.119218071184463</c:v>
                </c:pt>
                <c:pt idx="133">
                  <c:v>67.204805271634669</c:v>
                </c:pt>
                <c:pt idx="134">
                  <c:v>65.304506096089412</c:v>
                </c:pt>
                <c:pt idx="135">
                  <c:v>63.420172973132935</c:v>
                </c:pt>
                <c:pt idx="136">
                  <c:v>61.553753518729437</c:v>
                </c:pt>
                <c:pt idx="137">
                  <c:v>59.707271942657272</c:v>
                </c:pt>
                <c:pt idx="138">
                  <c:v>57.88280760344567</c:v>
                </c:pt>
                <c:pt idx="139">
                  <c:v>56.082471396332025</c:v>
                </c:pt>
                <c:pt idx="140">
                  <c:v>54.308380733000462</c:v>
                </c:pt>
                <c:pt idx="141">
                  <c:v>52.56263391162409</c:v>
                </c:pt>
                <c:pt idx="142">
                  <c:v>50.847284678598697</c:v>
                </c:pt>
                <c:pt idx="143">
                  <c:v>49.164317749419723</c:v>
                </c:pt>
                <c:pt idx="144">
                  <c:v>47.515625988236621</c:v>
                </c:pt>
                <c:pt idx="145">
                  <c:v>45.902989848822813</c:v>
                </c:pt>
                <c:pt idx="146">
                  <c:v>44.328059561105533</c:v>
                </c:pt>
                <c:pt idx="147">
                  <c:v>42.792340415056543</c:v>
                </c:pt>
                <c:pt idx="148">
                  <c:v>41.297181356243726</c:v>
                </c:pt>
                <c:pt idx="149">
                  <c:v>39.84376697277213</c:v>
                </c:pt>
                <c:pt idx="150">
                  <c:v>38.433112828789177</c:v>
                </c:pt>
                <c:pt idx="151">
                  <c:v>37.066063990828241</c:v>
                </c:pt>
                <c:pt idx="152">
                  <c:v>35.743296503841208</c:v>
                </c:pt>
                <c:pt idx="153">
                  <c:v>34.46532150586998</c:v>
                </c:pt>
                <c:pt idx="154">
                  <c:v>33.232491624310114</c:v>
                </c:pt>
                <c:pt idx="155">
                  <c:v>32.045009271529523</c:v>
                </c:pt>
                <c:pt idx="156">
                  <c:v>30.902936451077807</c:v>
                </c:pt>
                <c:pt idx="157">
                  <c:v>29.806205694988961</c:v>
                </c:pt>
                <c:pt idx="158">
                  <c:v>28.754631774417788</c:v>
                </c:pt>
                <c:pt idx="159">
                  <c:v>27.747923856806977</c:v>
                </c:pt>
                <c:pt idx="160">
                  <c:v>26.785697819699408</c:v>
                </c:pt>
                <c:pt idx="161">
                  <c:v>25.867488471433916</c:v>
                </c:pt>
                <c:pt idx="162">
                  <c:v>24.992761469843259</c:v>
                </c:pt>
                <c:pt idx="163">
                  <c:v>24.160924769864891</c:v>
                </c:pt>
                <c:pt idx="164">
                  <c:v>23.371339468186846</c:v>
                </c:pt>
                <c:pt idx="165">
                  <c:v>22.623329946800879</c:v>
                </c:pt>
                <c:pt idx="166">
                  <c:v>21.916193246927492</c:v>
                </c:pt>
                <c:pt idx="167">
                  <c:v>21.24920763006412</c:v>
                </c:pt>
                <c:pt idx="168">
                  <c:v>20.621640303768146</c:v>
                </c:pt>
                <c:pt idx="169">
                  <c:v>20.032754306485771</c:v>
                </c:pt>
                <c:pt idx="170">
                  <c:v>19.481814558515424</c:v>
                </c:pt>
                <c:pt idx="171">
                  <c:v>18.968093095463047</c:v>
                </c:pt>
                <c:pt idx="172">
                  <c:v>18.490873506713996</c:v>
                </c:pt>
                <c:pt idx="173">
                  <c:v>18.049454604952672</c:v>
                </c:pt>
                <c:pt idx="174">
                  <c:v>17.643153354012242</c:v>
                </c:pt>
                <c:pt idx="175">
                  <c:v>17.27130708176017</c:v>
                </c:pt>
                <c:pt idx="176">
                  <c:v>16.93327500264445</c:v>
                </c:pt>
                <c:pt idx="177">
                  <c:v>16.628439071319264</c:v>
                </c:pt>
                <c:pt idx="178">
                  <c:v>16.356204184717882</c:v>
                </c:pt>
                <c:pt idx="179">
                  <c:v>16.115997745318793</c:v>
                </c:pt>
                <c:pt idx="180">
                  <c:v>15.907268593431553</c:v>
                </c:pt>
                <c:pt idx="181">
                  <c:v>15.729485311341477</c:v>
                </c:pt>
                <c:pt idx="182">
                  <c:v>15.582133897338537</c:v>
                </c:pt>
                <c:pt idx="183">
                  <c:v>15.464714803255816</c:v>
                </c:pt>
                <c:pt idx="184">
                  <c:v>15.376739325419521</c:v>
                </c:pt>
                <c:pt idx="185">
                  <c:v>15.317725336119622</c:v>
                </c:pt>
                <c:pt idx="186">
                  <c:v>15.287192341160818</c:v>
                </c:pt>
                <c:pt idx="187">
                  <c:v>15.284655849078121</c:v>
                </c:pt>
                <c:pt idx="188">
                  <c:v>15.309621039539678</c:v>
                </c:pt>
                <c:pt idx="189">
                  <c:v>15.361575722745386</c:v>
                </c:pt>
                <c:pt idx="190">
                  <c:v>15.439982588627032</c:v>
                </c:pt>
                <c:pt idx="191">
                  <c:v>15.544270754862055</c:v>
                </c:pt>
                <c:pt idx="192">
                  <c:v>15.673826636500706</c:v>
                </c:pt>
                <c:pt idx="193">
                  <c:v>15.827984177810578</c:v>
                </c:pt>
                <c:pt idx="194">
                  <c:v>16.006014509081098</c:v>
                </c:pt>
                <c:pt idx="195">
                  <c:v>16.207115117818063</c:v>
                </c:pt>
                <c:pt idx="196">
                  <c:v>16.430398655036839</c:v>
                </c:pt>
                <c:pt idx="197">
                  <c:v>16.674881533044726</c:v>
                </c:pt>
                <c:pt idx="198">
                  <c:v>16.939472510676325</c:v>
                </c:pt>
                <c:pt idx="199">
                  <c:v>17.222961504514814</c:v>
                </c:pt>
                <c:pt idx="200">
                  <c:v>17.524008908877676</c:v>
                </c:pt>
              </c:numCache>
            </c:numRef>
          </c:yVal>
          <c:smooth val="1"/>
        </c:ser>
        <c:ser>
          <c:idx val="0"/>
          <c:order val="1"/>
          <c:tx>
            <c:v>Phase of Compensation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Compensation!$AY$64:$AY$264</c:f>
              <c:numCache>
                <c:formatCode>General</c:formatCode>
                <c:ptCount val="201"/>
                <c:pt idx="0">
                  <c:v>96.085269945824209</c:v>
                </c:pt>
                <c:pt idx="1">
                  <c:v>96.260526816108495</c:v>
                </c:pt>
                <c:pt idx="2">
                  <c:v>96.448827271128323</c:v>
                </c:pt>
                <c:pt idx="3">
                  <c:v>96.650536871339</c:v>
                </c:pt>
                <c:pt idx="4">
                  <c:v>96.866044608341312</c:v>
                </c:pt>
                <c:pt idx="5">
                  <c:v>97.095763023801325</c:v>
                </c:pt>
                <c:pt idx="6">
                  <c:v>97.340128278327384</c:v>
                </c:pt>
                <c:pt idx="7">
                  <c:v>97.599600157372606</c:v>
                </c:pt>
                <c:pt idx="8">
                  <c:v>97.874661999508774</c:v>
                </c:pt>
                <c:pt idx="9">
                  <c:v>98.165820530527498</c:v>
                </c:pt>
                <c:pt idx="10">
                  <c:v>98.47360558474945</c:v>
                </c:pt>
                <c:pt idx="11">
                  <c:v>98.798569692682193</c:v>
                </c:pt>
                <c:pt idx="12">
                  <c:v>99.141287511730596</c:v>
                </c:pt>
                <c:pt idx="13">
                  <c:v>99.502355074087788</c:v>
                </c:pt>
                <c:pt idx="14">
                  <c:v>99.882388823197459</c:v>
                </c:pt>
                <c:pt idx="15">
                  <c:v>100.28202440733581</c:v>
                </c:pt>
                <c:pt idx="16">
                  <c:v>100.70191519595758</c:v>
                </c:pt>
                <c:pt idx="17">
                  <c:v>101.14273048153836</c:v>
                </c:pt>
                <c:pt idx="18">
                  <c:v>101.60515332682172</c:v>
                </c:pt>
                <c:pt idx="19">
                  <c:v>102.0898780147499</c:v>
                </c:pt>
                <c:pt idx="20">
                  <c:v>102.59760705606215</c:v>
                </c:pt>
                <c:pt idx="21">
                  <c:v>103.12904770776039</c:v>
                </c:pt>
                <c:pt idx="22">
                  <c:v>103.68490795457886</c:v>
                </c:pt>
                <c:pt idx="23">
                  <c:v>104.26589190551127</c:v>
                </c:pt>
                <c:pt idx="24">
                  <c:v>104.87269455863139</c:v>
                </c:pt>
                <c:pt idx="25">
                  <c:v>105.50599589024877</c:v>
                </c:pt>
                <c:pt idx="26">
                  <c:v>106.16645422923298</c:v>
                </c:pt>
                <c:pt idx="27">
                  <c:v>106.854698884539</c:v>
                </c:pt>
                <c:pt idx="28">
                  <c:v>107.57132200401664</c:v>
                </c:pt>
                <c:pt idx="29">
                  <c:v>108.31686965589547</c:v>
                </c:pt>
                <c:pt idx="30">
                  <c:v>109.09183214136017</c:v>
                </c:pt>
                <c:pt idx="31">
                  <c:v>109.89663356766142</c:v>
                </c:pt>
                <c:pt idx="32">
                  <c:v>110.73162073654098</c:v>
                </c:pt>
                <c:pt idx="33">
                  <c:v>111.59705143242196</c:v>
                </c:pt>
                <c:pt idx="34">
                  <c:v>112.49308222870506</c:v>
                </c:pt>
                <c:pt idx="35">
                  <c:v>113.41975596814635</c:v>
                </c:pt>
                <c:pt idx="36">
                  <c:v>114.37698911390376</c:v>
                </c:pt>
                <c:pt idx="37">
                  <c:v>115.36455921012184</c:v>
                </c:pt>
                <c:pt idx="38">
                  <c:v>116.38209273324503</c:v>
                </c:pt>
                <c:pt idx="39">
                  <c:v>117.42905365532866</c:v>
                </c:pt>
                <c:pt idx="40">
                  <c:v>118.50473307586481</c:v>
                </c:pt>
                <c:pt idx="41">
                  <c:v>119.60824030591934</c:v>
                </c:pt>
                <c:pt idx="42">
                  <c:v>120.73849580450755</c:v>
                </c:pt>
                <c:pt idx="43">
                  <c:v>121.89422636868998</c:v>
                </c:pt>
                <c:pt idx="44">
                  <c:v>123.07396296291158</c:v>
                </c:pt>
                <c:pt idx="45">
                  <c:v>124.27604153708901</c:v>
                </c:pt>
                <c:pt idx="46">
                  <c:v>125.49860712544037</c:v>
                </c:pt>
                <c:pt idx="47">
                  <c:v>126.73962143884191</c:v>
                </c:pt>
                <c:pt idx="48">
                  <c:v>127.99687406398382</c:v>
                </c:pt>
                <c:pt idx="49">
                  <c:v>129.26799726598352</c:v>
                </c:pt>
                <c:pt idx="50">
                  <c:v>130.55048426235004</c:v>
                </c:pt>
                <c:pt idx="51">
                  <c:v>131.84171070181705</c:v>
                </c:pt>
                <c:pt idx="52">
                  <c:v>133.13895894932378</c:v>
                </c:pt>
                <c:pt idx="53">
                  <c:v>134.43944465667497</c:v>
                </c:pt>
                <c:pt idx="54">
                  <c:v>135.74034499534105</c:v>
                </c:pt>
                <c:pt idx="55">
                  <c:v>137.03882785081365</c:v>
                </c:pt>
                <c:pt idx="56">
                  <c:v>138.33208123254514</c:v>
                </c:pt>
                <c:pt idx="57">
                  <c:v>139.6173421431742</c:v>
                </c:pt>
                <c:pt idx="58">
                  <c:v>140.89192417626742</c:v>
                </c:pt>
                <c:pt idx="59">
                  <c:v>142.15324317126402</c:v>
                </c:pt>
                <c:pt idx="60">
                  <c:v>143.39884034323424</c:v>
                </c:pt>
                <c:pt idx="61">
                  <c:v>144.62640241707723</c:v>
                </c:pt>
                <c:pt idx="62">
                  <c:v>145.83377842302158</c:v>
                </c:pt>
                <c:pt idx="63">
                  <c:v>147.01899294443447</c:v>
                </c:pt>
                <c:pt idx="64">
                  <c:v>148.18025574181155</c:v>
                </c:pt>
                <c:pt idx="65">
                  <c:v>149.3159678011111</c:v>
                </c:pt>
                <c:pt idx="66">
                  <c:v>150.42472396440741</c:v>
                </c:pt>
                <c:pt idx="67">
                  <c:v>151.50531239197167</c:v>
                </c:pt>
                <c:pt idx="68">
                  <c:v>152.55671117490343</c:v>
                </c:pt>
                <c:pt idx="69">
                  <c:v>153.57808246566515</c:v>
                </c:pt>
                <c:pt idx="70">
                  <c:v>154.56876452108409</c:v>
                </c:pt>
                <c:pt idx="71">
                  <c:v>155.52826206051537</c:v>
                </c:pt>
                <c:pt idx="72">
                  <c:v>156.45623533368973</c:v>
                </c:pt>
                <c:pt idx="73">
                  <c:v>157.35248827146614</c:v>
                </c:pt>
                <c:pt idx="74">
                  <c:v>158.21695606163371</c:v>
                </c:pt>
                <c:pt idx="75">
                  <c:v>159.04969245422353</c:v>
                </c:pt>
                <c:pt idx="76">
                  <c:v>159.8508570594766</c:v>
                </c:pt>
                <c:pt idx="77">
                  <c:v>160.62070285903246</c:v>
                </c:pt>
                <c:pt idx="78">
                  <c:v>161.35956410916484</c:v>
                </c:pt>
                <c:pt idx="79">
                  <c:v>162.06784477541217</c:v>
                </c:pt>
                <c:pt idx="80">
                  <c:v>162.74600760182918</c:v>
                </c:pt>
                <c:pt idx="81">
                  <c:v>163.39456388595647</c:v>
                </c:pt>
                <c:pt idx="82">
                  <c:v>164.01406400277466</c:v>
                </c:pt>
                <c:pt idx="83">
                  <c:v>164.60508869743404</c:v>
                </c:pt>
                <c:pt idx="84">
                  <c:v>165.16824114724884</c:v>
                </c:pt>
                <c:pt idx="85">
                  <c:v>165.70413977807115</c:v>
                </c:pt>
                <c:pt idx="86">
                  <c:v>166.21341180827704</c:v>
                </c:pt>
                <c:pt idx="87">
                  <c:v>166.69668748482755</c:v>
                </c:pt>
                <c:pt idx="88">
                  <c:v>167.15459496974421</c:v>
                </c:pt>
                <c:pt idx="89">
                  <c:v>167.58775583145206</c:v>
                </c:pt>
                <c:pt idx="90">
                  <c:v>167.99678109337881</c:v>
                </c:pt>
                <c:pt idx="91">
                  <c:v>168.38226779160729</c:v>
                </c:pt>
                <c:pt idx="92">
                  <c:v>168.74479599392475</c:v>
                </c:pt>
                <c:pt idx="93">
                  <c:v>169.08492623403345</c:v>
                </c:pt>
                <c:pt idx="94">
                  <c:v>169.40319731672986</c:v>
                </c:pt>
                <c:pt idx="95">
                  <c:v>169.70012445234914</c:v>
                </c:pt>
                <c:pt idx="96">
                  <c:v>169.97619768153058</c:v>
                </c:pt>
                <c:pt idx="97">
                  <c:v>170.23188055427465</c:v>
                </c:pt>
                <c:pt idx="98">
                  <c:v>170.46760903022982</c:v>
                </c:pt>
                <c:pt idx="99">
                  <c:v>170.6837905700917</c:v>
                </c:pt>
                <c:pt idx="100">
                  <c:v>170.88080339086878</c:v>
                </c:pt>
                <c:pt idx="101">
                  <c:v>171.05899586052058</c:v>
                </c:pt>
                <c:pt idx="102">
                  <c:v>171.21868601009822</c:v>
                </c:pt>
                <c:pt idx="103">
                  <c:v>171.36016114397481</c:v>
                </c:pt>
                <c:pt idx="104">
                  <c:v>171.48367753106422</c:v>
                </c:pt>
                <c:pt idx="105">
                  <c:v>171.58946016207602</c:v>
                </c:pt>
                <c:pt idx="106">
                  <c:v>171.67770255985062</c:v>
                </c:pt>
                <c:pt idx="107">
                  <c:v>171.74856663167662</c:v>
                </c:pt>
                <c:pt idx="108">
                  <c:v>171.80218255422162</c:v>
                </c:pt>
                <c:pt idx="109">
                  <c:v>171.83864868331813</c:v>
                </c:pt>
                <c:pt idx="110">
                  <c:v>171.85803148236278</c:v>
                </c:pt>
                <c:pt idx="111">
                  <c:v>171.86036546451857</c:v>
                </c:pt>
                <c:pt idx="112">
                  <c:v>171.84565314527703</c:v>
                </c:pt>
                <c:pt idx="113">
                  <c:v>171.8138650032584</c:v>
                </c:pt>
                <c:pt idx="114">
                  <c:v>171.76493944841954</c:v>
                </c:pt>
                <c:pt idx="115">
                  <c:v>171.6987827981186</c:v>
                </c:pt>
                <c:pt idx="116">
                  <c:v>171.61526926277634</c:v>
                </c:pt>
                <c:pt idx="117">
                  <c:v>171.51424094418309</c:v>
                </c:pt>
                <c:pt idx="118">
                  <c:v>171.39550785086232</c:v>
                </c:pt>
                <c:pt idx="119">
                  <c:v>171.25884793631423</c:v>
                </c:pt>
                <c:pt idx="120">
                  <c:v>171.10400716746454</c:v>
                </c:pt>
                <c:pt idx="121">
                  <c:v>170.93069963223306</c:v>
                </c:pt>
                <c:pt idx="122">
                  <c:v>170.7386076968393</c:v>
                </c:pt>
                <c:pt idx="123">
                  <c:v>170.52738222529649</c:v>
                </c:pt>
                <c:pt idx="124">
                  <c:v>170.29664287551009</c:v>
                </c:pt>
                <c:pt idx="125">
                  <c:v>170.04597848851787</c:v>
                </c:pt>
                <c:pt idx="126">
                  <c:v>169.7749475896828</c:v>
                </c:pt>
                <c:pt idx="127">
                  <c:v>169.48307902308073</c:v>
                </c:pt>
                <c:pt idx="128">
                  <c:v>169.16987274291441</c:v>
                </c:pt>
                <c:pt idx="129">
                  <c:v>168.83480078850988</c:v>
                </c:pt>
                <c:pt idx="130">
                  <c:v>168.47730847230068</c:v>
                </c:pt>
                <c:pt idx="131">
                  <c:v>168.09681581313444</c:v>
                </c:pt>
                <c:pt idx="132">
                  <c:v>167.69271925019902</c:v>
                </c:pt>
                <c:pt idx="133">
                  <c:v>167.26439367579175</c:v>
                </c:pt>
                <c:pt idx="134">
                  <c:v>166.81119482794483</c:v>
                </c:pt>
                <c:pt idx="135">
                  <c:v>166.33246208646449</c:v>
                </c:pt>
                <c:pt idx="136">
                  <c:v>165.82752171807033</c:v>
                </c:pt>
                <c:pt idx="137">
                  <c:v>165.2956906178681</c:v>
                </c:pt>
                <c:pt idx="138">
                  <c:v>164.7362805951056</c:v>
                </c:pt>
                <c:pt idx="139">
                  <c:v>164.14860325079152</c:v>
                </c:pt>
                <c:pt idx="140">
                  <c:v>163.53197549298466</c:v>
                </c:pt>
                <c:pt idx="141">
                  <c:v>162.88572573201947</c:v>
                </c:pt>
                <c:pt idx="142">
                  <c:v>162.20920079225067</c:v>
                </c:pt>
                <c:pt idx="143">
                  <c:v>161.50177356862719</c:v>
                </c:pt>
                <c:pt idx="144">
                  <c:v>160.76285144512616</c:v>
                </c:pt>
                <c:pt idx="145">
                  <c:v>159.991885477349</c:v>
                </c:pt>
                <c:pt idx="146">
                  <c:v>159.18838032302222</c:v>
                </c:pt>
                <c:pt idx="147">
                  <c:v>158.35190488143266</c:v>
                </c:pt>
                <c:pt idx="148">
                  <c:v>157.48210357579131</c:v>
                </c:pt>
                <c:pt idx="149">
                  <c:v>156.57870818114321</c:v>
                </c:pt>
                <c:pt idx="150">
                  <c:v>155.6415500650084</c:v>
                </c:pt>
                <c:pt idx="151">
                  <c:v>154.67057266899997</c:v>
                </c:pt>
                <c:pt idx="152">
                  <c:v>153.66584401822195</c:v>
                </c:pt>
                <c:pt idx="153">
                  <c:v>152.62756900270222</c:v>
                </c:pt>
                <c:pt idx="154">
                  <c:v>151.55610113337244</c:v>
                </c:pt>
                <c:pt idx="155">
                  <c:v>150.45195343656715</c:v>
                </c:pt>
                <c:pt idx="156">
                  <c:v>149.31580811849187</c:v>
                </c:pt>
                <c:pt idx="157">
                  <c:v>148.14852460778306</c:v>
                </c:pt>
                <c:pt idx="158">
                  <c:v>146.9511455734644</c:v>
                </c:pt>
                <c:pt idx="159">
                  <c:v>145.72490052055247</c:v>
                </c:pt>
                <c:pt idx="160">
                  <c:v>144.47120658912706</c:v>
                </c:pt>
                <c:pt idx="161">
                  <c:v>143.19166622699112</c:v>
                </c:pt>
                <c:pt idx="162">
                  <c:v>141.88806147211051</c:v>
                </c:pt>
                <c:pt idx="163">
                  <c:v>140.56234466845666</c:v>
                </c:pt>
                <c:pt idx="164">
                  <c:v>139.2166255455609</c:v>
                </c:pt>
                <c:pt idx="165">
                  <c:v>137.85315471417738</c:v>
                </c:pt>
                <c:pt idx="166">
                  <c:v>136.47430376228741</c:v>
                </c:pt>
                <c:pt idx="167">
                  <c:v>135.08254227024113</c:v>
                </c:pt>
                <c:pt idx="168">
                  <c:v>133.68041219301136</c:v>
                </c:pt>
                <c:pt idx="169">
                  <c:v>132.27050017299888</c:v>
                </c:pt>
                <c:pt idx="170">
                  <c:v>130.85540844057738</c:v>
                </c:pt>
                <c:pt idx="171">
                  <c:v>129.43772502490117</c:v>
                </c:pt>
                <c:pt idx="172">
                  <c:v>128.01999402953282</c:v>
                </c:pt>
                <c:pt idx="173">
                  <c:v>126.60468672384171</c:v>
                </c:pt>
                <c:pt idx="174">
                  <c:v>125.19417416209595</c:v>
                </c:pt>
                <c:pt idx="175">
                  <c:v>123.79070197073406</c:v>
                </c:pt>
                <c:pt idx="176">
                  <c:v>122.39636784569409</c:v>
                </c:pt>
                <c:pt idx="177">
                  <c:v>121.01310218299596</c:v>
                </c:pt>
                <c:pt idx="178">
                  <c:v>119.64265213512182</c:v>
                </c:pt>
                <c:pt idx="179">
                  <c:v>118.28656925149767</c:v>
                </c:pt>
                <c:pt idx="180">
                  <c:v>116.94620073146295</c:v>
                </c:pt>
                <c:pt idx="181">
                  <c:v>115.62268419932039</c:v>
                </c:pt>
                <c:pt idx="182">
                  <c:v>114.31694580867625</c:v>
                </c:pt>
                <c:pt idx="183">
                  <c:v>113.02970140080284</c:v>
                </c:pt>
                <c:pt idx="184">
                  <c:v>111.76146038095139</c:v>
                </c:pt>
                <c:pt idx="185">
                  <c:v>110.5125319374614</c:v>
                </c:pt>
                <c:pt idx="186">
                  <c:v>109.28303320992836</c:v>
                </c:pt>
                <c:pt idx="187">
                  <c:v>108.07289901227064</c:v>
                </c:pt>
                <c:pt idx="188">
                  <c:v>106.88189273135905</c:v>
                </c:pt>
                <c:pt idx="189">
                  <c:v>105.70961804862593</c:v>
                </c:pt>
                <c:pt idx="190">
                  <c:v>104.55553116749225</c:v>
                </c:pt>
                <c:pt idx="191">
                  <c:v>103.41895327041824</c:v>
                </c:pt>
                <c:pt idx="192">
                  <c:v>102.29908297318123</c:v>
                </c:pt>
                <c:pt idx="193">
                  <c:v>101.19500858831255</c:v>
                </c:pt>
                <c:pt idx="194">
                  <c:v>100.10572005270569</c:v>
                </c:pt>
                <c:pt idx="195">
                  <c:v>99.030120414901376</c:v>
                </c:pt>
                <c:pt idx="196">
                  <c:v>97.967036814585327</c:v>
                </c:pt>
                <c:pt idx="197">
                  <c:v>96.915230919871959</c:v>
                </c:pt>
                <c:pt idx="198">
                  <c:v>95.873408816782359</c:v>
                </c:pt>
                <c:pt idx="199">
                  <c:v>94.840230369957894</c:v>
                </c:pt>
                <c:pt idx="200">
                  <c:v>93.814318094260486</c:v>
                </c:pt>
              </c:numCache>
            </c:numRef>
          </c:yVal>
          <c:smooth val="1"/>
        </c:ser>
        <c:ser>
          <c:idx val="1"/>
          <c:order val="2"/>
          <c:tx>
            <c:v> T(s) with Comp.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Compensation!$BF$64:$BF$264</c:f>
              <c:numCache>
                <c:formatCode>General</c:formatCode>
                <c:ptCount val="201"/>
                <c:pt idx="0">
                  <c:v>95.516123253785409</c:v>
                </c:pt>
                <c:pt idx="1">
                  <c:v>95.664558151351201</c:v>
                </c:pt>
                <c:pt idx="2">
                  <c:v>95.824772713685718</c:v>
                </c:pt>
                <c:pt idx="3">
                  <c:v>95.9970729583316</c:v>
                </c:pt>
                <c:pt idx="4">
                  <c:v>96.181785531331329</c:v>
                </c:pt>
                <c:pt idx="5">
                  <c:v>96.379257694584552</c:v>
                </c:pt>
                <c:pt idx="6">
                  <c:v>96.589857257039625</c:v>
                </c:pt>
                <c:pt idx="7">
                  <c:v>96.813972436510312</c:v>
                </c:pt>
                <c:pt idx="8">
                  <c:v>97.052011637175269</c:v>
                </c:pt>
                <c:pt idx="9">
                  <c:v>97.304403125916281</c:v>
                </c:pt>
                <c:pt idx="10">
                  <c:v>97.571594588563045</c:v>
                </c:pt>
                <c:pt idx="11">
                  <c:v>97.854052544862057</c:v>
                </c:pt>
                <c:pt idx="12">
                  <c:v>98.152261598536413</c:v>
                </c:pt>
                <c:pt idx="13">
                  <c:v>98.466723496214655</c:v>
                </c:pt>
                <c:pt idx="14">
                  <c:v>98.797955966259735</c:v>
                </c:pt>
                <c:pt idx="15">
                  <c:v>99.146491305669997</c:v>
                </c:pt>
                <c:pt idx="16">
                  <c:v>99.51287468031164</c:v>
                </c:pt>
                <c:pt idx="17">
                  <c:v>99.897662100814003</c:v>
                </c:pt>
                <c:pt idx="18">
                  <c:v>100.30141803362675</c:v>
                </c:pt>
                <c:pt idx="19">
                  <c:v>100.72471260409262</c:v>
                </c:pt>
                <c:pt idx="20">
                  <c:v>101.16811834608734</c:v>
                </c:pt>
                <c:pt idx="21">
                  <c:v>101.63220645098147</c:v>
                </c:pt>
                <c:pt idx="22">
                  <c:v>102.11754246760535</c:v>
                </c:pt>
                <c:pt idx="23">
                  <c:v>102.62468140481216</c:v>
                </c:pt>
                <c:pt idx="24">
                  <c:v>103.15416218940184</c:v>
                </c:pt>
                <c:pt idx="25">
                  <c:v>103.70650143497942</c:v>
                </c:pt>
                <c:pt idx="26">
                  <c:v>104.2821864821001</c:v>
                </c:pt>
                <c:pt idx="27">
                  <c:v>104.88166767726469</c:v>
                </c:pt>
                <c:pt idx="28">
                  <c:v>105.50534986837086</c:v>
                </c:pt>
                <c:pt idx="29">
                  <c:v>106.15358310755397</c:v>
                </c:pt>
                <c:pt idx="30">
                  <c:v>106.82665256937678</c:v>
                </c:pt>
                <c:pt idx="31">
                  <c:v>107.52476771338405</c:v>
                </c:pt>
                <c:pt idx="32">
                  <c:v>108.24805074539043</c:v>
                </c:pt>
                <c:pt idx="33">
                  <c:v>108.99652446157671</c:v>
                </c:pt>
                <c:pt idx="34">
                  <c:v>109.77009959340241</c:v>
                </c:pt>
                <c:pt idx="35">
                  <c:v>110.56856180902523</c:v>
                </c:pt>
                <c:pt idx="36">
                  <c:v>111.39155856759477</c:v>
                </c:pt>
                <c:pt idx="37">
                  <c:v>112.23858606515122</c:v>
                </c:pt>
                <c:pt idx="38">
                  <c:v>113.10897655326393</c:v>
                </c:pt>
                <c:pt idx="39">
                  <c:v>114.00188635175132</c:v>
                </c:pt>
                <c:pt idx="40">
                  <c:v>114.91628491218678</c:v>
                </c:pt>
                <c:pt idx="41">
                  <c:v>115.85094531634886</c:v>
                </c:pt>
                <c:pt idx="42">
                  <c:v>116.80443661007612</c:v>
                </c:pt>
                <c:pt idx="43">
                  <c:v>117.77511837477121</c:v>
                </c:pt>
                <c:pt idx="44">
                  <c:v>118.76113792308431</c:v>
                </c:pt>
                <c:pt idx="45">
                  <c:v>119.76043046958675</c:v>
                </c:pt>
                <c:pt idx="46">
                  <c:v>120.77072257008044</c:v>
                </c:pt>
                <c:pt idx="47">
                  <c:v>121.78953904436628</c:v>
                </c:pt>
                <c:pt idx="48">
                  <c:v>122.81421349824146</c:v>
                </c:pt>
                <c:pt idx="49">
                  <c:v>123.8419024444095</c:v>
                </c:pt>
                <c:pt idx="50">
                  <c:v>124.8696028938034</c:v>
                </c:pt>
                <c:pt idx="51">
                  <c:v>125.89417315515084</c:v>
                </c:pt>
                <c:pt idx="52">
                  <c:v>126.91235644912737</c:v>
                </c:pt>
                <c:pt idx="53">
                  <c:v>127.92080682258927</c:v>
                </c:pt>
                <c:pt idx="54">
                  <c:v>128.91611674629775</c:v>
                </c:pt>
                <c:pt idx="55">
                  <c:v>129.89484570362296</c:v>
                </c:pt>
                <c:pt idx="56">
                  <c:v>130.85354903358694</c:v>
                </c:pt>
                <c:pt idx="57">
                  <c:v>131.78880628268979</c:v>
                </c:pt>
                <c:pt idx="58">
                  <c:v>132.69724834705241</c:v>
                </c:pt>
                <c:pt idx="59">
                  <c:v>133.57558274760675</c:v>
                </c:pt>
                <c:pt idx="60">
                  <c:v>134.4206164718963</c:v>
                </c:pt>
                <c:pt idx="61">
                  <c:v>135.22927593016217</c:v>
                </c:pt>
                <c:pt idx="62">
                  <c:v>135.99862370290396</c:v>
                </c:pt>
                <c:pt idx="63">
                  <c:v>136.72587189369543</c:v>
                </c:pt>
                <c:pt idx="64">
                  <c:v>137.40839203654204</c:v>
                </c:pt>
                <c:pt idx="65">
                  <c:v>138.04372163411233</c:v>
                </c:pt>
                <c:pt idx="66">
                  <c:v>138.62956751588592</c:v>
                </c:pt>
                <c:pt idx="67">
                  <c:v>139.16380629935338</c:v>
                </c:pt>
                <c:pt idx="68">
                  <c:v>139.64448231037511</c:v>
                </c:pt>
                <c:pt idx="69">
                  <c:v>140.0698033699378</c:v>
                </c:pt>
                <c:pt idx="70">
                  <c:v>140.43813488444243</c:v>
                </c:pt>
                <c:pt idx="71">
                  <c:v>140.74799268717013</c:v>
                </c:pt>
                <c:pt idx="72">
                  <c:v>140.99803507225786</c:v>
                </c:pt>
                <c:pt idx="73">
                  <c:v>141.18705444237526</c:v>
                </c:pt>
                <c:pt idx="74">
                  <c:v>141.31396896038964</c:v>
                </c:pt>
                <c:pt idx="75">
                  <c:v>141.37781455655349</c:v>
                </c:pt>
                <c:pt idx="76">
                  <c:v>141.37773759873693</c:v>
                </c:pt>
                <c:pt idx="77">
                  <c:v>141.31298848599576</c:v>
                </c:pt>
                <c:pt idx="78">
                  <c:v>141.18291637695668</c:v>
                </c:pt>
                <c:pt idx="79">
                  <c:v>140.98696521515564</c:v>
                </c:pt>
                <c:pt idx="80">
                  <c:v>140.724671164207</c:v>
                </c:pt>
                <c:pt idx="81">
                  <c:v>140.3956615167728</c:v>
                </c:pt>
                <c:pt idx="82">
                  <c:v>139.99965509269535</c:v>
                </c:pt>
                <c:pt idx="83">
                  <c:v>139.53646409319174</c:v>
                </c:pt>
                <c:pt idx="84">
                  <c:v>139.00599732943559</c:v>
                </c:pt>
                <c:pt idx="85">
                  <c:v>138.4082646951023</c:v>
                </c:pt>
                <c:pt idx="86">
                  <c:v>137.74338270356455</c:v>
                </c:pt>
                <c:pt idx="87">
                  <c:v>137.01158086185126</c:v>
                </c:pt>
                <c:pt idx="88">
                  <c:v>136.21320860603925</c:v>
                </c:pt>
                <c:pt idx="89">
                  <c:v>135.34874247776568</c:v>
                </c:pt>
                <c:pt idx="90">
                  <c:v>134.41879318086092</c:v>
                </c:pt>
                <c:pt idx="91">
                  <c:v>133.42411212303617</c:v>
                </c:pt>
                <c:pt idx="92">
                  <c:v>132.36559702289011</c:v>
                </c:pt>
                <c:pt idx="93">
                  <c:v>131.24429615022933</c:v>
                </c:pt>
                <c:pt idx="94">
                  <c:v>130.06141077090757</c:v>
                </c:pt>
                <c:pt idx="95">
                  <c:v>128.81829538893757</c:v>
                </c:pt>
                <c:pt idx="96">
                  <c:v>127.5164554207349</c:v>
                </c:pt>
                <c:pt idx="97">
                  <c:v>126.157542000348</c:v>
                </c:pt>
                <c:pt idx="98">
                  <c:v>124.74334370041657</c:v>
                </c:pt>
                <c:pt idx="99">
                  <c:v>123.27577505975302</c:v>
                </c:pt>
                <c:pt idx="100">
                  <c:v>121.75686193154701</c:v>
                </c:pt>
                <c:pt idx="101">
                  <c:v>120.18872380108986</c:v>
                </c:pt>
                <c:pt idx="102">
                  <c:v>118.57355336189801</c:v>
                </c:pt>
                <c:pt idx="103">
                  <c:v>116.91359377628407</c:v>
                </c:pt>
                <c:pt idx="104">
                  <c:v>115.21111417234006</c:v>
                </c:pt>
                <c:pt idx="105">
                  <c:v>113.46838403554482</c:v>
                </c:pt>
                <c:pt idx="106">
                  <c:v>111.68764723247877</c:v>
                </c:pt>
                <c:pt idx="107">
                  <c:v>109.87109645051902</c:v>
                </c:pt>
                <c:pt idx="108">
                  <c:v>108.02084884750667</c:v>
                </c:pt>
                <c:pt idx="109">
                  <c:v>106.13892367817667</c:v>
                </c:pt>
                <c:pt idx="110">
                  <c:v>104.22722260139929</c:v>
                </c:pt>
                <c:pt idx="111">
                  <c:v>102.28751327818561</c:v>
                </c:pt>
                <c:pt idx="112">
                  <c:v>100.32141675101427</c:v>
                </c:pt>
                <c:pt idx="113">
                  <c:v>98.330398957851344</c:v>
                </c:pt>
                <c:pt idx="114">
                  <c:v>96.315766587155181</c:v>
                </c:pt>
                <c:pt idx="115">
                  <c:v>94.278667330963728</c:v>
                </c:pt>
                <c:pt idx="116">
                  <c:v>92.220094448788089</c:v>
                </c:pt>
                <c:pt idx="117">
                  <c:v>90.14089542109862</c:v>
                </c:pt>
                <c:pt idx="118">
                  <c:v>88.041784351796139</c:v>
                </c:pt>
                <c:pt idx="119">
                  <c:v>85.923357676787774</c:v>
                </c:pt>
                <c:pt idx="120">
                  <c:v>83.786112651742414</c:v>
                </c:pt>
                <c:pt idx="121">
                  <c:v>81.63046802642036</c:v>
                </c:pt>
                <c:pt idx="122">
                  <c:v>79.456786264927842</c:v>
                </c:pt>
                <c:pt idx="123">
                  <c:v>77.265396639993341</c:v>
                </c:pt>
                <c:pt idx="124">
                  <c:v>75.056618513913875</c:v>
                </c:pt>
                <c:pt idx="125">
                  <c:v>72.830784118691241</c:v>
                </c:pt>
                <c:pt idx="126">
                  <c:v>70.588260162939562</c:v>
                </c:pt>
                <c:pt idx="127">
                  <c:v>68.32946762386959</c:v>
                </c:pt>
                <c:pt idx="128">
                  <c:v>66.054899129852743</c:v>
                </c:pt>
                <c:pt idx="129">
                  <c:v>63.765133403699963</c:v>
                </c:pt>
                <c:pt idx="130">
                  <c:v>61.460846319621254</c:v>
                </c:pt>
                <c:pt idx="131">
                  <c:v>59.14281822806575</c:v>
                </c:pt>
                <c:pt idx="132">
                  <c:v>56.811937321383482</c:v>
                </c:pt>
                <c:pt idx="133">
                  <c:v>54.469198947426491</c:v>
                </c:pt>
                <c:pt idx="134">
                  <c:v>52.115700924034215</c:v>
                </c:pt>
                <c:pt idx="135">
                  <c:v>49.752635059597452</c:v>
                </c:pt>
                <c:pt idx="136">
                  <c:v>47.381275236799752</c:v>
                </c:pt>
                <c:pt idx="137">
                  <c:v>45.00296256052539</c:v>
                </c:pt>
                <c:pt idx="138">
                  <c:v>42.619088198551253</c:v>
                </c:pt>
                <c:pt idx="139">
                  <c:v>40.231074647123478</c:v>
                </c:pt>
                <c:pt idx="140">
                  <c:v>37.84035622598509</c:v>
                </c:pt>
                <c:pt idx="141">
                  <c:v>35.448359643643613</c:v>
                </c:pt>
                <c:pt idx="142">
                  <c:v>33.056485470849339</c:v>
                </c:pt>
                <c:pt idx="143">
                  <c:v>30.666091318046881</c:v>
                </c:pt>
                <c:pt idx="144">
                  <c:v>28.278477433362781</c:v>
                </c:pt>
                <c:pt idx="145">
                  <c:v>25.894875326171814</c:v>
                </c:pt>
                <c:pt idx="146">
                  <c:v>23.516439884127834</c:v>
                </c:pt>
                <c:pt idx="147">
                  <c:v>21.14424529648926</c:v>
                </c:pt>
                <c:pt idx="148">
                  <c:v>18.779284932034955</c:v>
                </c:pt>
                <c:pt idx="149">
                  <c:v>16.422475153915371</c:v>
                </c:pt>
                <c:pt idx="150">
                  <c:v>14.074662893797381</c:v>
                </c:pt>
                <c:pt idx="151">
                  <c:v>11.736636659828207</c:v>
                </c:pt>
                <c:pt idx="152">
                  <c:v>9.4091405220631259</c:v>
                </c:pt>
                <c:pt idx="153">
                  <c:v>7.0928905085721112</c:v>
                </c:pt>
                <c:pt idx="154">
                  <c:v>4.7885927576825793</c:v>
                </c:pt>
                <c:pt idx="155">
                  <c:v>2.4969627080966177</c:v>
                </c:pt>
                <c:pt idx="156">
                  <c:v>0.21874456956973631</c:v>
                </c:pt>
                <c:pt idx="157">
                  <c:v>-2.0452696972278943</c:v>
                </c:pt>
                <c:pt idx="158">
                  <c:v>-4.2942226521177815</c:v>
                </c:pt>
                <c:pt idx="159">
                  <c:v>-6.5271756226406694</c:v>
                </c:pt>
                <c:pt idx="160">
                  <c:v>-8.7430955911734713</c:v>
                </c:pt>
                <c:pt idx="161">
                  <c:v>-10.940845301575109</c:v>
                </c:pt>
                <c:pt idx="162">
                  <c:v>-13.119177058046148</c:v>
                </c:pt>
                <c:pt idx="163">
                  <c:v>-15.276730561678477</c:v>
                </c:pt>
                <c:pt idx="164">
                  <c:v>-17.412034986252223</c:v>
                </c:pt>
                <c:pt idx="165">
                  <c:v>-19.523515339021714</c:v>
                </c:pt>
                <c:pt idx="166">
                  <c:v>-21.609502990785131</c:v>
                </c:pt>
                <c:pt idx="167">
                  <c:v>-23.668250099694774</c:v>
                </c:pt>
                <c:pt idx="168">
                  <c:v>-25.69794750322049</c:v>
                </c:pt>
                <c:pt idx="169">
                  <c:v>-27.696745520515236</c:v>
                </c:pt>
                <c:pt idx="170">
                  <c:v>-29.662777000907226</c:v>
                </c:pt>
                <c:pt idx="171">
                  <c:v>-31.594181879635812</c:v>
                </c:pt>
                <c:pt idx="172">
                  <c:v>-33.489132463753151</c:v>
                </c:pt>
                <c:pt idx="173">
                  <c:v>-35.345858671205605</c:v>
                </c:pt>
                <c:pt idx="174">
                  <c:v>-37.162672483891697</c:v>
                </c:pt>
                <c:pt idx="175">
                  <c:v>-38.937990947505682</c:v>
                </c:pt>
                <c:pt idx="176">
                  <c:v>-40.670357151661278</c:v>
                </c:pt>
                <c:pt idx="177">
                  <c:v>-42.358458745684771</c:v>
                </c:pt>
                <c:pt idx="178">
                  <c:v>-44.001143680160339</c:v>
                </c:pt>
                <c:pt idx="179">
                  <c:v>-45.597433003183681</c:v>
                </c:pt>
                <c:pt idx="180">
                  <c:v>-47.146530675105453</c:v>
                </c:pt>
                <c:pt idx="181">
                  <c:v>-48.647830489338162</c:v>
                </c:pt>
                <c:pt idx="182">
                  <c:v>-50.100920293985155</c:v>
                </c:pt>
                <c:pt idx="183">
                  <c:v>-51.505583795941419</c:v>
                </c:pt>
                <c:pt idx="184">
                  <c:v>-52.861800293629074</c:v>
                </c:pt>
                <c:pt idx="185">
                  <c:v>-54.169742726418988</c:v>
                </c:pt>
                <c:pt idx="186">
                  <c:v>-55.429774448910749</c:v>
                </c:pt>
                <c:pt idx="187">
                  <c:v>-56.64244513865134</c:v>
                </c:pt>
                <c:pt idx="188">
                  <c:v>-57.808486229101348</c:v>
                </c:pt>
                <c:pt idx="189">
                  <c:v>-58.928806228628744</c:v>
                </c:pt>
                <c:pt idx="190">
                  <c:v>-60.004486243880777</c:v>
                </c:pt>
                <c:pt idx="191">
                  <c:v>-61.036775974719674</c:v>
                </c:pt>
                <c:pt idx="192">
                  <c:v>-62.027090390318079</c:v>
                </c:pt>
                <c:pt idx="193">
                  <c:v>-62.977007233876819</c:v>
                </c:pt>
                <c:pt idx="194">
                  <c:v>-63.888265438213196</c:v>
                </c:pt>
                <c:pt idx="195">
                  <c:v>-64.762764467280462</c:v>
                </c:pt>
                <c:pt idx="196">
                  <c:v>-65.602564530377734</c:v>
                </c:pt>
                <c:pt idx="197">
                  <c:v>-66.409887547083315</c:v>
                </c:pt>
                <c:pt idx="198">
                  <c:v>-67.187118672541246</c:v>
                </c:pt>
                <c:pt idx="199">
                  <c:v>-67.936808125527193</c:v>
                </c:pt>
                <c:pt idx="200">
                  <c:v>-68.661672996861796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66592"/>
        <c:axId val="376368512"/>
      </c:scatterChart>
      <c:valAx>
        <c:axId val="376366592"/>
        <c:scaling>
          <c:logBase val="10"/>
          <c:orientation val="minMax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368512"/>
        <c:crosses val="autoZero"/>
        <c:crossBetween val="midCat"/>
      </c:valAx>
      <c:valAx>
        <c:axId val="37636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(°)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366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062134821087068"/>
          <c:y val="2.5210098737657793E-2"/>
          <c:w val="0.35287865398734708"/>
          <c:h val="0.134454193225846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9338842975206617E-2"/>
          <c:y val="8.3798996976198303E-2"/>
          <c:w val="0.87107438016528926"/>
          <c:h val="0.84636986945960291"/>
        </c:manualLayout>
      </c:layout>
      <c:scatterChart>
        <c:scatterStyle val="smoothMarker"/>
        <c:varyColors val="0"/>
        <c:ser>
          <c:idx val="3"/>
          <c:order val="0"/>
          <c:tx>
            <c:v>Phase Margin Closed Loop</c:v>
          </c:tx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Compensation!$BF$64:$BF$264</c:f>
              <c:numCache>
                <c:formatCode>General</c:formatCode>
                <c:ptCount val="201"/>
                <c:pt idx="0">
                  <c:v>95.516123253785409</c:v>
                </c:pt>
                <c:pt idx="1">
                  <c:v>95.664558151351201</c:v>
                </c:pt>
                <c:pt idx="2">
                  <c:v>95.824772713685718</c:v>
                </c:pt>
                <c:pt idx="3">
                  <c:v>95.9970729583316</c:v>
                </c:pt>
                <c:pt idx="4">
                  <c:v>96.181785531331329</c:v>
                </c:pt>
                <c:pt idx="5">
                  <c:v>96.379257694584552</c:v>
                </c:pt>
                <c:pt idx="6">
                  <c:v>96.589857257039625</c:v>
                </c:pt>
                <c:pt idx="7">
                  <c:v>96.813972436510312</c:v>
                </c:pt>
                <c:pt idx="8">
                  <c:v>97.052011637175269</c:v>
                </c:pt>
                <c:pt idx="9">
                  <c:v>97.304403125916281</c:v>
                </c:pt>
                <c:pt idx="10">
                  <c:v>97.571594588563045</c:v>
                </c:pt>
                <c:pt idx="11">
                  <c:v>97.854052544862057</c:v>
                </c:pt>
                <c:pt idx="12">
                  <c:v>98.152261598536413</c:v>
                </c:pt>
                <c:pt idx="13">
                  <c:v>98.466723496214655</c:v>
                </c:pt>
                <c:pt idx="14">
                  <c:v>98.797955966259735</c:v>
                </c:pt>
                <c:pt idx="15">
                  <c:v>99.146491305669997</c:v>
                </c:pt>
                <c:pt idx="16">
                  <c:v>99.51287468031164</c:v>
                </c:pt>
                <c:pt idx="17">
                  <c:v>99.897662100814003</c:v>
                </c:pt>
                <c:pt idx="18">
                  <c:v>100.30141803362675</c:v>
                </c:pt>
                <c:pt idx="19">
                  <c:v>100.72471260409262</c:v>
                </c:pt>
                <c:pt idx="20">
                  <c:v>101.16811834608734</c:v>
                </c:pt>
                <c:pt idx="21">
                  <c:v>101.63220645098147</c:v>
                </c:pt>
                <c:pt idx="22">
                  <c:v>102.11754246760535</c:v>
                </c:pt>
                <c:pt idx="23">
                  <c:v>102.62468140481216</c:v>
                </c:pt>
                <c:pt idx="24">
                  <c:v>103.15416218940184</c:v>
                </c:pt>
                <c:pt idx="25">
                  <c:v>103.70650143497942</c:v>
                </c:pt>
                <c:pt idx="26">
                  <c:v>104.2821864821001</c:v>
                </c:pt>
                <c:pt idx="27">
                  <c:v>104.88166767726469</c:v>
                </c:pt>
                <c:pt idx="28">
                  <c:v>105.50534986837086</c:v>
                </c:pt>
                <c:pt idx="29">
                  <c:v>106.15358310755397</c:v>
                </c:pt>
                <c:pt idx="30">
                  <c:v>106.82665256937678</c:v>
                </c:pt>
                <c:pt idx="31">
                  <c:v>107.52476771338405</c:v>
                </c:pt>
                <c:pt idx="32">
                  <c:v>108.24805074539043</c:v>
                </c:pt>
                <c:pt idx="33">
                  <c:v>108.99652446157671</c:v>
                </c:pt>
                <c:pt idx="34">
                  <c:v>109.77009959340241</c:v>
                </c:pt>
                <c:pt idx="35">
                  <c:v>110.56856180902523</c:v>
                </c:pt>
                <c:pt idx="36">
                  <c:v>111.39155856759477</c:v>
                </c:pt>
                <c:pt idx="37">
                  <c:v>112.23858606515122</c:v>
                </c:pt>
                <c:pt idx="38">
                  <c:v>113.10897655326393</c:v>
                </c:pt>
                <c:pt idx="39">
                  <c:v>114.00188635175132</c:v>
                </c:pt>
                <c:pt idx="40">
                  <c:v>114.91628491218678</c:v>
                </c:pt>
                <c:pt idx="41">
                  <c:v>115.85094531634886</c:v>
                </c:pt>
                <c:pt idx="42">
                  <c:v>116.80443661007612</c:v>
                </c:pt>
                <c:pt idx="43">
                  <c:v>117.77511837477121</c:v>
                </c:pt>
                <c:pt idx="44">
                  <c:v>118.76113792308431</c:v>
                </c:pt>
                <c:pt idx="45">
                  <c:v>119.76043046958675</c:v>
                </c:pt>
                <c:pt idx="46">
                  <c:v>120.77072257008044</c:v>
                </c:pt>
                <c:pt idx="47">
                  <c:v>121.78953904436628</c:v>
                </c:pt>
                <c:pt idx="48">
                  <c:v>122.81421349824146</c:v>
                </c:pt>
                <c:pt idx="49">
                  <c:v>123.8419024444095</c:v>
                </c:pt>
                <c:pt idx="50">
                  <c:v>124.8696028938034</c:v>
                </c:pt>
                <c:pt idx="51">
                  <c:v>125.89417315515084</c:v>
                </c:pt>
                <c:pt idx="52">
                  <c:v>126.91235644912737</c:v>
                </c:pt>
                <c:pt idx="53">
                  <c:v>127.92080682258927</c:v>
                </c:pt>
                <c:pt idx="54">
                  <c:v>128.91611674629775</c:v>
                </c:pt>
                <c:pt idx="55">
                  <c:v>129.89484570362296</c:v>
                </c:pt>
                <c:pt idx="56">
                  <c:v>130.85354903358694</c:v>
                </c:pt>
                <c:pt idx="57">
                  <c:v>131.78880628268979</c:v>
                </c:pt>
                <c:pt idx="58">
                  <c:v>132.69724834705241</c:v>
                </c:pt>
                <c:pt idx="59">
                  <c:v>133.57558274760675</c:v>
                </c:pt>
                <c:pt idx="60">
                  <c:v>134.4206164718963</c:v>
                </c:pt>
                <c:pt idx="61">
                  <c:v>135.22927593016217</c:v>
                </c:pt>
                <c:pt idx="62">
                  <c:v>135.99862370290396</c:v>
                </c:pt>
                <c:pt idx="63">
                  <c:v>136.72587189369543</c:v>
                </c:pt>
                <c:pt idx="64">
                  <c:v>137.40839203654204</c:v>
                </c:pt>
                <c:pt idx="65">
                  <c:v>138.04372163411233</c:v>
                </c:pt>
                <c:pt idx="66">
                  <c:v>138.62956751588592</c:v>
                </c:pt>
                <c:pt idx="67">
                  <c:v>139.16380629935338</c:v>
                </c:pt>
                <c:pt idx="68">
                  <c:v>139.64448231037511</c:v>
                </c:pt>
                <c:pt idx="69">
                  <c:v>140.0698033699378</c:v>
                </c:pt>
                <c:pt idx="70">
                  <c:v>140.43813488444243</c:v>
                </c:pt>
                <c:pt idx="71">
                  <c:v>140.74799268717013</c:v>
                </c:pt>
                <c:pt idx="72">
                  <c:v>140.99803507225786</c:v>
                </c:pt>
                <c:pt idx="73">
                  <c:v>141.18705444237526</c:v>
                </c:pt>
                <c:pt idx="74">
                  <c:v>141.31396896038964</c:v>
                </c:pt>
                <c:pt idx="75">
                  <c:v>141.37781455655349</c:v>
                </c:pt>
                <c:pt idx="76">
                  <c:v>141.37773759873693</c:v>
                </c:pt>
                <c:pt idx="77">
                  <c:v>141.31298848599576</c:v>
                </c:pt>
                <c:pt idx="78">
                  <c:v>141.18291637695668</c:v>
                </c:pt>
                <c:pt idx="79">
                  <c:v>140.98696521515564</c:v>
                </c:pt>
                <c:pt idx="80">
                  <c:v>140.724671164207</c:v>
                </c:pt>
                <c:pt idx="81">
                  <c:v>140.3956615167728</c:v>
                </c:pt>
                <c:pt idx="82">
                  <c:v>139.99965509269535</c:v>
                </c:pt>
                <c:pt idx="83">
                  <c:v>139.53646409319174</c:v>
                </c:pt>
                <c:pt idx="84">
                  <c:v>139.00599732943559</c:v>
                </c:pt>
                <c:pt idx="85">
                  <c:v>138.4082646951023</c:v>
                </c:pt>
                <c:pt idx="86">
                  <c:v>137.74338270356455</c:v>
                </c:pt>
                <c:pt idx="87">
                  <c:v>137.01158086185126</c:v>
                </c:pt>
                <c:pt idx="88">
                  <c:v>136.21320860603925</c:v>
                </c:pt>
                <c:pt idx="89">
                  <c:v>135.34874247776568</c:v>
                </c:pt>
                <c:pt idx="90">
                  <c:v>134.41879318086092</c:v>
                </c:pt>
                <c:pt idx="91">
                  <c:v>133.42411212303617</c:v>
                </c:pt>
                <c:pt idx="92">
                  <c:v>132.36559702289011</c:v>
                </c:pt>
                <c:pt idx="93">
                  <c:v>131.24429615022933</c:v>
                </c:pt>
                <c:pt idx="94">
                  <c:v>130.06141077090757</c:v>
                </c:pt>
                <c:pt idx="95">
                  <c:v>128.81829538893757</c:v>
                </c:pt>
                <c:pt idx="96">
                  <c:v>127.5164554207349</c:v>
                </c:pt>
                <c:pt idx="97">
                  <c:v>126.157542000348</c:v>
                </c:pt>
                <c:pt idx="98">
                  <c:v>124.74334370041657</c:v>
                </c:pt>
                <c:pt idx="99">
                  <c:v>123.27577505975302</c:v>
                </c:pt>
                <c:pt idx="100">
                  <c:v>121.75686193154701</c:v>
                </c:pt>
                <c:pt idx="101">
                  <c:v>120.18872380108986</c:v>
                </c:pt>
                <c:pt idx="102">
                  <c:v>118.57355336189801</c:v>
                </c:pt>
                <c:pt idx="103">
                  <c:v>116.91359377628407</c:v>
                </c:pt>
                <c:pt idx="104">
                  <c:v>115.21111417234006</c:v>
                </c:pt>
                <c:pt idx="105">
                  <c:v>113.46838403554482</c:v>
                </c:pt>
                <c:pt idx="106">
                  <c:v>111.68764723247877</c:v>
                </c:pt>
                <c:pt idx="107">
                  <c:v>109.87109645051902</c:v>
                </c:pt>
                <c:pt idx="108">
                  <c:v>108.02084884750667</c:v>
                </c:pt>
                <c:pt idx="109">
                  <c:v>106.13892367817667</c:v>
                </c:pt>
                <c:pt idx="110">
                  <c:v>104.22722260139929</c:v>
                </c:pt>
                <c:pt idx="111">
                  <c:v>102.28751327818561</c:v>
                </c:pt>
                <c:pt idx="112">
                  <c:v>100.32141675101427</c:v>
                </c:pt>
                <c:pt idx="113">
                  <c:v>98.330398957851344</c:v>
                </c:pt>
                <c:pt idx="114">
                  <c:v>96.315766587155181</c:v>
                </c:pt>
                <c:pt idx="115">
                  <c:v>94.278667330963728</c:v>
                </c:pt>
                <c:pt idx="116">
                  <c:v>92.220094448788089</c:v>
                </c:pt>
                <c:pt idx="117">
                  <c:v>90.14089542109862</c:v>
                </c:pt>
                <c:pt idx="118">
                  <c:v>88.041784351796139</c:v>
                </c:pt>
                <c:pt idx="119">
                  <c:v>85.923357676787774</c:v>
                </c:pt>
                <c:pt idx="120">
                  <c:v>83.786112651742414</c:v>
                </c:pt>
                <c:pt idx="121">
                  <c:v>81.63046802642036</c:v>
                </c:pt>
                <c:pt idx="122">
                  <c:v>79.456786264927842</c:v>
                </c:pt>
                <c:pt idx="123">
                  <c:v>77.265396639993341</c:v>
                </c:pt>
                <c:pt idx="124">
                  <c:v>75.056618513913875</c:v>
                </c:pt>
                <c:pt idx="125">
                  <c:v>72.830784118691241</c:v>
                </c:pt>
                <c:pt idx="126">
                  <c:v>70.588260162939562</c:v>
                </c:pt>
                <c:pt idx="127">
                  <c:v>68.32946762386959</c:v>
                </c:pt>
                <c:pt idx="128">
                  <c:v>66.054899129852743</c:v>
                </c:pt>
                <c:pt idx="129">
                  <c:v>63.765133403699963</c:v>
                </c:pt>
                <c:pt idx="130">
                  <c:v>61.460846319621254</c:v>
                </c:pt>
                <c:pt idx="131">
                  <c:v>59.14281822806575</c:v>
                </c:pt>
                <c:pt idx="132">
                  <c:v>56.811937321383482</c:v>
                </c:pt>
                <c:pt idx="133">
                  <c:v>54.469198947426491</c:v>
                </c:pt>
                <c:pt idx="134">
                  <c:v>52.115700924034215</c:v>
                </c:pt>
                <c:pt idx="135">
                  <c:v>49.752635059597452</c:v>
                </c:pt>
                <c:pt idx="136">
                  <c:v>47.381275236799752</c:v>
                </c:pt>
                <c:pt idx="137">
                  <c:v>45.00296256052539</c:v>
                </c:pt>
                <c:pt idx="138">
                  <c:v>42.619088198551253</c:v>
                </c:pt>
                <c:pt idx="139">
                  <c:v>40.231074647123478</c:v>
                </c:pt>
                <c:pt idx="140">
                  <c:v>37.84035622598509</c:v>
                </c:pt>
                <c:pt idx="141">
                  <c:v>35.448359643643613</c:v>
                </c:pt>
                <c:pt idx="142">
                  <c:v>33.056485470849339</c:v>
                </c:pt>
                <c:pt idx="143">
                  <c:v>30.666091318046881</c:v>
                </c:pt>
                <c:pt idx="144">
                  <c:v>28.278477433362781</c:v>
                </c:pt>
                <c:pt idx="145">
                  <c:v>25.894875326171814</c:v>
                </c:pt>
                <c:pt idx="146">
                  <c:v>23.516439884127834</c:v>
                </c:pt>
                <c:pt idx="147">
                  <c:v>21.14424529648926</c:v>
                </c:pt>
                <c:pt idx="148">
                  <c:v>18.779284932034955</c:v>
                </c:pt>
                <c:pt idx="149">
                  <c:v>16.422475153915371</c:v>
                </c:pt>
                <c:pt idx="150">
                  <c:v>14.074662893797381</c:v>
                </c:pt>
                <c:pt idx="151">
                  <c:v>11.736636659828207</c:v>
                </c:pt>
                <c:pt idx="152">
                  <c:v>9.4091405220631259</c:v>
                </c:pt>
                <c:pt idx="153">
                  <c:v>7.0928905085721112</c:v>
                </c:pt>
                <c:pt idx="154">
                  <c:v>4.7885927576825793</c:v>
                </c:pt>
                <c:pt idx="155">
                  <c:v>2.4969627080966177</c:v>
                </c:pt>
                <c:pt idx="156">
                  <c:v>0.21874456956973631</c:v>
                </c:pt>
                <c:pt idx="157">
                  <c:v>-2.0452696972278943</c:v>
                </c:pt>
                <c:pt idx="158">
                  <c:v>-4.2942226521177815</c:v>
                </c:pt>
                <c:pt idx="159">
                  <c:v>-6.5271756226406694</c:v>
                </c:pt>
                <c:pt idx="160">
                  <c:v>-8.7430955911734713</c:v>
                </c:pt>
                <c:pt idx="161">
                  <c:v>-10.940845301575109</c:v>
                </c:pt>
                <c:pt idx="162">
                  <c:v>-13.119177058046148</c:v>
                </c:pt>
                <c:pt idx="163">
                  <c:v>-15.276730561678477</c:v>
                </c:pt>
                <c:pt idx="164">
                  <c:v>-17.412034986252223</c:v>
                </c:pt>
                <c:pt idx="165">
                  <c:v>-19.523515339021714</c:v>
                </c:pt>
                <c:pt idx="166">
                  <c:v>-21.609502990785131</c:v>
                </c:pt>
                <c:pt idx="167">
                  <c:v>-23.668250099694774</c:v>
                </c:pt>
                <c:pt idx="168">
                  <c:v>-25.69794750322049</c:v>
                </c:pt>
                <c:pt idx="169">
                  <c:v>-27.696745520515236</c:v>
                </c:pt>
                <c:pt idx="170">
                  <c:v>-29.662777000907226</c:v>
                </c:pt>
                <c:pt idx="171">
                  <c:v>-31.594181879635812</c:v>
                </c:pt>
                <c:pt idx="172">
                  <c:v>-33.489132463753151</c:v>
                </c:pt>
                <c:pt idx="173">
                  <c:v>-35.345858671205605</c:v>
                </c:pt>
                <c:pt idx="174">
                  <c:v>-37.162672483891697</c:v>
                </c:pt>
                <c:pt idx="175">
                  <c:v>-38.937990947505682</c:v>
                </c:pt>
                <c:pt idx="176">
                  <c:v>-40.670357151661278</c:v>
                </c:pt>
                <c:pt idx="177">
                  <c:v>-42.358458745684771</c:v>
                </c:pt>
                <c:pt idx="178">
                  <c:v>-44.001143680160339</c:v>
                </c:pt>
                <c:pt idx="179">
                  <c:v>-45.597433003183681</c:v>
                </c:pt>
                <c:pt idx="180">
                  <c:v>-47.146530675105453</c:v>
                </c:pt>
                <c:pt idx="181">
                  <c:v>-48.647830489338162</c:v>
                </c:pt>
                <c:pt idx="182">
                  <c:v>-50.100920293985155</c:v>
                </c:pt>
                <c:pt idx="183">
                  <c:v>-51.505583795941419</c:v>
                </c:pt>
                <c:pt idx="184">
                  <c:v>-52.861800293629074</c:v>
                </c:pt>
                <c:pt idx="185">
                  <c:v>-54.169742726418988</c:v>
                </c:pt>
                <c:pt idx="186">
                  <c:v>-55.429774448910749</c:v>
                </c:pt>
                <c:pt idx="187">
                  <c:v>-56.64244513865134</c:v>
                </c:pt>
                <c:pt idx="188">
                  <c:v>-57.808486229101348</c:v>
                </c:pt>
                <c:pt idx="189">
                  <c:v>-58.928806228628744</c:v>
                </c:pt>
                <c:pt idx="190">
                  <c:v>-60.004486243880777</c:v>
                </c:pt>
                <c:pt idx="191">
                  <c:v>-61.036775974719674</c:v>
                </c:pt>
                <c:pt idx="192">
                  <c:v>-62.027090390318079</c:v>
                </c:pt>
                <c:pt idx="193">
                  <c:v>-62.977007233876819</c:v>
                </c:pt>
                <c:pt idx="194">
                  <c:v>-63.888265438213196</c:v>
                </c:pt>
                <c:pt idx="195">
                  <c:v>-64.762764467280462</c:v>
                </c:pt>
                <c:pt idx="196">
                  <c:v>-65.602564530377734</c:v>
                </c:pt>
                <c:pt idx="197">
                  <c:v>-66.409887547083315</c:v>
                </c:pt>
                <c:pt idx="198">
                  <c:v>-67.187118672541246</c:v>
                </c:pt>
                <c:pt idx="199">
                  <c:v>-67.936808125527193</c:v>
                </c:pt>
                <c:pt idx="200">
                  <c:v>-68.661672996861796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36736"/>
        <c:axId val="459638656"/>
      </c:scatterChart>
      <c:valAx>
        <c:axId val="459636736"/>
        <c:scaling>
          <c:logBase val="10"/>
          <c:orientation val="minMax"/>
          <c:min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9638656"/>
        <c:crosses val="autoZero"/>
        <c:crossBetween val="midCat"/>
      </c:valAx>
      <c:valAx>
        <c:axId val="45963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(°)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9636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771371847696773"/>
          <c:y val="8.4913435701772427E-2"/>
          <c:w val="0.25040941449531123"/>
          <c:h val="9.7325577770712157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8676829258318375E-2"/>
          <c:y val="8.0779944289693595E-2"/>
          <c:w val="0.88609860189391276"/>
          <c:h val="0.85236768802228413"/>
        </c:manualLayout>
      </c:layout>
      <c:scatterChart>
        <c:scatterStyle val="smoothMarker"/>
        <c:varyColors val="0"/>
        <c:ser>
          <c:idx val="3"/>
          <c:order val="0"/>
          <c:tx>
            <c:v>Bandwidth of Closed Loop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Compensation!$B$64:$B$264</c:f>
              <c:numCache>
                <c:formatCode>General</c:formatCode>
                <c:ptCount val="201"/>
                <c:pt idx="0">
                  <c:v>100</c:v>
                </c:pt>
                <c:pt idx="1">
                  <c:v>104.71285480508996</c:v>
                </c:pt>
                <c:pt idx="2">
                  <c:v>109.64781961431851</c:v>
                </c:pt>
                <c:pt idx="3">
                  <c:v>114.81536214968828</c:v>
                </c:pt>
                <c:pt idx="4">
                  <c:v>120.2264434617413</c:v>
                </c:pt>
                <c:pt idx="5">
                  <c:v>125.89254117941672</c:v>
                </c:pt>
                <c:pt idx="6">
                  <c:v>131.82567385564073</c:v>
                </c:pt>
                <c:pt idx="7">
                  <c:v>138.03842646028849</c:v>
                </c:pt>
                <c:pt idx="8">
                  <c:v>144.54397707459273</c:v>
                </c:pt>
                <c:pt idx="9">
                  <c:v>151.35612484362082</c:v>
                </c:pt>
                <c:pt idx="10">
                  <c:v>158.48931924611136</c:v>
                </c:pt>
                <c:pt idx="11">
                  <c:v>165.95869074375605</c:v>
                </c:pt>
                <c:pt idx="12">
                  <c:v>173.78008287493756</c:v>
                </c:pt>
                <c:pt idx="13">
                  <c:v>181.97008586099835</c:v>
                </c:pt>
                <c:pt idx="14">
                  <c:v>190.54607179632475</c:v>
                </c:pt>
                <c:pt idx="15">
                  <c:v>199.52623149688799</c:v>
                </c:pt>
                <c:pt idx="16">
                  <c:v>208.92961308540396</c:v>
                </c:pt>
                <c:pt idx="17">
                  <c:v>218.77616239495526</c:v>
                </c:pt>
                <c:pt idx="18">
                  <c:v>229.08676527677733</c:v>
                </c:pt>
                <c:pt idx="19">
                  <c:v>239.88329190194909</c:v>
                </c:pt>
                <c:pt idx="20">
                  <c:v>251.18864315095806</c:v>
                </c:pt>
                <c:pt idx="21">
                  <c:v>263.02679918953822</c:v>
                </c:pt>
                <c:pt idx="22">
                  <c:v>275.4228703338166</c:v>
                </c:pt>
                <c:pt idx="23">
                  <c:v>288.40315031266061</c:v>
                </c:pt>
                <c:pt idx="24">
                  <c:v>301.99517204020168</c:v>
                </c:pt>
                <c:pt idx="25">
                  <c:v>316.22776601683796</c:v>
                </c:pt>
                <c:pt idx="26">
                  <c:v>331.13112148259114</c:v>
                </c:pt>
                <c:pt idx="27">
                  <c:v>346.73685045253171</c:v>
                </c:pt>
                <c:pt idx="28">
                  <c:v>363.0780547701014</c:v>
                </c:pt>
                <c:pt idx="29">
                  <c:v>380.18939632056117</c:v>
                </c:pt>
                <c:pt idx="30">
                  <c:v>398.10717055349727</c:v>
                </c:pt>
                <c:pt idx="31">
                  <c:v>416.86938347033549</c:v>
                </c:pt>
                <c:pt idx="32">
                  <c:v>436.51583224016599</c:v>
                </c:pt>
                <c:pt idx="33">
                  <c:v>457.08818961487509</c:v>
                </c:pt>
                <c:pt idx="34">
                  <c:v>478.6300923226384</c:v>
                </c:pt>
                <c:pt idx="35">
                  <c:v>501.18723362727235</c:v>
                </c:pt>
                <c:pt idx="36">
                  <c:v>524.80746024977259</c:v>
                </c:pt>
                <c:pt idx="37">
                  <c:v>549.54087385762455</c:v>
                </c:pt>
                <c:pt idx="38">
                  <c:v>575.43993733715718</c:v>
                </c:pt>
                <c:pt idx="39">
                  <c:v>602.55958607435798</c:v>
                </c:pt>
                <c:pt idx="40">
                  <c:v>630.95734448019346</c:v>
                </c:pt>
                <c:pt idx="41">
                  <c:v>660.69344800759632</c:v>
                </c:pt>
                <c:pt idx="42">
                  <c:v>691.83097091893671</c:v>
                </c:pt>
                <c:pt idx="43">
                  <c:v>724.43596007499025</c:v>
                </c:pt>
                <c:pt idx="44">
                  <c:v>758.57757502918378</c:v>
                </c:pt>
                <c:pt idx="45">
                  <c:v>794.32823472428174</c:v>
                </c:pt>
                <c:pt idx="46">
                  <c:v>831.76377110267106</c:v>
                </c:pt>
                <c:pt idx="47">
                  <c:v>870.9635899560808</c:v>
                </c:pt>
                <c:pt idx="48">
                  <c:v>912.01083935590987</c:v>
                </c:pt>
                <c:pt idx="49">
                  <c:v>954.99258602143584</c:v>
                </c:pt>
                <c:pt idx="50">
                  <c:v>1000</c:v>
                </c:pt>
                <c:pt idx="51">
                  <c:v>1047.1285480509</c:v>
                </c:pt>
                <c:pt idx="52">
                  <c:v>1096.4781961431854</c:v>
                </c:pt>
                <c:pt idx="53">
                  <c:v>1148.1536214968835</c:v>
                </c:pt>
                <c:pt idx="54">
                  <c:v>1202.2644346174134</c:v>
                </c:pt>
                <c:pt idx="55">
                  <c:v>1258.925411794168</c:v>
                </c:pt>
                <c:pt idx="56">
                  <c:v>1318.2567385564075</c:v>
                </c:pt>
                <c:pt idx="57">
                  <c:v>1380.3842646028857</c:v>
                </c:pt>
                <c:pt idx="58">
                  <c:v>1445.4397707459275</c:v>
                </c:pt>
                <c:pt idx="59">
                  <c:v>1513.5612484362086</c:v>
                </c:pt>
                <c:pt idx="60">
                  <c:v>1584.8931924611136</c:v>
                </c:pt>
                <c:pt idx="61">
                  <c:v>1659.5869074375614</c:v>
                </c:pt>
                <c:pt idx="62">
                  <c:v>1737.8008287493756</c:v>
                </c:pt>
                <c:pt idx="63">
                  <c:v>1819.7008586099842</c:v>
                </c:pt>
                <c:pt idx="64">
                  <c:v>1905.4607179632476</c:v>
                </c:pt>
                <c:pt idx="65">
                  <c:v>1995.2623149688804</c:v>
                </c:pt>
                <c:pt idx="66">
                  <c:v>2089.2961308540398</c:v>
                </c:pt>
                <c:pt idx="67">
                  <c:v>2187.7616239495537</c:v>
                </c:pt>
                <c:pt idx="68">
                  <c:v>2290.867652767774</c:v>
                </c:pt>
                <c:pt idx="69">
                  <c:v>2398.8329190194918</c:v>
                </c:pt>
                <c:pt idx="70">
                  <c:v>2511.8864315095811</c:v>
                </c:pt>
                <c:pt idx="71">
                  <c:v>2630.2679918953822</c:v>
                </c:pt>
                <c:pt idx="72">
                  <c:v>2754.2287033381667</c:v>
                </c:pt>
                <c:pt idx="73">
                  <c:v>2884.0315031266064</c:v>
                </c:pt>
                <c:pt idx="74">
                  <c:v>3019.9517204020162</c:v>
                </c:pt>
                <c:pt idx="75">
                  <c:v>3162.2776601683804</c:v>
                </c:pt>
                <c:pt idx="76">
                  <c:v>3311.3112148259129</c:v>
                </c:pt>
                <c:pt idx="77">
                  <c:v>3467.3685045253178</c:v>
                </c:pt>
                <c:pt idx="78">
                  <c:v>3630.7805477010156</c:v>
                </c:pt>
                <c:pt idx="79">
                  <c:v>3801.893963205614</c:v>
                </c:pt>
                <c:pt idx="80">
                  <c:v>3981.0717055349755</c:v>
                </c:pt>
                <c:pt idx="81">
                  <c:v>4168.6938347033556</c:v>
                </c:pt>
                <c:pt idx="82">
                  <c:v>4365.1583224016631</c:v>
                </c:pt>
                <c:pt idx="83">
                  <c:v>4570.8818961487532</c:v>
                </c:pt>
                <c:pt idx="84">
                  <c:v>4786.3009232263857</c:v>
                </c:pt>
                <c:pt idx="85">
                  <c:v>5011.8723362727242</c:v>
                </c:pt>
                <c:pt idx="86">
                  <c:v>5248.0746024977288</c:v>
                </c:pt>
                <c:pt idx="87">
                  <c:v>5495.4087385762468</c:v>
                </c:pt>
                <c:pt idx="88">
                  <c:v>5754.3993733715697</c:v>
                </c:pt>
                <c:pt idx="89">
                  <c:v>6025.5958607435823</c:v>
                </c:pt>
                <c:pt idx="90">
                  <c:v>6309.5734448019366</c:v>
                </c:pt>
                <c:pt idx="91">
                  <c:v>6606.9344800759627</c:v>
                </c:pt>
                <c:pt idx="92">
                  <c:v>6918.309709189366</c:v>
                </c:pt>
                <c:pt idx="93">
                  <c:v>7244.3596007499063</c:v>
                </c:pt>
                <c:pt idx="94">
                  <c:v>7585.775750291843</c:v>
                </c:pt>
                <c:pt idx="95">
                  <c:v>7943.2823472428199</c:v>
                </c:pt>
                <c:pt idx="96">
                  <c:v>8317.6377110267131</c:v>
                </c:pt>
                <c:pt idx="97">
                  <c:v>8709.635899560808</c:v>
                </c:pt>
                <c:pt idx="98">
                  <c:v>9120.1083935590977</c:v>
                </c:pt>
                <c:pt idx="99">
                  <c:v>9549.9258602143655</c:v>
                </c:pt>
                <c:pt idx="100">
                  <c:v>10000</c:v>
                </c:pt>
                <c:pt idx="101">
                  <c:v>10471.285480508997</c:v>
                </c:pt>
                <c:pt idx="102">
                  <c:v>10964.781961431861</c:v>
                </c:pt>
                <c:pt idx="103">
                  <c:v>11481.536214968835</c:v>
                </c:pt>
                <c:pt idx="104">
                  <c:v>12022.644346174135</c:v>
                </c:pt>
                <c:pt idx="105">
                  <c:v>12589.254117941677</c:v>
                </c:pt>
                <c:pt idx="106">
                  <c:v>13182.567385564085</c:v>
                </c:pt>
                <c:pt idx="107">
                  <c:v>13803.842646028861</c:v>
                </c:pt>
                <c:pt idx="108">
                  <c:v>14454.397707459284</c:v>
                </c:pt>
                <c:pt idx="109">
                  <c:v>15135.612484362091</c:v>
                </c:pt>
                <c:pt idx="110">
                  <c:v>15848.931924611154</c:v>
                </c:pt>
                <c:pt idx="111">
                  <c:v>16595.869074375623</c:v>
                </c:pt>
                <c:pt idx="112">
                  <c:v>17378.008287493769</c:v>
                </c:pt>
                <c:pt idx="113">
                  <c:v>18197.008586099848</c:v>
                </c:pt>
                <c:pt idx="114">
                  <c:v>19054.607179632498</c:v>
                </c:pt>
                <c:pt idx="115">
                  <c:v>19952.623149688818</c:v>
                </c:pt>
                <c:pt idx="116">
                  <c:v>20892.961308540394</c:v>
                </c:pt>
                <c:pt idx="117">
                  <c:v>21877.616239495524</c:v>
                </c:pt>
                <c:pt idx="118">
                  <c:v>22908.676527677744</c:v>
                </c:pt>
                <c:pt idx="119">
                  <c:v>23988.329190194912</c:v>
                </c:pt>
                <c:pt idx="120">
                  <c:v>25118.864315095805</c:v>
                </c:pt>
                <c:pt idx="121">
                  <c:v>26302.679918953818</c:v>
                </c:pt>
                <c:pt idx="122">
                  <c:v>27542.287033381683</c:v>
                </c:pt>
                <c:pt idx="123">
                  <c:v>28840.315031266073</c:v>
                </c:pt>
                <c:pt idx="124">
                  <c:v>30199.517204020169</c:v>
                </c:pt>
                <c:pt idx="125">
                  <c:v>31622.776601683825</c:v>
                </c:pt>
                <c:pt idx="126">
                  <c:v>33113.112148259133</c:v>
                </c:pt>
                <c:pt idx="127">
                  <c:v>34673.68504525318</c:v>
                </c:pt>
                <c:pt idx="128">
                  <c:v>36307.805477010152</c:v>
                </c:pt>
                <c:pt idx="129">
                  <c:v>38018.939632056165</c:v>
                </c:pt>
                <c:pt idx="130">
                  <c:v>39810.717055349764</c:v>
                </c:pt>
                <c:pt idx="131">
                  <c:v>41686.938347033574</c:v>
                </c:pt>
                <c:pt idx="132">
                  <c:v>43651.58322401662</c:v>
                </c:pt>
                <c:pt idx="133">
                  <c:v>45708.818961487559</c:v>
                </c:pt>
                <c:pt idx="134">
                  <c:v>47863.009232263888</c:v>
                </c:pt>
                <c:pt idx="135">
                  <c:v>50118.723362727265</c:v>
                </c:pt>
                <c:pt idx="136">
                  <c:v>52480.746024977292</c:v>
                </c:pt>
                <c:pt idx="137">
                  <c:v>54954.087385762534</c:v>
                </c:pt>
                <c:pt idx="138">
                  <c:v>57543.993733715761</c:v>
                </c:pt>
                <c:pt idx="139">
                  <c:v>60255.95860743583</c:v>
                </c:pt>
                <c:pt idx="140">
                  <c:v>63095.734448019379</c:v>
                </c:pt>
                <c:pt idx="141">
                  <c:v>66069.344800759645</c:v>
                </c:pt>
                <c:pt idx="142">
                  <c:v>69183.097091893665</c:v>
                </c:pt>
                <c:pt idx="143">
                  <c:v>72443.596007499029</c:v>
                </c:pt>
                <c:pt idx="144">
                  <c:v>75857.757502918379</c:v>
                </c:pt>
                <c:pt idx="145">
                  <c:v>79432.823472428208</c:v>
                </c:pt>
                <c:pt idx="146">
                  <c:v>83176.377110267145</c:v>
                </c:pt>
                <c:pt idx="147">
                  <c:v>87096.358995608098</c:v>
                </c:pt>
                <c:pt idx="148">
                  <c:v>91201.083935590985</c:v>
                </c:pt>
                <c:pt idx="149">
                  <c:v>95499.258602143673</c:v>
                </c:pt>
                <c:pt idx="150">
                  <c:v>100000</c:v>
                </c:pt>
                <c:pt idx="151">
                  <c:v>104712.85480509</c:v>
                </c:pt>
                <c:pt idx="152">
                  <c:v>109647.81961431864</c:v>
                </c:pt>
                <c:pt idx="153">
                  <c:v>114815.3621496884</c:v>
                </c:pt>
                <c:pt idx="154">
                  <c:v>120226.44346174138</c:v>
                </c:pt>
                <c:pt idx="155">
                  <c:v>125892.5411794168</c:v>
                </c:pt>
                <c:pt idx="156">
                  <c:v>131825.6738556409</c:v>
                </c:pt>
                <c:pt idx="157">
                  <c:v>138038.42646028864</c:v>
                </c:pt>
                <c:pt idx="158">
                  <c:v>144543.9770745929</c:v>
                </c:pt>
                <c:pt idx="159">
                  <c:v>151356.12484362093</c:v>
                </c:pt>
                <c:pt idx="160">
                  <c:v>158489.31924611155</c:v>
                </c:pt>
                <c:pt idx="161">
                  <c:v>165958.69074375625</c:v>
                </c:pt>
                <c:pt idx="162">
                  <c:v>173780.08287493771</c:v>
                </c:pt>
                <c:pt idx="163">
                  <c:v>181970.08586099852</c:v>
                </c:pt>
                <c:pt idx="164">
                  <c:v>190546.07179632501</c:v>
                </c:pt>
                <c:pt idx="165">
                  <c:v>199526.23149688821</c:v>
                </c:pt>
                <c:pt idx="166">
                  <c:v>208929.61308540421</c:v>
                </c:pt>
                <c:pt idx="167">
                  <c:v>218776.16239495529</c:v>
                </c:pt>
                <c:pt idx="168">
                  <c:v>229086.7652767775</c:v>
                </c:pt>
                <c:pt idx="169">
                  <c:v>239883.29190194918</c:v>
                </c:pt>
                <c:pt idx="170">
                  <c:v>251188.64315095812</c:v>
                </c:pt>
                <c:pt idx="171">
                  <c:v>263026.79918953823</c:v>
                </c:pt>
                <c:pt idx="172">
                  <c:v>275422.87033381691</c:v>
                </c:pt>
                <c:pt idx="173">
                  <c:v>288403.15031266079</c:v>
                </c:pt>
                <c:pt idx="174">
                  <c:v>301995.17204020178</c:v>
                </c:pt>
                <c:pt idx="175">
                  <c:v>316227.76601683802</c:v>
                </c:pt>
                <c:pt idx="176">
                  <c:v>331131.12148259114</c:v>
                </c:pt>
                <c:pt idx="177">
                  <c:v>346736.85045253224</c:v>
                </c:pt>
                <c:pt idx="178">
                  <c:v>363078.05477010191</c:v>
                </c:pt>
                <c:pt idx="179">
                  <c:v>380189.3963205617</c:v>
                </c:pt>
                <c:pt idx="180">
                  <c:v>398107.17055349768</c:v>
                </c:pt>
                <c:pt idx="181">
                  <c:v>416869.38347033586</c:v>
                </c:pt>
                <c:pt idx="182">
                  <c:v>436515.83224016632</c:v>
                </c:pt>
                <c:pt idx="183">
                  <c:v>457088.1896148753</c:v>
                </c:pt>
                <c:pt idx="184">
                  <c:v>478630.09232263849</c:v>
                </c:pt>
                <c:pt idx="185">
                  <c:v>501187.23362727324</c:v>
                </c:pt>
                <c:pt idx="186">
                  <c:v>524807.46024977358</c:v>
                </c:pt>
                <c:pt idx="187">
                  <c:v>549540.87385762541</c:v>
                </c:pt>
                <c:pt idx="188">
                  <c:v>575439.93733715767</c:v>
                </c:pt>
                <c:pt idx="189">
                  <c:v>602559.58607435855</c:v>
                </c:pt>
                <c:pt idx="190">
                  <c:v>630957.3444801938</c:v>
                </c:pt>
                <c:pt idx="191">
                  <c:v>660693.44800759654</c:v>
                </c:pt>
                <c:pt idx="192">
                  <c:v>691830.97091893689</c:v>
                </c:pt>
                <c:pt idx="193">
                  <c:v>724435.96007499041</c:v>
                </c:pt>
                <c:pt idx="194">
                  <c:v>758577.57502918388</c:v>
                </c:pt>
                <c:pt idx="195">
                  <c:v>794328.23472428159</c:v>
                </c:pt>
                <c:pt idx="196">
                  <c:v>831763.77110267093</c:v>
                </c:pt>
                <c:pt idx="197">
                  <c:v>870963.58995608194</c:v>
                </c:pt>
                <c:pt idx="198">
                  <c:v>912010.8393559109</c:v>
                </c:pt>
                <c:pt idx="199">
                  <c:v>954992.58602143696</c:v>
                </c:pt>
                <c:pt idx="200">
                  <c:v>1000000</c:v>
                </c:pt>
              </c:numCache>
            </c:numRef>
          </c:xVal>
          <c:yVal>
            <c:numRef>
              <c:f>Compensation!$BE$64:$BE$264</c:f>
              <c:numCache>
                <c:formatCode>General</c:formatCode>
                <c:ptCount val="201"/>
                <c:pt idx="0">
                  <c:v>37.158296954589225</c:v>
                </c:pt>
                <c:pt idx="1">
                  <c:v>36.761505983806416</c:v>
                </c:pt>
                <c:pt idx="2">
                  <c:v>36.364991336091201</c:v>
                </c:pt>
                <c:pt idx="3">
                  <c:v>35.9687818776668</c:v>
                </c:pt>
                <c:pt idx="4">
                  <c:v>35.572908922100957</c:v>
                </c:pt>
                <c:pt idx="5">
                  <c:v>35.177406467617274</c:v>
                </c:pt>
                <c:pt idx="6">
                  <c:v>34.782311451629802</c:v>
                </c:pt>
                <c:pt idx="7">
                  <c:v>34.387664023589409</c:v>
                </c:pt>
                <c:pt idx="8">
                  <c:v>33.993507837188197</c:v>
                </c:pt>
                <c:pt idx="9">
                  <c:v>33.599890362899309</c:v>
                </c:pt>
                <c:pt idx="10">
                  <c:v>33.206863221726863</c:v>
                </c:pt>
                <c:pt idx="11">
                  <c:v>32.814482540896073</c:v>
                </c:pt>
                <c:pt idx="12">
                  <c:v>32.422809332036977</c:v>
                </c:pt>
                <c:pt idx="13">
                  <c:v>32.03190989215468</c:v>
                </c:pt>
                <c:pt idx="14">
                  <c:v>31.641856227381492</c:v>
                </c:pt>
                <c:pt idx="15">
                  <c:v>31.252726499107759</c:v>
                </c:pt>
                <c:pt idx="16">
                  <c:v>30.864605491616764</c:v>
                </c:pt>
                <c:pt idx="17">
                  <c:v>30.477585099754812</c:v>
                </c:pt>
                <c:pt idx="18">
                  <c:v>30.091764834481623</c:v>
                </c:pt>
                <c:pt idx="19">
                  <c:v>29.707252343300951</c:v>
                </c:pt>
                <c:pt idx="20">
                  <c:v>29.324163941605896</c:v>
                </c:pt>
                <c:pt idx="21">
                  <c:v>28.942625149835855</c:v>
                </c:pt>
                <c:pt idx="22">
                  <c:v>28.562771230042841</c:v>
                </c:pt>
                <c:pt idx="23">
                  <c:v>28.184747713998696</c:v>
                </c:pt>
                <c:pt idx="24">
                  <c:v>27.808710913326205</c:v>
                </c:pt>
                <c:pt idx="25">
                  <c:v>27.434828400329479</c:v>
                </c:pt>
                <c:pt idx="26">
                  <c:v>27.063279446245506</c:v>
                </c:pt>
                <c:pt idx="27">
                  <c:v>26.694255401559928</c:v>
                </c:pt>
                <c:pt idx="28">
                  <c:v>26.327960000887245</c:v>
                </c:pt>
                <c:pt idx="29">
                  <c:v>25.96460957276409</c:v>
                </c:pt>
                <c:pt idx="30">
                  <c:v>25.604433132636512</c:v>
                </c:pt>
                <c:pt idx="31">
                  <c:v>25.247672335443994</c:v>
                </c:pt>
                <c:pt idx="32">
                  <c:v>24.894581262661436</c:v>
                </c:pt>
                <c:pt idx="33">
                  <c:v>24.545426017614943</c:v>
                </c:pt>
                <c:pt idx="34">
                  <c:v>24.200484102515777</c:v>
                </c:pt>
                <c:pt idx="35">
                  <c:v>23.86004355118747</c:v>
                </c:pt>
                <c:pt idx="36">
                  <c:v>23.524401793078304</c:v>
                </c:pt>
                <c:pt idx="37">
                  <c:v>23.193864227094334</c:v>
                </c:pt>
                <c:pt idx="38">
                  <c:v>22.868742488222846</c:v>
                </c:pt>
                <c:pt idx="39">
                  <c:v>22.549352395999058</c:v>
                </c:pt>
                <c:pt idx="40">
                  <c:v>22.236011581670301</c:v>
                </c:pt>
                <c:pt idx="41">
                  <c:v>21.929036800413893</c:v>
                </c:pt>
                <c:pt idx="42">
                  <c:v>21.6287409460163</c:v>
                </c:pt>
                <c:pt idx="43">
                  <c:v>21.33542979774024</c:v>
                </c:pt>
                <c:pt idx="44">
                  <c:v>21.049398542238698</c:v>
                </c:pt>
                <c:pt idx="45">
                  <c:v>20.770928126717884</c:v>
                </c:pt>
                <c:pt idx="46">
                  <c:v>20.500281512357404</c:v>
                </c:pt>
                <c:pt idx="47">
                  <c:v>20.237699908403801</c:v>
                </c:pt>
                <c:pt idx="48">
                  <c:v>19.983399076472704</c:v>
                </c:pt>
                <c:pt idx="49">
                  <c:v>19.737565800534941</c:v>
                </c:pt>
                <c:pt idx="50">
                  <c:v>19.500354620060577</c:v>
                </c:pt>
                <c:pt idx="51">
                  <c:v>19.271884921295939</c:v>
                </c:pt>
                <c:pt idx="52">
                  <c:v>19.052238474344318</c:v>
                </c:pt>
                <c:pt idx="53">
                  <c:v>18.841457491702617</c:v>
                </c:pt>
                <c:pt idx="54">
                  <c:v>18.639543267565919</c:v>
                </c:pt>
                <c:pt idx="55">
                  <c:v>18.446455437371682</c:v>
                </c:pt>
                <c:pt idx="56">
                  <c:v>18.262111874787582</c:v>
                </c:pt>
                <c:pt idx="57">
                  <c:v>18.086389219986248</c:v>
                </c:pt>
                <c:pt idx="58">
                  <c:v>17.919124010005845</c:v>
                </c:pt>
                <c:pt idx="59">
                  <c:v>17.760114360666496</c:v>
                </c:pt>
                <c:pt idx="60">
                  <c:v>17.609122131136928</c:v>
                </c:pt>
                <c:pt idx="61">
                  <c:v>17.465875487796801</c:v>
                </c:pt>
                <c:pt idx="62">
                  <c:v>17.33007177417193</c:v>
                </c:pt>
                <c:pt idx="63">
                  <c:v>17.201380588696956</c:v>
                </c:pt>
                <c:pt idx="64">
                  <c:v>17.079446971808313</c:v>
                </c:pt>
                <c:pt idx="65">
                  <c:v>16.963894607972044</c:v>
                </c:pt>
                <c:pt idx="66">
                  <c:v>16.854328956069754</c:v>
                </c:pt>
                <c:pt idx="67">
                  <c:v>16.750340232277981</c:v>
                </c:pt>
                <c:pt idx="68">
                  <c:v>16.651506182293243</c:v>
                </c:pt>
                <c:pt idx="69">
                  <c:v>16.557394593616145</c:v>
                </c:pt>
                <c:pt idx="70">
                  <c:v>16.467565512785136</c:v>
                </c:pt>
                <c:pt idx="71">
                  <c:v>16.381573146300184</c:v>
                </c:pt>
                <c:pt idx="72">
                  <c:v>16.29896743692791</c:v>
                </c:pt>
                <c:pt idx="73">
                  <c:v>16.21929531881419</c:v>
                </c:pt>
                <c:pt idx="74">
                  <c:v>16.142101665074932</c:v>
                </c:pt>
                <c:pt idx="75">
                  <c:v>16.066929950241242</c:v>
                </c:pt>
                <c:pt idx="76">
                  <c:v>15.993322657101787</c:v>
                </c:pt>
                <c:pt idx="77">
                  <c:v>15.920821463194098</c:v>
                </c:pt>
                <c:pt idx="78">
                  <c:v>15.848967246602516</c:v>
                </c:pt>
                <c:pt idx="79">
                  <c:v>15.77729995395665</c:v>
                </c:pt>
                <c:pt idx="80">
                  <c:v>15.705358375754274</c:v>
                </c:pt>
                <c:pt idx="81">
                  <c:v>15.632679875463772</c:v>
                </c:pt>
                <c:pt idx="82">
                  <c:v>15.558800119399853</c:v>
                </c:pt>
                <c:pt idx="83">
                  <c:v>15.483252854126711</c:v>
                </c:pt>
                <c:pt idx="84">
                  <c:v>15.405569777132715</c:v>
                </c:pt>
                <c:pt idx="85">
                  <c:v>15.325280544674474</c:v>
                </c:pt>
                <c:pt idx="86">
                  <c:v>15.241912957895238</c:v>
                </c:pt>
                <c:pt idx="87">
                  <c:v>15.154993364457898</c:v>
                </c:pt>
                <c:pt idx="88">
                  <c:v>15.064047307837004</c:v>
                </c:pt>
                <c:pt idx="89">
                  <c:v>14.968600449954794</c:v>
                </c:pt>
                <c:pt idx="90">
                  <c:v>14.868179784883424</c:v>
                </c:pt>
                <c:pt idx="91">
                  <c:v>14.762315151852729</c:v>
                </c:pt>
                <c:pt idx="92">
                  <c:v>14.650541044793668</c:v>
                </c:pt>
                <c:pt idx="93">
                  <c:v>14.532398703297849</c:v>
                </c:pt>
                <c:pt idx="94">
                  <c:v>14.407438456457699</c:v>
                </c:pt>
                <c:pt idx="95">
                  <c:v>14.275222277032588</c:v>
                </c:pt>
                <c:pt idx="96">
                  <c:v>14.135326489365385</c:v>
                </c:pt>
                <c:pt idx="97">
                  <c:v>13.987344561201114</c:v>
                </c:pt>
                <c:pt idx="98">
                  <c:v>13.830889897899446</c:v>
                </c:pt>
                <c:pt idx="99">
                  <c:v>13.665598548367042</c:v>
                </c:pt>
                <c:pt idx="100">
                  <c:v>13.491131726254332</c:v>
                </c:pt>
                <c:pt idx="101">
                  <c:v>13.307178048318955</c:v>
                </c:pt>
                <c:pt idx="102">
                  <c:v>13.113455394910345</c:v>
                </c:pt>
                <c:pt idx="103">
                  <c:v>12.909712305545288</c:v>
                </c:pt>
                <c:pt idx="104">
                  <c:v>12.695728835468552</c:v>
                </c:pt>
                <c:pt idx="105">
                  <c:v>12.471316816466986</c:v>
                </c:pt>
                <c:pt idx="106">
                  <c:v>12.236319486242701</c:v>
                </c:pt>
                <c:pt idx="107">
                  <c:v>11.990610474245855</c:v>
                </c:pt>
                <c:pt idx="108">
                  <c:v>11.734092156688957</c:v>
                </c:pt>
                <c:pt idx="109">
                  <c:v>11.466693418100988</c:v>
                </c:pt>
                <c:pt idx="110">
                  <c:v>11.188366879820624</c:v>
                </c:pt>
                <c:pt idx="111">
                  <c:v>10.89908567604798</c:v>
                </c:pt>
                <c:pt idx="112">
                  <c:v>10.598839874452089</c:v>
                </c:pt>
                <c:pt idx="113">
                  <c:v>10.287632650227227</c:v>
                </c:pt>
                <c:pt idx="114">
                  <c:v>9.9654763295570099</c:v>
                </c:pt>
                <c:pt idx="115">
                  <c:v>9.6323884207201331</c:v>
                </c:pt>
                <c:pt idx="116">
                  <c:v>9.2883877488527045</c:v>
                </c:pt>
                <c:pt idx="117">
                  <c:v>8.933490804207036</c:v>
                </c:pt>
                <c:pt idx="118">
                  <c:v>8.5677084042764289</c:v>
                </c:pt>
                <c:pt idx="119">
                  <c:v>8.1910427580952057</c:v>
                </c:pt>
                <c:pt idx="120">
                  <c:v>7.803485007067037</c:v>
                </c:pt>
                <c:pt idx="121">
                  <c:v>7.4050133014037574</c:v>
                </c:pt>
                <c:pt idx="122">
                  <c:v>6.995591455166501</c:v>
                </c:pt>
                <c:pt idx="123">
                  <c:v>6.5751682063395558</c:v>
                </c:pt>
                <c:pt idx="124">
                  <c:v>6.1436770915738901</c:v>
                </c:pt>
                <c:pt idx="125">
                  <c:v>5.701036928397242</c:v>
                </c:pt>
                <c:pt idx="126">
                  <c:v>5.2471528809095744</c:v>
                </c:pt>
                <c:pt idx="127">
                  <c:v>4.781918068456589</c:v>
                </c:pt>
                <c:pt idx="128">
                  <c:v>4.3052156606801191</c:v>
                </c:pt>
                <c:pt idx="129">
                  <c:v>3.8169213870481737</c:v>
                </c:pt>
                <c:pt idx="130">
                  <c:v>3.3169063748838044</c:v>
                </c:pt>
                <c:pt idx="131">
                  <c:v>2.8050402176393465</c:v>
                </c:pt>
                <c:pt idx="132">
                  <c:v>2.2811941653578796</c:v>
                </c:pt>
                <c:pt idx="133">
                  <c:v>1.7452443226560519</c:v>
                </c:pt>
                <c:pt idx="134">
                  <c:v>1.197074736846256</c:v>
                </c:pt>
                <c:pt idx="135">
                  <c:v>0.63658026058556982</c:v>
                </c:pt>
                <c:pt idx="136">
                  <c:v>6.3669080093286368E-2</c:v>
                </c:pt>
                <c:pt idx="137">
                  <c:v>-0.52173518835896415</c:v>
                </c:pt>
                <c:pt idx="138">
                  <c:v>-1.1196919145170423</c:v>
                </c:pt>
                <c:pt idx="139">
                  <c:v>-1.730242442896923</c:v>
                </c:pt>
                <c:pt idx="140">
                  <c:v>-2.3534096902958637</c:v>
                </c:pt>
                <c:pt idx="141">
                  <c:v>-2.9891983619407809</c:v>
                </c:pt>
                <c:pt idx="142">
                  <c:v>-3.6375957691776168</c:v>
                </c:pt>
                <c:pt idx="143">
                  <c:v>-4.2985732053312979</c:v>
                </c:pt>
                <c:pt idx="144">
                  <c:v>-4.9720878121863912</c:v>
                </c:pt>
                <c:pt idx="145">
                  <c:v>-5.6580848487266833</c:v>
                </c:pt>
                <c:pt idx="146">
                  <c:v>-6.3565002572955756</c:v>
                </c:pt>
                <c:pt idx="147">
                  <c:v>-7.0672634108801837</c:v>
                </c:pt>
                <c:pt idx="148">
                  <c:v>-7.7902999190923774</c:v>
                </c:pt>
                <c:pt idx="149">
                  <c:v>-8.525534369611659</c:v>
                </c:pt>
                <c:pt idx="150">
                  <c:v>-9.272892886071638</c:v>
                </c:pt>
                <c:pt idx="151">
                  <c:v>-10.032305392107002</c:v>
                </c:pt>
                <c:pt idx="152">
                  <c:v>-10.803707483884855</c:v>
                </c:pt>
                <c:pt idx="153">
                  <c:v>-11.587041829203358</c:v>
                </c:pt>
                <c:pt idx="154">
                  <c:v>-12.382259029458869</c:v>
                </c:pt>
                <c:pt idx="155">
                  <c:v>-13.189317900748986</c:v>
                </c:pt>
                <c:pt idx="156">
                  <c:v>-14.00818515150551</c:v>
                </c:pt>
                <c:pt idx="157">
                  <c:v>-14.838834455716059</c:v>
                </c:pt>
                <c:pt idx="158">
                  <c:v>-15.681244942498754</c:v>
                </c:pt>
                <c:pt idx="159">
                  <c:v>-16.535399143937127</c:v>
                </c:pt>
                <c:pt idx="160">
                  <c:v>-17.401280463143483</c:v>
                </c:pt>
                <c:pt idx="161">
                  <c:v>-18.278870242814399</c:v>
                </c:pt>
                <c:pt idx="162">
                  <c:v>-19.168144530456871</c:v>
                </c:pt>
                <c:pt idx="163">
                  <c:v>-20.069070649244022</c:v>
                </c:pt>
                <c:pt idx="164">
                  <c:v>-20.981603692428187</c:v>
                </c:pt>
                <c:pt idx="165">
                  <c:v>-21.905683063767967</c:v>
                </c:pt>
                <c:pt idx="166">
                  <c:v>-22.841229186012697</c:v>
                </c:pt>
                <c:pt idx="167">
                  <c:v>-23.788140493869086</c:v>
                </c:pt>
                <c:pt idx="168">
                  <c:v>-24.746290817077359</c:v>
                </c:pt>
                <c:pt idx="169">
                  <c:v>-25.715527243575078</c:v>
                </c:pt>
                <c:pt idx="170">
                  <c:v>-26.69566853295294</c:v>
                </c:pt>
                <c:pt idx="171">
                  <c:v>-27.686504127484689</c:v>
                </c:pt>
                <c:pt idx="172">
                  <c:v>-28.68779378326289</c:v>
                </c:pt>
                <c:pt idx="173">
                  <c:v>-29.699267818768988</c:v>
                </c:pt>
                <c:pt idx="174">
                  <c:v>-30.720627954060554</c:v>
                </c:pt>
                <c:pt idx="175">
                  <c:v>-31.751548692008519</c:v>
                </c:pt>
                <c:pt idx="176">
                  <c:v>-32.791679174844127</c:v>
                </c:pt>
                <c:pt idx="177">
                  <c:v>-33.840645435533588</c:v>
                </c:pt>
                <c:pt idx="178">
                  <c:v>-34.898052954683635</c:v>
                </c:pt>
                <c:pt idx="179">
                  <c:v>-35.963489429932437</c:v>
                </c:pt>
                <c:pt idx="180">
                  <c:v>-37.03652766585472</c:v>
                </c:pt>
                <c:pt idx="181">
                  <c:v>-38.116728497804814</c:v>
                </c:pt>
                <c:pt idx="182">
                  <c:v>-39.203643672079117</c:v>
                </c:pt>
                <c:pt idx="183">
                  <c:v>-40.29681861644859</c:v>
                </c:pt>
                <c:pt idx="184">
                  <c:v>-41.395795048573831</c:v>
                </c:pt>
                <c:pt idx="185">
                  <c:v>-42.500113384202088</c:v>
                </c:pt>
                <c:pt idx="186">
                  <c:v>-43.609314921566096</c:v>
                </c:pt>
                <c:pt idx="187">
                  <c:v>-44.722943792431451</c:v>
                </c:pt>
                <c:pt idx="188">
                  <c:v>-45.840548683242403</c:v>
                </c:pt>
                <c:pt idx="189">
                  <c:v>-46.961684341475795</c:v>
                </c:pt>
                <c:pt idx="190">
                  <c:v>-48.085912892391995</c:v>
                </c:pt>
                <c:pt idx="191">
                  <c:v>-49.212804999779593</c:v>
                </c:pt>
                <c:pt idx="192">
                  <c:v>-50.34194091099711</c:v>
                </c:pt>
                <c:pt idx="193">
                  <c:v>-51.472911431657678</c:v>
                </c:pt>
                <c:pt idx="194">
                  <c:v>-52.605318878722997</c:v>
                </c:pt>
                <c:pt idx="195">
                  <c:v>-53.738778062632313</c:v>
                </c:pt>
                <c:pt idx="196">
                  <c:v>-54.87291734941293</c:v>
                </c:pt>
                <c:pt idx="197">
                  <c:v>-56.007379852502936</c:v>
                </c:pt>
                <c:pt idx="198">
                  <c:v>-57.141824801225397</c:v>
                </c:pt>
                <c:pt idx="199">
                  <c:v>-58.275929128407228</c:v>
                </c:pt>
                <c:pt idx="200">
                  <c:v>-59.409389313455286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60288"/>
        <c:axId val="234632320"/>
      </c:scatterChart>
      <c:valAx>
        <c:axId val="459660288"/>
        <c:scaling>
          <c:logBase val="10"/>
          <c:orientation val="minMax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32320"/>
        <c:crosses val="autoZero"/>
        <c:crossBetween val="midCat"/>
      </c:valAx>
      <c:valAx>
        <c:axId val="23463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660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258789197402955"/>
          <c:y val="8.0779938052767106E-2"/>
          <c:w val="0.29511085785329466"/>
          <c:h val="9.4530979836051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image" Target="../media/image3.emf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image" Target="../media/image5.png"/><Relationship Id="rId4" Type="http://schemas.openxmlformats.org/officeDocument/2006/relationships/chart" Target="../charts/chart5.xml"/><Relationship Id="rId9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43</xdr:row>
      <xdr:rowOff>38100</xdr:rowOff>
    </xdr:from>
    <xdr:to>
      <xdr:col>7</xdr:col>
      <xdr:colOff>476250</xdr:colOff>
      <xdr:row>73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38100</xdr:rowOff>
    </xdr:from>
    <xdr:to>
      <xdr:col>7</xdr:col>
      <xdr:colOff>324448</xdr:colOff>
      <xdr:row>12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38100"/>
          <a:ext cx="6982423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17</xdr:row>
          <xdr:rowOff>57150</xdr:rowOff>
        </xdr:from>
        <xdr:to>
          <xdr:col>19</xdr:col>
          <xdr:colOff>38100</xdr:colOff>
          <xdr:row>38</xdr:row>
          <xdr:rowOff>88900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28575</xdr:rowOff>
    </xdr:from>
    <xdr:to>
      <xdr:col>6</xdr:col>
      <xdr:colOff>1714500</xdr:colOff>
      <xdr:row>39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28574</xdr:rowOff>
    </xdr:from>
    <xdr:to>
      <xdr:col>7</xdr:col>
      <xdr:colOff>632385</xdr:colOff>
      <xdr:row>1</xdr:row>
      <xdr:rowOff>66674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4"/>
          <a:ext cx="8204760" cy="212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28575</xdr:rowOff>
    </xdr:from>
    <xdr:to>
      <xdr:col>3</xdr:col>
      <xdr:colOff>38100</xdr:colOff>
      <xdr:row>22</xdr:row>
      <xdr:rowOff>152400</xdr:rowOff>
    </xdr:to>
    <xdr:pic>
      <xdr:nvPicPr>
        <xdr:cNvPr id="5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76650"/>
          <a:ext cx="19145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90</xdr:row>
      <xdr:rowOff>85725</xdr:rowOff>
    </xdr:from>
    <xdr:to>
      <xdr:col>6</xdr:col>
      <xdr:colOff>581025</xdr:colOff>
      <xdr:row>111</xdr:row>
      <xdr:rowOff>38100</xdr:rowOff>
    </xdr:to>
    <xdr:graphicFrame macro="">
      <xdr:nvGraphicFramePr>
        <xdr:cNvPr id="6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112</xdr:row>
      <xdr:rowOff>19050</xdr:rowOff>
    </xdr:from>
    <xdr:to>
      <xdr:col>6</xdr:col>
      <xdr:colOff>571500</xdr:colOff>
      <xdr:row>133</xdr:row>
      <xdr:rowOff>9525</xdr:rowOff>
    </xdr:to>
    <xdr:graphicFrame macro="">
      <xdr:nvGraphicFramePr>
        <xdr:cNvPr id="7" name="Chart 2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90</xdr:row>
      <xdr:rowOff>85725</xdr:rowOff>
    </xdr:from>
    <xdr:to>
      <xdr:col>13</xdr:col>
      <xdr:colOff>800100</xdr:colOff>
      <xdr:row>111</xdr:row>
      <xdr:rowOff>47625</xdr:rowOff>
    </xdr:to>
    <xdr:graphicFrame macro="">
      <xdr:nvGraphicFramePr>
        <xdr:cNvPr id="8" name="Chart 2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112</xdr:row>
      <xdr:rowOff>19050</xdr:rowOff>
    </xdr:from>
    <xdr:to>
      <xdr:col>14</xdr:col>
      <xdr:colOff>0</xdr:colOff>
      <xdr:row>133</xdr:row>
      <xdr:rowOff>19050</xdr:rowOff>
    </xdr:to>
    <xdr:graphicFrame macro="">
      <xdr:nvGraphicFramePr>
        <xdr:cNvPr id="9" name="Chart 2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666750</xdr:colOff>
      <xdr:row>66</xdr:row>
      <xdr:rowOff>180975</xdr:rowOff>
    </xdr:from>
    <xdr:to>
      <xdr:col>14</xdr:col>
      <xdr:colOff>104776</xdr:colOff>
      <xdr:row>88</xdr:row>
      <xdr:rowOff>0</xdr:rowOff>
    </xdr:to>
    <xdr:graphicFrame macro="">
      <xdr:nvGraphicFramePr>
        <xdr:cNvPr id="10" name="Chart 2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67</xdr:row>
      <xdr:rowOff>0</xdr:rowOff>
    </xdr:from>
    <xdr:to>
      <xdr:col>6</xdr:col>
      <xdr:colOff>561975</xdr:colOff>
      <xdr:row>88</xdr:row>
      <xdr:rowOff>19050</xdr:rowOff>
    </xdr:to>
    <xdr:graphicFrame macro="">
      <xdr:nvGraphicFramePr>
        <xdr:cNvPr id="11" name="Chart 2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133350</xdr:colOff>
      <xdr:row>37</xdr:row>
      <xdr:rowOff>19050</xdr:rowOff>
    </xdr:from>
    <xdr:to>
      <xdr:col>14</xdr:col>
      <xdr:colOff>457200</xdr:colOff>
      <xdr:row>56</xdr:row>
      <xdr:rowOff>0</xdr:rowOff>
    </xdr:to>
    <xdr:grpSp>
      <xdr:nvGrpSpPr>
        <xdr:cNvPr id="12" name="Group 237"/>
        <xdr:cNvGrpSpPr>
          <a:grpSpLocks/>
        </xdr:cNvGrpSpPr>
      </xdr:nvGrpSpPr>
      <xdr:grpSpPr bwMode="auto">
        <a:xfrm>
          <a:off x="6924675" y="7239000"/>
          <a:ext cx="5200650" cy="3600450"/>
          <a:chOff x="1576" y="1716"/>
          <a:chExt cx="2272" cy="1440"/>
        </a:xfrm>
      </xdr:grpSpPr>
      <xdr:grpSp>
        <xdr:nvGrpSpPr>
          <xdr:cNvPr id="13" name="Group 238"/>
          <xdr:cNvGrpSpPr>
            <a:grpSpLocks/>
          </xdr:cNvGrpSpPr>
        </xdr:nvGrpSpPr>
        <xdr:grpSpPr bwMode="auto">
          <a:xfrm>
            <a:off x="1596" y="1724"/>
            <a:ext cx="2220" cy="1392"/>
            <a:chOff x="1596" y="1724"/>
            <a:chExt cx="2220" cy="1392"/>
          </a:xfrm>
        </xdr:grpSpPr>
        <xdr:grpSp>
          <xdr:nvGrpSpPr>
            <xdr:cNvPr id="15" name="Group 239"/>
            <xdr:cNvGrpSpPr>
              <a:grpSpLocks/>
            </xdr:cNvGrpSpPr>
          </xdr:nvGrpSpPr>
          <xdr:grpSpPr bwMode="auto">
            <a:xfrm>
              <a:off x="2640" y="2460"/>
              <a:ext cx="289" cy="329"/>
              <a:chOff x="3083" y="3207"/>
              <a:chExt cx="289" cy="329"/>
            </a:xfrm>
          </xdr:grpSpPr>
          <xdr:sp macro="" textlink="">
            <xdr:nvSpPr>
              <xdr:cNvPr id="118" name="Freeform 240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9" name="Freeform 241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noFill/>
              <a:ln w="12700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6" name="Line 242"/>
            <xdr:cNvSpPr>
              <a:spLocks noChangeShapeType="1"/>
            </xdr:cNvSpPr>
          </xdr:nvSpPr>
          <xdr:spPr bwMode="auto">
            <a:xfrm>
              <a:off x="2931" y="2709"/>
              <a:ext cx="21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" name="Line 243"/>
            <xdr:cNvSpPr>
              <a:spLocks noChangeShapeType="1"/>
            </xdr:cNvSpPr>
          </xdr:nvSpPr>
          <xdr:spPr bwMode="auto">
            <a:xfrm flipH="1">
              <a:off x="1891" y="2623"/>
              <a:ext cx="75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" name="Line 244"/>
            <xdr:cNvSpPr>
              <a:spLocks noChangeShapeType="1"/>
            </xdr:cNvSpPr>
          </xdr:nvSpPr>
          <xdr:spPr bwMode="auto">
            <a:xfrm>
              <a:off x="2929" y="2539"/>
              <a:ext cx="12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" name="Rectangle 245"/>
            <xdr:cNvSpPr>
              <a:spLocks noChangeArrowheads="1"/>
            </xdr:cNvSpPr>
          </xdr:nvSpPr>
          <xdr:spPr bwMode="auto">
            <a:xfrm>
              <a:off x="2874" y="2676"/>
              <a:ext cx="41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20" name="Rectangle 246"/>
            <xdr:cNvSpPr>
              <a:spLocks noChangeArrowheads="1"/>
            </xdr:cNvSpPr>
          </xdr:nvSpPr>
          <xdr:spPr bwMode="auto">
            <a:xfrm>
              <a:off x="2894" y="2497"/>
              <a:ext cx="20" cy="8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-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grpSp>
          <xdr:nvGrpSpPr>
            <xdr:cNvPr id="21" name="Group 247"/>
            <xdr:cNvGrpSpPr>
              <a:grpSpLocks/>
            </xdr:cNvGrpSpPr>
          </xdr:nvGrpSpPr>
          <xdr:grpSpPr bwMode="auto">
            <a:xfrm>
              <a:off x="2640" y="2460"/>
              <a:ext cx="289" cy="329"/>
              <a:chOff x="3083" y="3207"/>
              <a:chExt cx="289" cy="329"/>
            </a:xfrm>
          </xdr:grpSpPr>
          <xdr:sp macro="" textlink="">
            <xdr:nvSpPr>
              <xdr:cNvPr id="116" name="Freeform 248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7" name="Freeform 249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noFill/>
              <a:ln w="12700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22" name="Line 250"/>
            <xdr:cNvSpPr>
              <a:spLocks noChangeShapeType="1"/>
            </xdr:cNvSpPr>
          </xdr:nvSpPr>
          <xdr:spPr bwMode="auto">
            <a:xfrm>
              <a:off x="2931" y="2709"/>
              <a:ext cx="21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" name="Line 251"/>
            <xdr:cNvSpPr>
              <a:spLocks noChangeShapeType="1"/>
            </xdr:cNvSpPr>
          </xdr:nvSpPr>
          <xdr:spPr bwMode="auto">
            <a:xfrm>
              <a:off x="2929" y="2539"/>
              <a:ext cx="12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" name="Rectangle 252"/>
            <xdr:cNvSpPr>
              <a:spLocks noChangeArrowheads="1"/>
            </xdr:cNvSpPr>
          </xdr:nvSpPr>
          <xdr:spPr bwMode="auto">
            <a:xfrm>
              <a:off x="2874" y="2676"/>
              <a:ext cx="41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25" name="Rectangle 253"/>
            <xdr:cNvSpPr>
              <a:spLocks noChangeArrowheads="1"/>
            </xdr:cNvSpPr>
          </xdr:nvSpPr>
          <xdr:spPr bwMode="auto">
            <a:xfrm>
              <a:off x="2894" y="2497"/>
              <a:ext cx="20" cy="8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-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grpSp>
          <xdr:nvGrpSpPr>
            <xdr:cNvPr id="26" name="Group 254"/>
            <xdr:cNvGrpSpPr>
              <a:grpSpLocks/>
            </xdr:cNvGrpSpPr>
          </xdr:nvGrpSpPr>
          <xdr:grpSpPr bwMode="auto">
            <a:xfrm>
              <a:off x="2640" y="2460"/>
              <a:ext cx="289" cy="329"/>
              <a:chOff x="3083" y="3207"/>
              <a:chExt cx="289" cy="329"/>
            </a:xfrm>
          </xdr:grpSpPr>
          <xdr:sp macro="" textlink="">
            <xdr:nvSpPr>
              <xdr:cNvPr id="114" name="Freeform 255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5" name="Freeform 256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noFill/>
              <a:ln w="12700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27" name="Line 257"/>
            <xdr:cNvSpPr>
              <a:spLocks noChangeShapeType="1"/>
            </xdr:cNvSpPr>
          </xdr:nvSpPr>
          <xdr:spPr bwMode="auto">
            <a:xfrm>
              <a:off x="2931" y="2709"/>
              <a:ext cx="21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258"/>
            <xdr:cNvSpPr>
              <a:spLocks noChangeShapeType="1"/>
            </xdr:cNvSpPr>
          </xdr:nvSpPr>
          <xdr:spPr bwMode="auto">
            <a:xfrm>
              <a:off x="2929" y="2539"/>
              <a:ext cx="516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Rectangle 259"/>
            <xdr:cNvSpPr>
              <a:spLocks noChangeArrowheads="1"/>
            </xdr:cNvSpPr>
          </xdr:nvSpPr>
          <xdr:spPr bwMode="auto">
            <a:xfrm>
              <a:off x="2976" y="2554"/>
              <a:ext cx="90" cy="8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FB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30" name="Rectangle 260"/>
            <xdr:cNvSpPr>
              <a:spLocks noChangeArrowheads="1"/>
            </xdr:cNvSpPr>
          </xdr:nvSpPr>
          <xdr:spPr bwMode="auto">
            <a:xfrm>
              <a:off x="2874" y="2676"/>
              <a:ext cx="41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31" name="Rectangle 261"/>
            <xdr:cNvSpPr>
              <a:spLocks noChangeArrowheads="1"/>
            </xdr:cNvSpPr>
          </xdr:nvSpPr>
          <xdr:spPr bwMode="auto">
            <a:xfrm>
              <a:off x="2894" y="2497"/>
              <a:ext cx="20" cy="8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-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32" name="Rectangle 262"/>
            <xdr:cNvSpPr>
              <a:spLocks noChangeArrowheads="1"/>
            </xdr:cNvSpPr>
          </xdr:nvSpPr>
          <xdr:spPr bwMode="auto">
            <a:xfrm>
              <a:off x="2951" y="2726"/>
              <a:ext cx="188" cy="9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VREF</a:t>
              </a:r>
              <a:endParaRPr lang="en-US" sz="9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9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grpSp>
          <xdr:nvGrpSpPr>
            <xdr:cNvPr id="33" name="Group 263"/>
            <xdr:cNvGrpSpPr>
              <a:grpSpLocks/>
            </xdr:cNvGrpSpPr>
          </xdr:nvGrpSpPr>
          <xdr:grpSpPr bwMode="auto">
            <a:xfrm>
              <a:off x="2640" y="2460"/>
              <a:ext cx="289" cy="329"/>
              <a:chOff x="3083" y="3207"/>
              <a:chExt cx="289" cy="329"/>
            </a:xfrm>
          </xdr:grpSpPr>
          <xdr:sp macro="" textlink="">
            <xdr:nvSpPr>
              <xdr:cNvPr id="112" name="Freeform 264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3" name="Freeform 265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noFill/>
              <a:ln w="12700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34" name="Line 266"/>
            <xdr:cNvSpPr>
              <a:spLocks noChangeShapeType="1"/>
            </xdr:cNvSpPr>
          </xdr:nvSpPr>
          <xdr:spPr bwMode="auto">
            <a:xfrm>
              <a:off x="2931" y="2709"/>
              <a:ext cx="21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" name="Rectangle 267"/>
            <xdr:cNvSpPr>
              <a:spLocks noChangeArrowheads="1"/>
            </xdr:cNvSpPr>
          </xdr:nvSpPr>
          <xdr:spPr bwMode="auto">
            <a:xfrm>
              <a:off x="1949" y="2638"/>
              <a:ext cx="262" cy="8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VCOMP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36" name="Rectangle 268"/>
            <xdr:cNvSpPr>
              <a:spLocks noChangeArrowheads="1"/>
            </xdr:cNvSpPr>
          </xdr:nvSpPr>
          <xdr:spPr bwMode="auto">
            <a:xfrm>
              <a:off x="2874" y="2676"/>
              <a:ext cx="41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37" name="Rectangle 269"/>
            <xdr:cNvSpPr>
              <a:spLocks noChangeArrowheads="1"/>
            </xdr:cNvSpPr>
          </xdr:nvSpPr>
          <xdr:spPr bwMode="auto">
            <a:xfrm>
              <a:off x="2894" y="2497"/>
              <a:ext cx="20" cy="8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-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38" name="Freeform 270"/>
            <xdr:cNvSpPr>
              <a:spLocks/>
            </xdr:cNvSpPr>
          </xdr:nvSpPr>
          <xdr:spPr bwMode="auto">
            <a:xfrm>
              <a:off x="3424" y="2748"/>
              <a:ext cx="62" cy="109"/>
            </a:xfrm>
            <a:custGeom>
              <a:avLst/>
              <a:gdLst>
                <a:gd name="T0" fmla="*/ 1 w 122"/>
                <a:gd name="T1" fmla="*/ 0 h 256"/>
                <a:gd name="T2" fmla="*/ 1 w 122"/>
                <a:gd name="T3" fmla="*/ 0 h 256"/>
                <a:gd name="T4" fmla="*/ 0 w 122"/>
                <a:gd name="T5" fmla="*/ 0 h 256"/>
                <a:gd name="T6" fmla="*/ 1 w 122"/>
                <a:gd name="T7" fmla="*/ 0 h 256"/>
                <a:gd name="T8" fmla="*/ 0 w 122"/>
                <a:gd name="T9" fmla="*/ 0 h 256"/>
                <a:gd name="T10" fmla="*/ 1 w 122"/>
                <a:gd name="T11" fmla="*/ 0 h 256"/>
                <a:gd name="T12" fmla="*/ 0 w 122"/>
                <a:gd name="T13" fmla="*/ 0 h 256"/>
                <a:gd name="T14" fmla="*/ 1 w 122"/>
                <a:gd name="T15" fmla="*/ 0 h 25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22"/>
                <a:gd name="T25" fmla="*/ 0 h 256"/>
                <a:gd name="T26" fmla="*/ 122 w 122"/>
                <a:gd name="T27" fmla="*/ 256 h 256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22" h="256">
                  <a:moveTo>
                    <a:pt x="60" y="0"/>
                  </a:moveTo>
                  <a:lnTo>
                    <a:pt x="122" y="22"/>
                  </a:lnTo>
                  <a:lnTo>
                    <a:pt x="0" y="63"/>
                  </a:lnTo>
                  <a:lnTo>
                    <a:pt x="122" y="106"/>
                  </a:lnTo>
                  <a:lnTo>
                    <a:pt x="0" y="150"/>
                  </a:lnTo>
                  <a:lnTo>
                    <a:pt x="122" y="191"/>
                  </a:lnTo>
                  <a:lnTo>
                    <a:pt x="0" y="235"/>
                  </a:lnTo>
                  <a:lnTo>
                    <a:pt x="60" y="256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9" name="Freeform 271"/>
            <xdr:cNvSpPr>
              <a:spLocks/>
            </xdr:cNvSpPr>
          </xdr:nvSpPr>
          <xdr:spPr bwMode="auto">
            <a:xfrm>
              <a:off x="3408" y="2168"/>
              <a:ext cx="62" cy="109"/>
            </a:xfrm>
            <a:custGeom>
              <a:avLst/>
              <a:gdLst>
                <a:gd name="T0" fmla="*/ 1 w 122"/>
                <a:gd name="T1" fmla="*/ 0 h 256"/>
                <a:gd name="T2" fmla="*/ 1 w 122"/>
                <a:gd name="T3" fmla="*/ 0 h 256"/>
                <a:gd name="T4" fmla="*/ 0 w 122"/>
                <a:gd name="T5" fmla="*/ 0 h 256"/>
                <a:gd name="T6" fmla="*/ 1 w 122"/>
                <a:gd name="T7" fmla="*/ 0 h 256"/>
                <a:gd name="T8" fmla="*/ 0 w 122"/>
                <a:gd name="T9" fmla="*/ 0 h 256"/>
                <a:gd name="T10" fmla="*/ 1 w 122"/>
                <a:gd name="T11" fmla="*/ 0 h 256"/>
                <a:gd name="T12" fmla="*/ 0 w 122"/>
                <a:gd name="T13" fmla="*/ 0 h 256"/>
                <a:gd name="T14" fmla="*/ 1 w 122"/>
                <a:gd name="T15" fmla="*/ 0 h 25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22"/>
                <a:gd name="T25" fmla="*/ 0 h 256"/>
                <a:gd name="T26" fmla="*/ 122 w 122"/>
                <a:gd name="T27" fmla="*/ 256 h 256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22" h="256">
                  <a:moveTo>
                    <a:pt x="60" y="0"/>
                  </a:moveTo>
                  <a:lnTo>
                    <a:pt x="122" y="22"/>
                  </a:lnTo>
                  <a:lnTo>
                    <a:pt x="0" y="63"/>
                  </a:lnTo>
                  <a:lnTo>
                    <a:pt x="122" y="106"/>
                  </a:lnTo>
                  <a:lnTo>
                    <a:pt x="0" y="150"/>
                  </a:lnTo>
                  <a:lnTo>
                    <a:pt x="122" y="191"/>
                  </a:lnTo>
                  <a:lnTo>
                    <a:pt x="0" y="235"/>
                  </a:lnTo>
                  <a:lnTo>
                    <a:pt x="60" y="256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40" name="Group 272"/>
            <xdr:cNvGrpSpPr>
              <a:grpSpLocks/>
            </xdr:cNvGrpSpPr>
          </xdr:nvGrpSpPr>
          <xdr:grpSpPr bwMode="auto">
            <a:xfrm rot="10800000">
              <a:off x="2496" y="2828"/>
              <a:ext cx="104" cy="212"/>
              <a:chOff x="2272" y="2612"/>
              <a:chExt cx="104" cy="212"/>
            </a:xfrm>
          </xdr:grpSpPr>
          <xdr:sp macro="" textlink="">
            <xdr:nvSpPr>
              <xdr:cNvPr id="108" name="Line 273"/>
              <xdr:cNvSpPr>
                <a:spLocks noChangeShapeType="1"/>
              </xdr:cNvSpPr>
            </xdr:nvSpPr>
            <xdr:spPr bwMode="auto">
              <a:xfrm>
                <a:off x="2324" y="2612"/>
                <a:ext cx="0" cy="88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274"/>
              <xdr:cNvSpPr>
                <a:spLocks noChangeShapeType="1"/>
              </xdr:cNvSpPr>
            </xdr:nvSpPr>
            <xdr:spPr bwMode="auto">
              <a:xfrm>
                <a:off x="2272" y="2700"/>
                <a:ext cx="10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" name="Line 275"/>
              <xdr:cNvSpPr>
                <a:spLocks noChangeShapeType="1"/>
              </xdr:cNvSpPr>
            </xdr:nvSpPr>
            <xdr:spPr bwMode="auto">
              <a:xfrm>
                <a:off x="2272" y="2744"/>
                <a:ext cx="10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276"/>
              <xdr:cNvSpPr>
                <a:spLocks noChangeShapeType="1"/>
              </xdr:cNvSpPr>
            </xdr:nvSpPr>
            <xdr:spPr bwMode="auto">
              <a:xfrm>
                <a:off x="2324" y="2744"/>
                <a:ext cx="0" cy="8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277"/>
            <xdr:cNvGrpSpPr>
              <a:grpSpLocks/>
            </xdr:cNvGrpSpPr>
          </xdr:nvGrpSpPr>
          <xdr:grpSpPr bwMode="auto">
            <a:xfrm>
              <a:off x="3564" y="2120"/>
              <a:ext cx="104" cy="212"/>
              <a:chOff x="2272" y="2612"/>
              <a:chExt cx="104" cy="212"/>
            </a:xfrm>
          </xdr:grpSpPr>
          <xdr:sp macro="" textlink="">
            <xdr:nvSpPr>
              <xdr:cNvPr id="104" name="Line 278"/>
              <xdr:cNvSpPr>
                <a:spLocks noChangeShapeType="1"/>
              </xdr:cNvSpPr>
            </xdr:nvSpPr>
            <xdr:spPr bwMode="auto">
              <a:xfrm>
                <a:off x="2324" y="2612"/>
                <a:ext cx="0" cy="88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" name="Line 279"/>
              <xdr:cNvSpPr>
                <a:spLocks noChangeShapeType="1"/>
              </xdr:cNvSpPr>
            </xdr:nvSpPr>
            <xdr:spPr bwMode="auto">
              <a:xfrm>
                <a:off x="2272" y="2700"/>
                <a:ext cx="10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" name="Line 280"/>
              <xdr:cNvSpPr>
                <a:spLocks noChangeShapeType="1"/>
              </xdr:cNvSpPr>
            </xdr:nvSpPr>
            <xdr:spPr bwMode="auto">
              <a:xfrm>
                <a:off x="2272" y="2744"/>
                <a:ext cx="10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281"/>
              <xdr:cNvSpPr>
                <a:spLocks noChangeShapeType="1"/>
              </xdr:cNvSpPr>
            </xdr:nvSpPr>
            <xdr:spPr bwMode="auto">
              <a:xfrm>
                <a:off x="2324" y="2744"/>
                <a:ext cx="0" cy="8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Freeform 282"/>
            <xdr:cNvSpPr>
              <a:spLocks/>
            </xdr:cNvSpPr>
          </xdr:nvSpPr>
          <xdr:spPr bwMode="auto">
            <a:xfrm rot="10800000">
              <a:off x="2516" y="2712"/>
              <a:ext cx="62" cy="109"/>
            </a:xfrm>
            <a:custGeom>
              <a:avLst/>
              <a:gdLst>
                <a:gd name="T0" fmla="*/ 1 w 122"/>
                <a:gd name="T1" fmla="*/ 0 h 256"/>
                <a:gd name="T2" fmla="*/ 1 w 122"/>
                <a:gd name="T3" fmla="*/ 0 h 256"/>
                <a:gd name="T4" fmla="*/ 0 w 122"/>
                <a:gd name="T5" fmla="*/ 0 h 256"/>
                <a:gd name="T6" fmla="*/ 1 w 122"/>
                <a:gd name="T7" fmla="*/ 0 h 256"/>
                <a:gd name="T8" fmla="*/ 0 w 122"/>
                <a:gd name="T9" fmla="*/ 0 h 256"/>
                <a:gd name="T10" fmla="*/ 1 w 122"/>
                <a:gd name="T11" fmla="*/ 0 h 256"/>
                <a:gd name="T12" fmla="*/ 0 w 122"/>
                <a:gd name="T13" fmla="*/ 0 h 256"/>
                <a:gd name="T14" fmla="*/ 1 w 122"/>
                <a:gd name="T15" fmla="*/ 0 h 25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122"/>
                <a:gd name="T25" fmla="*/ 0 h 256"/>
                <a:gd name="T26" fmla="*/ 122 w 122"/>
                <a:gd name="T27" fmla="*/ 256 h 256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122" h="256">
                  <a:moveTo>
                    <a:pt x="60" y="0"/>
                  </a:moveTo>
                  <a:lnTo>
                    <a:pt x="122" y="22"/>
                  </a:lnTo>
                  <a:lnTo>
                    <a:pt x="0" y="63"/>
                  </a:lnTo>
                  <a:lnTo>
                    <a:pt x="122" y="106"/>
                  </a:lnTo>
                  <a:lnTo>
                    <a:pt x="0" y="150"/>
                  </a:lnTo>
                  <a:lnTo>
                    <a:pt x="122" y="191"/>
                  </a:lnTo>
                  <a:lnTo>
                    <a:pt x="0" y="235"/>
                  </a:lnTo>
                  <a:lnTo>
                    <a:pt x="60" y="256"/>
                  </a:lnTo>
                </a:path>
              </a:pathLst>
            </a:cu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3" name="Line 283"/>
            <xdr:cNvSpPr>
              <a:spLocks noChangeShapeType="1"/>
            </xdr:cNvSpPr>
          </xdr:nvSpPr>
          <xdr:spPr bwMode="auto">
            <a:xfrm>
              <a:off x="2548" y="2620"/>
              <a:ext cx="0" cy="9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" name="Oval 284"/>
            <xdr:cNvSpPr>
              <a:spLocks noChangeArrowheads="1"/>
            </xdr:cNvSpPr>
          </xdr:nvSpPr>
          <xdr:spPr bwMode="auto">
            <a:xfrm>
              <a:off x="2528" y="2604"/>
              <a:ext cx="40" cy="40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5" name="Line 285"/>
            <xdr:cNvSpPr>
              <a:spLocks noChangeShapeType="1"/>
            </xdr:cNvSpPr>
          </xdr:nvSpPr>
          <xdr:spPr bwMode="auto">
            <a:xfrm>
              <a:off x="3444" y="2276"/>
              <a:ext cx="4" cy="46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" name="Line 286"/>
            <xdr:cNvSpPr>
              <a:spLocks noChangeShapeType="1"/>
            </xdr:cNvSpPr>
          </xdr:nvSpPr>
          <xdr:spPr bwMode="auto">
            <a:xfrm>
              <a:off x="3452" y="2864"/>
              <a:ext cx="0" cy="136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" name="Line 287"/>
            <xdr:cNvSpPr>
              <a:spLocks noChangeShapeType="1"/>
            </xdr:cNvSpPr>
          </xdr:nvSpPr>
          <xdr:spPr bwMode="auto">
            <a:xfrm>
              <a:off x="3400" y="3004"/>
              <a:ext cx="10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" name="Line 288"/>
            <xdr:cNvSpPr>
              <a:spLocks noChangeShapeType="1"/>
            </xdr:cNvSpPr>
          </xdr:nvSpPr>
          <xdr:spPr bwMode="auto">
            <a:xfrm>
              <a:off x="3424" y="3024"/>
              <a:ext cx="52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" name="Line 289"/>
            <xdr:cNvSpPr>
              <a:spLocks noChangeShapeType="1"/>
            </xdr:cNvSpPr>
          </xdr:nvSpPr>
          <xdr:spPr bwMode="auto">
            <a:xfrm>
              <a:off x="3440" y="3044"/>
              <a:ext cx="2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" name="Line 290"/>
            <xdr:cNvSpPr>
              <a:spLocks noChangeShapeType="1"/>
            </xdr:cNvSpPr>
          </xdr:nvSpPr>
          <xdr:spPr bwMode="auto">
            <a:xfrm>
              <a:off x="3448" y="2540"/>
              <a:ext cx="16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" name="Line 291"/>
            <xdr:cNvSpPr>
              <a:spLocks noChangeShapeType="1"/>
            </xdr:cNvSpPr>
          </xdr:nvSpPr>
          <xdr:spPr bwMode="auto">
            <a:xfrm flipV="1">
              <a:off x="3616" y="2320"/>
              <a:ext cx="0" cy="2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" name="Line 292"/>
            <xdr:cNvSpPr>
              <a:spLocks noChangeShapeType="1"/>
            </xdr:cNvSpPr>
          </xdr:nvSpPr>
          <xdr:spPr bwMode="auto">
            <a:xfrm flipV="1">
              <a:off x="3440" y="1904"/>
              <a:ext cx="0" cy="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" name="Line 293"/>
            <xdr:cNvSpPr>
              <a:spLocks noChangeShapeType="1"/>
            </xdr:cNvSpPr>
          </xdr:nvSpPr>
          <xdr:spPr bwMode="auto">
            <a:xfrm flipV="1">
              <a:off x="3616" y="1828"/>
              <a:ext cx="0" cy="3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" name="Line 294"/>
            <xdr:cNvSpPr>
              <a:spLocks noChangeShapeType="1"/>
            </xdr:cNvSpPr>
          </xdr:nvSpPr>
          <xdr:spPr bwMode="auto">
            <a:xfrm>
              <a:off x="3208" y="1904"/>
              <a:ext cx="416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" name="Rectangle 295"/>
            <xdr:cNvSpPr>
              <a:spLocks noChangeArrowheads="1"/>
            </xdr:cNvSpPr>
          </xdr:nvSpPr>
          <xdr:spPr bwMode="auto">
            <a:xfrm>
              <a:off x="2599" y="2752"/>
              <a:ext cx="70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R3</a:t>
              </a:r>
            </a:p>
            <a:p>
              <a:pPr algn="l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56" name="Rectangle 296"/>
            <xdr:cNvSpPr>
              <a:spLocks noChangeArrowheads="1"/>
            </xdr:cNvSpPr>
          </xdr:nvSpPr>
          <xdr:spPr bwMode="auto">
            <a:xfrm>
              <a:off x="2612" y="2893"/>
              <a:ext cx="70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C5</a:t>
              </a:r>
            </a:p>
            <a:p>
              <a:pPr algn="l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57" name="Rectangle 297"/>
            <xdr:cNvSpPr>
              <a:spLocks noChangeArrowheads="1"/>
            </xdr:cNvSpPr>
          </xdr:nvSpPr>
          <xdr:spPr bwMode="auto">
            <a:xfrm>
              <a:off x="3344" y="2752"/>
              <a:ext cx="102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R2</a:t>
              </a:r>
            </a:p>
            <a:p>
              <a:pPr algn="l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58" name="Rectangle 298"/>
            <xdr:cNvSpPr>
              <a:spLocks noChangeArrowheads="1"/>
            </xdr:cNvSpPr>
          </xdr:nvSpPr>
          <xdr:spPr bwMode="auto">
            <a:xfrm>
              <a:off x="3324" y="2188"/>
              <a:ext cx="98" cy="8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R1</a:t>
              </a:r>
            </a:p>
            <a:p>
              <a:pPr algn="l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59" name="Rectangle 299"/>
            <xdr:cNvSpPr>
              <a:spLocks noChangeArrowheads="1"/>
            </xdr:cNvSpPr>
          </xdr:nvSpPr>
          <xdr:spPr bwMode="auto">
            <a:xfrm>
              <a:off x="3697" y="2196"/>
              <a:ext cx="119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C3</a:t>
              </a:r>
            </a:p>
            <a:p>
              <a:pPr algn="l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0" name="Oval 300"/>
            <xdr:cNvSpPr>
              <a:spLocks noChangeArrowheads="1"/>
            </xdr:cNvSpPr>
          </xdr:nvSpPr>
          <xdr:spPr bwMode="auto">
            <a:xfrm>
              <a:off x="3428" y="2520"/>
              <a:ext cx="40" cy="40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61" name="Oval 301"/>
            <xdr:cNvSpPr>
              <a:spLocks noChangeArrowheads="1"/>
            </xdr:cNvSpPr>
          </xdr:nvSpPr>
          <xdr:spPr bwMode="auto">
            <a:xfrm>
              <a:off x="3596" y="1888"/>
              <a:ext cx="40" cy="40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62" name="Rectangle 302"/>
            <xdr:cNvSpPr>
              <a:spLocks noChangeArrowheads="1"/>
            </xdr:cNvSpPr>
          </xdr:nvSpPr>
          <xdr:spPr bwMode="auto">
            <a:xfrm>
              <a:off x="3529" y="1724"/>
              <a:ext cx="156" cy="9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OUT</a:t>
              </a:r>
              <a:endParaRPr lang="en-US" sz="9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9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grpSp>
          <xdr:nvGrpSpPr>
            <xdr:cNvPr id="63" name="Group 303"/>
            <xdr:cNvGrpSpPr>
              <a:grpSpLocks/>
            </xdr:cNvGrpSpPr>
          </xdr:nvGrpSpPr>
          <xdr:grpSpPr bwMode="auto">
            <a:xfrm>
              <a:off x="1596" y="2368"/>
              <a:ext cx="293" cy="329"/>
              <a:chOff x="3083" y="3207"/>
              <a:chExt cx="289" cy="329"/>
            </a:xfrm>
          </xdr:grpSpPr>
          <xdr:sp macro="" textlink="">
            <xdr:nvSpPr>
              <xdr:cNvPr id="102" name="Freeform 304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solidFill>
                <a:srgbClr val="FFFFFF"/>
              </a:solidFill>
              <a:ln w="12700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3" name="Freeform 305"/>
              <xdr:cNvSpPr>
                <a:spLocks/>
              </xdr:cNvSpPr>
            </xdr:nvSpPr>
            <xdr:spPr bwMode="auto">
              <a:xfrm>
                <a:off x="3083" y="3207"/>
                <a:ext cx="289" cy="329"/>
              </a:xfrm>
              <a:custGeom>
                <a:avLst/>
                <a:gdLst>
                  <a:gd name="T0" fmla="*/ 0 w 289"/>
                  <a:gd name="T1" fmla="*/ 164 h 329"/>
                  <a:gd name="T2" fmla="*/ 289 w 289"/>
                  <a:gd name="T3" fmla="*/ 0 h 329"/>
                  <a:gd name="T4" fmla="*/ 289 w 289"/>
                  <a:gd name="T5" fmla="*/ 329 h 329"/>
                  <a:gd name="T6" fmla="*/ 0 w 289"/>
                  <a:gd name="T7" fmla="*/ 164 h 329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289"/>
                  <a:gd name="T13" fmla="*/ 0 h 329"/>
                  <a:gd name="T14" fmla="*/ 289 w 289"/>
                  <a:gd name="T15" fmla="*/ 329 h 329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89" h="329">
                    <a:moveTo>
                      <a:pt x="0" y="164"/>
                    </a:moveTo>
                    <a:lnTo>
                      <a:pt x="289" y="0"/>
                    </a:lnTo>
                    <a:lnTo>
                      <a:pt x="289" y="329"/>
                    </a:lnTo>
                    <a:lnTo>
                      <a:pt x="0" y="164"/>
                    </a:lnTo>
                    <a:close/>
                  </a:path>
                </a:pathLst>
              </a:custGeom>
              <a:noFill/>
              <a:ln w="12700" cap="rnd">
                <a:solidFill>
                  <a:srgbClr val="000000"/>
                </a:solidFill>
                <a:prstDash val="solid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grpSp>
          <xdr:nvGrpSpPr>
            <xdr:cNvPr id="64" name="Group 306"/>
            <xdr:cNvGrpSpPr>
              <a:grpSpLocks/>
            </xdr:cNvGrpSpPr>
          </xdr:nvGrpSpPr>
          <xdr:grpSpPr bwMode="auto">
            <a:xfrm>
              <a:off x="2492" y="3076"/>
              <a:ext cx="108" cy="40"/>
              <a:chOff x="3396" y="3040"/>
              <a:chExt cx="108" cy="40"/>
            </a:xfrm>
          </xdr:grpSpPr>
          <xdr:sp macro="" textlink="">
            <xdr:nvSpPr>
              <xdr:cNvPr id="99" name="Line 307"/>
              <xdr:cNvSpPr>
                <a:spLocks noChangeShapeType="1"/>
              </xdr:cNvSpPr>
            </xdr:nvSpPr>
            <xdr:spPr bwMode="auto">
              <a:xfrm>
                <a:off x="3396" y="3040"/>
                <a:ext cx="108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" name="Line 308"/>
              <xdr:cNvSpPr>
                <a:spLocks noChangeShapeType="1"/>
              </xdr:cNvSpPr>
            </xdr:nvSpPr>
            <xdr:spPr bwMode="auto">
              <a:xfrm>
                <a:off x="3420" y="3060"/>
                <a:ext cx="52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" name="Line 309"/>
              <xdr:cNvSpPr>
                <a:spLocks noChangeShapeType="1"/>
              </xdr:cNvSpPr>
            </xdr:nvSpPr>
            <xdr:spPr bwMode="auto">
              <a:xfrm>
                <a:off x="3436" y="3080"/>
                <a:ext cx="20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" name="Oval 310"/>
            <xdr:cNvSpPr>
              <a:spLocks noChangeArrowheads="1"/>
            </xdr:cNvSpPr>
          </xdr:nvSpPr>
          <xdr:spPr bwMode="auto">
            <a:xfrm>
              <a:off x="2096" y="2196"/>
              <a:ext cx="225" cy="21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1900"/>
                </a:lnSpc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  <a:p>
              <a:pPr algn="l" rtl="0">
                <a:lnSpc>
                  <a:spcPts val="1900"/>
                </a:lnSpc>
                <a:defRPr sz="1000"/>
              </a:pPr>
              <a:endPara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6" name="Rectangle 311"/>
            <xdr:cNvSpPr>
              <a:spLocks noChangeArrowheads="1"/>
            </xdr:cNvSpPr>
          </xdr:nvSpPr>
          <xdr:spPr bwMode="auto">
            <a:xfrm>
              <a:off x="1838" y="2577"/>
              <a:ext cx="33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67" name="Oval 312"/>
            <xdr:cNvSpPr>
              <a:spLocks noChangeArrowheads="1"/>
            </xdr:cNvSpPr>
          </xdr:nvSpPr>
          <xdr:spPr bwMode="auto">
            <a:xfrm>
              <a:off x="3420" y="1884"/>
              <a:ext cx="40" cy="40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68" name="Line 313"/>
            <xdr:cNvSpPr>
              <a:spLocks noChangeShapeType="1"/>
            </xdr:cNvSpPr>
          </xdr:nvSpPr>
          <xdr:spPr bwMode="auto">
            <a:xfrm flipH="1">
              <a:off x="2323" y="2315"/>
              <a:ext cx="326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" name="Group 314"/>
            <xdr:cNvGrpSpPr>
              <a:grpSpLocks/>
            </xdr:cNvGrpSpPr>
          </xdr:nvGrpSpPr>
          <xdr:grpSpPr bwMode="auto">
            <a:xfrm rot="10800000">
              <a:off x="2368" y="2732"/>
              <a:ext cx="104" cy="212"/>
              <a:chOff x="2272" y="2612"/>
              <a:chExt cx="104" cy="212"/>
            </a:xfrm>
          </xdr:grpSpPr>
          <xdr:sp macro="" textlink="">
            <xdr:nvSpPr>
              <xdr:cNvPr id="95" name="Line 315"/>
              <xdr:cNvSpPr>
                <a:spLocks noChangeShapeType="1"/>
              </xdr:cNvSpPr>
            </xdr:nvSpPr>
            <xdr:spPr bwMode="auto">
              <a:xfrm>
                <a:off x="2324" y="2612"/>
                <a:ext cx="0" cy="88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" name="Line 316"/>
              <xdr:cNvSpPr>
                <a:spLocks noChangeShapeType="1"/>
              </xdr:cNvSpPr>
            </xdr:nvSpPr>
            <xdr:spPr bwMode="auto">
              <a:xfrm>
                <a:off x="2272" y="2700"/>
                <a:ext cx="10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" name="Line 317"/>
              <xdr:cNvSpPr>
                <a:spLocks noChangeShapeType="1"/>
              </xdr:cNvSpPr>
            </xdr:nvSpPr>
            <xdr:spPr bwMode="auto">
              <a:xfrm>
                <a:off x="2272" y="2744"/>
                <a:ext cx="10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" name="Line 318"/>
              <xdr:cNvSpPr>
                <a:spLocks noChangeShapeType="1"/>
              </xdr:cNvSpPr>
            </xdr:nvSpPr>
            <xdr:spPr bwMode="auto">
              <a:xfrm>
                <a:off x="2324" y="2744"/>
                <a:ext cx="0" cy="8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" name="Line 319"/>
            <xdr:cNvSpPr>
              <a:spLocks noChangeShapeType="1"/>
            </xdr:cNvSpPr>
          </xdr:nvSpPr>
          <xdr:spPr bwMode="auto">
            <a:xfrm>
              <a:off x="2420" y="2628"/>
              <a:ext cx="0" cy="1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" name="Oval 320"/>
            <xdr:cNvSpPr>
              <a:spLocks noChangeArrowheads="1"/>
            </xdr:cNvSpPr>
          </xdr:nvSpPr>
          <xdr:spPr bwMode="auto">
            <a:xfrm>
              <a:off x="2400" y="2604"/>
              <a:ext cx="40" cy="40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" name="Line 321"/>
            <xdr:cNvSpPr>
              <a:spLocks noChangeShapeType="1"/>
            </xdr:cNvSpPr>
          </xdr:nvSpPr>
          <xdr:spPr bwMode="auto">
            <a:xfrm>
              <a:off x="2420" y="2936"/>
              <a:ext cx="0" cy="7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" name="Line 322"/>
            <xdr:cNvSpPr>
              <a:spLocks noChangeShapeType="1"/>
            </xdr:cNvSpPr>
          </xdr:nvSpPr>
          <xdr:spPr bwMode="auto">
            <a:xfrm>
              <a:off x="2548" y="2988"/>
              <a:ext cx="0" cy="9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" name="Line 323"/>
            <xdr:cNvSpPr>
              <a:spLocks noChangeShapeType="1"/>
            </xdr:cNvSpPr>
          </xdr:nvSpPr>
          <xdr:spPr bwMode="auto">
            <a:xfrm>
              <a:off x="2424" y="3008"/>
              <a:ext cx="12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" name="Oval 324"/>
            <xdr:cNvSpPr>
              <a:spLocks noChangeArrowheads="1"/>
            </xdr:cNvSpPr>
          </xdr:nvSpPr>
          <xdr:spPr bwMode="auto">
            <a:xfrm>
              <a:off x="2532" y="2988"/>
              <a:ext cx="40" cy="40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6" name="Rectangle 325"/>
            <xdr:cNvSpPr>
              <a:spLocks noChangeArrowheads="1"/>
            </xdr:cNvSpPr>
          </xdr:nvSpPr>
          <xdr:spPr bwMode="auto">
            <a:xfrm>
              <a:off x="2272" y="2794"/>
              <a:ext cx="65" cy="7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C6</a:t>
              </a:r>
            </a:p>
            <a:p>
              <a:pPr algn="l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77" name="Line 326"/>
            <xdr:cNvSpPr>
              <a:spLocks noChangeShapeType="1"/>
            </xdr:cNvSpPr>
          </xdr:nvSpPr>
          <xdr:spPr bwMode="auto">
            <a:xfrm flipV="1">
              <a:off x="2212" y="2104"/>
              <a:ext cx="0" cy="92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triangle" w="med" len="med"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Rectangle 327"/>
            <xdr:cNvSpPr>
              <a:spLocks noChangeArrowheads="1"/>
            </xdr:cNvSpPr>
          </xdr:nvSpPr>
          <xdr:spPr bwMode="auto">
            <a:xfrm>
              <a:off x="2100" y="2025"/>
              <a:ext cx="82" cy="9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</a:t>
              </a:r>
            </a:p>
            <a:p>
              <a:pPr algn="l" rtl="0">
                <a:defRPr sz="1000"/>
              </a:pPr>
              <a:endPara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79" name="Line 328"/>
            <xdr:cNvSpPr>
              <a:spLocks noChangeShapeType="1"/>
            </xdr:cNvSpPr>
          </xdr:nvSpPr>
          <xdr:spPr bwMode="auto">
            <a:xfrm flipH="1">
              <a:off x="1967" y="2299"/>
              <a:ext cx="13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" name="Line 329"/>
            <xdr:cNvSpPr>
              <a:spLocks noChangeShapeType="1"/>
            </xdr:cNvSpPr>
          </xdr:nvSpPr>
          <xdr:spPr bwMode="auto">
            <a:xfrm flipH="1">
              <a:off x="1887" y="2435"/>
              <a:ext cx="78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" name="Line 330"/>
            <xdr:cNvSpPr>
              <a:spLocks noChangeShapeType="1"/>
            </xdr:cNvSpPr>
          </xdr:nvSpPr>
          <xdr:spPr bwMode="auto">
            <a:xfrm rot="16200000" flipH="1">
              <a:off x="1903" y="2367"/>
              <a:ext cx="13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" name="Rectangle 331"/>
            <xdr:cNvSpPr>
              <a:spLocks noChangeArrowheads="1"/>
            </xdr:cNvSpPr>
          </xdr:nvSpPr>
          <xdr:spPr bwMode="auto">
            <a:xfrm>
              <a:off x="2771" y="2573"/>
              <a:ext cx="102" cy="9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gm</a:t>
              </a: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  <a:p>
              <a:pPr algn="l" rtl="0">
                <a:defRPr sz="1000"/>
              </a:pPr>
              <a:endParaRPr lang="en-US" sz="2400" b="0" i="0" u="none" strike="noStrike" baseline="0">
                <a:solidFill>
                  <a:srgbClr val="000000"/>
                </a:solidFill>
                <a:latin typeface="Times"/>
                <a:cs typeface="Times"/>
              </a:endParaRPr>
            </a:p>
          </xdr:txBody>
        </xdr:sp>
        <xdr:sp macro="" textlink="">
          <xdr:nvSpPr>
            <xdr:cNvPr id="85" name="Line 338"/>
            <xdr:cNvSpPr>
              <a:spLocks noChangeShapeType="1"/>
            </xdr:cNvSpPr>
          </xdr:nvSpPr>
          <xdr:spPr bwMode="auto">
            <a:xfrm flipV="1">
              <a:off x="3615" y="2316"/>
              <a:ext cx="1" cy="2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Rectangle 343"/>
            <xdr:cNvSpPr>
              <a:spLocks noChangeArrowheads="1"/>
            </xdr:cNvSpPr>
          </xdr:nvSpPr>
          <xdr:spPr bwMode="auto">
            <a:xfrm>
              <a:off x="2403" y="2219"/>
              <a:ext cx="82" cy="8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0" rIns="0" bIns="0" anchor="t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RT</a:t>
              </a:r>
            </a:p>
            <a:p>
              <a:pPr algn="l" rtl="0">
                <a:defRPr sz="1000"/>
              </a:pPr>
              <a:endParaRPr lang="en-US" sz="9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  <xdr:sp macro="" textlink="">
        <xdr:nvSpPr>
          <xdr:cNvPr id="14" name="Rectangle 344"/>
          <xdr:cNvSpPr>
            <a:spLocks noChangeArrowheads="1"/>
          </xdr:cNvSpPr>
        </xdr:nvSpPr>
        <xdr:spPr bwMode="auto">
          <a:xfrm>
            <a:off x="1576" y="1716"/>
            <a:ext cx="2272" cy="144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35</xdr:row>
      <xdr:rowOff>123825</xdr:rowOff>
    </xdr:from>
    <xdr:to>
      <xdr:col>8</xdr:col>
      <xdr:colOff>66675</xdr:colOff>
      <xdr:row>66</xdr:row>
      <xdr:rowOff>57150</xdr:rowOff>
    </xdr:to>
    <xdr:grpSp>
      <xdr:nvGrpSpPr>
        <xdr:cNvPr id="122" name="Group 121"/>
        <xdr:cNvGrpSpPr/>
      </xdr:nvGrpSpPr>
      <xdr:grpSpPr>
        <a:xfrm>
          <a:off x="0" y="6953250"/>
          <a:ext cx="6858000" cy="5848350"/>
          <a:chOff x="0" y="6953250"/>
          <a:chExt cx="6858000" cy="5848350"/>
        </a:xfrm>
      </xdr:grpSpPr>
      <xdr:grpSp>
        <xdr:nvGrpSpPr>
          <xdr:cNvPr id="2" name="Group 223"/>
          <xdr:cNvGrpSpPr>
            <a:grpSpLocks/>
          </xdr:cNvGrpSpPr>
        </xdr:nvGrpSpPr>
        <xdr:grpSpPr bwMode="auto">
          <a:xfrm>
            <a:off x="0" y="6953250"/>
            <a:ext cx="6858000" cy="5848350"/>
            <a:chOff x="869" y="25"/>
            <a:chExt cx="562" cy="481"/>
          </a:xfrm>
        </xdr:grpSpPr>
        <xdr:pic>
          <xdr:nvPicPr>
            <xdr:cNvPr id="3" name="Picture 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69" y="25"/>
              <a:ext cx="562" cy="48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" name="Text Box 9"/>
            <xdr:cNvSpPr txBox="1">
              <a:spLocks noChangeArrowheads="1"/>
            </xdr:cNvSpPr>
          </xdr:nvSpPr>
          <xdr:spPr bwMode="auto">
            <a:xfrm>
              <a:off x="896" y="394"/>
              <a:ext cx="56" cy="42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800" b="0" i="0" u="none" strike="noStrike" baseline="-25000">
                  <a:solidFill>
                    <a:srgbClr val="000000"/>
                  </a:solidFill>
                  <a:latin typeface="Arial"/>
                  <a:cs typeface="Arial"/>
                </a:rPr>
                <a:t>E</a:t>
              </a:r>
            </a:p>
            <a:p>
              <a:pPr algn="l" rtl="0">
                <a:defRPr sz="1000"/>
              </a:pPr>
              <a:endPara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  <xdr:cxnSp macro="">
        <xdr:nvCxnSpPr>
          <xdr:cNvPr id="120" name="Straight Arrow Connector 119"/>
          <xdr:cNvCxnSpPr>
            <a:stCxn id="4" idx="3"/>
          </xdr:cNvCxnSpPr>
        </xdr:nvCxnSpPr>
        <xdr:spPr>
          <a:xfrm>
            <a:off x="1003077" y="11683571"/>
            <a:ext cx="435167" cy="3604"/>
          </a:xfrm>
          <a:prstGeom prst="straightConnector1">
            <a:avLst/>
          </a:prstGeom>
          <a:ln w="158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8</xdr:col>
      <xdr:colOff>323850</xdr:colOff>
      <xdr:row>11</xdr:row>
      <xdr:rowOff>104775</xdr:rowOff>
    </xdr:to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650557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323850</xdr:colOff>
      <xdr:row>27</xdr:row>
      <xdr:rowOff>0</xdr:rowOff>
    </xdr:from>
    <xdr:to>
      <xdr:col>15</xdr:col>
      <xdr:colOff>1219819</xdr:colOff>
      <xdr:row>30</xdr:row>
      <xdr:rowOff>30535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91975" y="5238750"/>
          <a:ext cx="1648444" cy="63061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0.49508</cdr:x>
      <cdr:y>0.5</cdr:y>
    </cdr:from>
    <cdr:to>
      <cdr:x>0.52507</cdr:x>
      <cdr:y>0.55321</cdr:y>
    </cdr:to>
    <cdr:sp macro="" textlink="">
      <cdr:nvSpPr>
        <cdr:cNvPr id="1843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9002" y="1698625"/>
          <a:ext cx="169950" cy="180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``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0.49606</cdr:x>
      <cdr:y>0.50122</cdr:y>
    </cdr:from>
    <cdr:to>
      <cdr:x>0.5263</cdr:x>
      <cdr:y>0.55443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4287" y="1702561"/>
          <a:ext cx="171050" cy="181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``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0.5027</cdr:x>
      <cdr:y>0.5017</cdr:y>
    </cdr:from>
    <cdr:to>
      <cdr:x>0.53197</cdr:x>
      <cdr:y>0.5537</cdr:y>
    </cdr:to>
    <cdr:sp macro="" textlink="">
      <cdr:nvSpPr>
        <cdr:cNvPr id="40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4405" y="1703388"/>
          <a:ext cx="170022" cy="180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``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0.50614</cdr:x>
      <cdr:y>0.5017</cdr:y>
    </cdr:from>
    <cdr:to>
      <cdr:x>0.53516</cdr:x>
      <cdr:y>0.55419</cdr:y>
    </cdr:to>
    <cdr:sp macro="" textlink="">
      <cdr:nvSpPr>
        <cdr:cNvPr id="450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3866" y="1708150"/>
          <a:ext cx="170593" cy="181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``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0.49852</cdr:x>
      <cdr:y>0.54861</cdr:y>
    </cdr:from>
    <cdr:to>
      <cdr:x>0.52803</cdr:x>
      <cdr:y>0.59576</cdr:y>
    </cdr:to>
    <cdr:sp macro="" textlink="">
      <cdr:nvSpPr>
        <cdr:cNvPr id="48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0735" y="1879124"/>
          <a:ext cx="170307" cy="161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``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0.49508</cdr:x>
      <cdr:y>0.54885</cdr:y>
    </cdr:from>
    <cdr:to>
      <cdr:x>0.52433</cdr:x>
      <cdr:y>0.59576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3147" y="1885196"/>
          <a:ext cx="170821" cy="1633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``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3:M118"/>
  <sheetViews>
    <sheetView tabSelected="1" topLeftCell="A7" workbookViewId="0">
      <selection activeCell="B17" sqref="B17"/>
    </sheetView>
  </sheetViews>
  <sheetFormatPr defaultRowHeight="13"/>
  <cols>
    <col min="1" max="1" width="36.26953125" style="2" customWidth="1"/>
    <col min="2" max="2" width="10.81640625" style="2" customWidth="1"/>
    <col min="3" max="3" width="7" style="2" customWidth="1"/>
    <col min="4" max="4" width="2.54296875" style="2" customWidth="1"/>
    <col min="5" max="5" width="25.54296875" style="2" customWidth="1"/>
    <col min="6" max="6" width="10.1796875" style="2" customWidth="1"/>
    <col min="7" max="9" width="9.1796875" style="2"/>
    <col min="10" max="10" width="14.26953125" style="2" bestFit="1" customWidth="1"/>
    <col min="11" max="11" width="15" style="2" bestFit="1" customWidth="1"/>
    <col min="12" max="12" width="13.7265625" style="2" bestFit="1" customWidth="1"/>
    <col min="13" max="256" width="9.1796875" style="2"/>
    <col min="257" max="257" width="34.26953125" style="2" bestFit="1" customWidth="1"/>
    <col min="258" max="258" width="10.81640625" style="2" customWidth="1"/>
    <col min="259" max="259" width="7" style="2" customWidth="1"/>
    <col min="260" max="260" width="2.54296875" style="2" customWidth="1"/>
    <col min="261" max="261" width="26" style="2" customWidth="1"/>
    <col min="262" max="262" width="10.1796875" style="2" customWidth="1"/>
    <col min="263" max="265" width="9.1796875" style="2"/>
    <col min="266" max="266" width="14.26953125" style="2" bestFit="1" customWidth="1"/>
    <col min="267" max="267" width="15" style="2" bestFit="1" customWidth="1"/>
    <col min="268" max="268" width="13.7265625" style="2" bestFit="1" customWidth="1"/>
    <col min="269" max="512" width="9.1796875" style="2"/>
    <col min="513" max="513" width="34.26953125" style="2" bestFit="1" customWidth="1"/>
    <col min="514" max="514" width="10.81640625" style="2" customWidth="1"/>
    <col min="515" max="515" width="7" style="2" customWidth="1"/>
    <col min="516" max="516" width="2.54296875" style="2" customWidth="1"/>
    <col min="517" max="517" width="26" style="2" customWidth="1"/>
    <col min="518" max="518" width="10.1796875" style="2" customWidth="1"/>
    <col min="519" max="521" width="9.1796875" style="2"/>
    <col min="522" max="522" width="14.26953125" style="2" bestFit="1" customWidth="1"/>
    <col min="523" max="523" width="15" style="2" bestFit="1" customWidth="1"/>
    <col min="524" max="524" width="13.7265625" style="2" bestFit="1" customWidth="1"/>
    <col min="525" max="768" width="9.1796875" style="2"/>
    <col min="769" max="769" width="34.26953125" style="2" bestFit="1" customWidth="1"/>
    <col min="770" max="770" width="10.81640625" style="2" customWidth="1"/>
    <col min="771" max="771" width="7" style="2" customWidth="1"/>
    <col min="772" max="772" width="2.54296875" style="2" customWidth="1"/>
    <col min="773" max="773" width="26" style="2" customWidth="1"/>
    <col min="774" max="774" width="10.1796875" style="2" customWidth="1"/>
    <col min="775" max="777" width="9.1796875" style="2"/>
    <col min="778" max="778" width="14.26953125" style="2" bestFit="1" customWidth="1"/>
    <col min="779" max="779" width="15" style="2" bestFit="1" customWidth="1"/>
    <col min="780" max="780" width="13.7265625" style="2" bestFit="1" customWidth="1"/>
    <col min="781" max="1024" width="9.1796875" style="2"/>
    <col min="1025" max="1025" width="34.26953125" style="2" bestFit="1" customWidth="1"/>
    <col min="1026" max="1026" width="10.81640625" style="2" customWidth="1"/>
    <col min="1027" max="1027" width="7" style="2" customWidth="1"/>
    <col min="1028" max="1028" width="2.54296875" style="2" customWidth="1"/>
    <col min="1029" max="1029" width="26" style="2" customWidth="1"/>
    <col min="1030" max="1030" width="10.1796875" style="2" customWidth="1"/>
    <col min="1031" max="1033" width="9.1796875" style="2"/>
    <col min="1034" max="1034" width="14.26953125" style="2" bestFit="1" customWidth="1"/>
    <col min="1035" max="1035" width="15" style="2" bestFit="1" customWidth="1"/>
    <col min="1036" max="1036" width="13.7265625" style="2" bestFit="1" customWidth="1"/>
    <col min="1037" max="1280" width="9.1796875" style="2"/>
    <col min="1281" max="1281" width="34.26953125" style="2" bestFit="1" customWidth="1"/>
    <col min="1282" max="1282" width="10.81640625" style="2" customWidth="1"/>
    <col min="1283" max="1283" width="7" style="2" customWidth="1"/>
    <col min="1284" max="1284" width="2.54296875" style="2" customWidth="1"/>
    <col min="1285" max="1285" width="26" style="2" customWidth="1"/>
    <col min="1286" max="1286" width="10.1796875" style="2" customWidth="1"/>
    <col min="1287" max="1289" width="9.1796875" style="2"/>
    <col min="1290" max="1290" width="14.26953125" style="2" bestFit="1" customWidth="1"/>
    <col min="1291" max="1291" width="15" style="2" bestFit="1" customWidth="1"/>
    <col min="1292" max="1292" width="13.7265625" style="2" bestFit="1" customWidth="1"/>
    <col min="1293" max="1536" width="9.1796875" style="2"/>
    <col min="1537" max="1537" width="34.26953125" style="2" bestFit="1" customWidth="1"/>
    <col min="1538" max="1538" width="10.81640625" style="2" customWidth="1"/>
    <col min="1539" max="1539" width="7" style="2" customWidth="1"/>
    <col min="1540" max="1540" width="2.54296875" style="2" customWidth="1"/>
    <col min="1541" max="1541" width="26" style="2" customWidth="1"/>
    <col min="1542" max="1542" width="10.1796875" style="2" customWidth="1"/>
    <col min="1543" max="1545" width="9.1796875" style="2"/>
    <col min="1546" max="1546" width="14.26953125" style="2" bestFit="1" customWidth="1"/>
    <col min="1547" max="1547" width="15" style="2" bestFit="1" customWidth="1"/>
    <col min="1548" max="1548" width="13.7265625" style="2" bestFit="1" customWidth="1"/>
    <col min="1549" max="1792" width="9.1796875" style="2"/>
    <col min="1793" max="1793" width="34.26953125" style="2" bestFit="1" customWidth="1"/>
    <col min="1794" max="1794" width="10.81640625" style="2" customWidth="1"/>
    <col min="1795" max="1795" width="7" style="2" customWidth="1"/>
    <col min="1796" max="1796" width="2.54296875" style="2" customWidth="1"/>
    <col min="1797" max="1797" width="26" style="2" customWidth="1"/>
    <col min="1798" max="1798" width="10.1796875" style="2" customWidth="1"/>
    <col min="1799" max="1801" width="9.1796875" style="2"/>
    <col min="1802" max="1802" width="14.26953125" style="2" bestFit="1" customWidth="1"/>
    <col min="1803" max="1803" width="15" style="2" bestFit="1" customWidth="1"/>
    <col min="1804" max="1804" width="13.7265625" style="2" bestFit="1" customWidth="1"/>
    <col min="1805" max="2048" width="9.1796875" style="2"/>
    <col min="2049" max="2049" width="34.26953125" style="2" bestFit="1" customWidth="1"/>
    <col min="2050" max="2050" width="10.81640625" style="2" customWidth="1"/>
    <col min="2051" max="2051" width="7" style="2" customWidth="1"/>
    <col min="2052" max="2052" width="2.54296875" style="2" customWidth="1"/>
    <col min="2053" max="2053" width="26" style="2" customWidth="1"/>
    <col min="2054" max="2054" width="10.1796875" style="2" customWidth="1"/>
    <col min="2055" max="2057" width="9.1796875" style="2"/>
    <col min="2058" max="2058" width="14.26953125" style="2" bestFit="1" customWidth="1"/>
    <col min="2059" max="2059" width="15" style="2" bestFit="1" customWidth="1"/>
    <col min="2060" max="2060" width="13.7265625" style="2" bestFit="1" customWidth="1"/>
    <col min="2061" max="2304" width="9.1796875" style="2"/>
    <col min="2305" max="2305" width="34.26953125" style="2" bestFit="1" customWidth="1"/>
    <col min="2306" max="2306" width="10.81640625" style="2" customWidth="1"/>
    <col min="2307" max="2307" width="7" style="2" customWidth="1"/>
    <col min="2308" max="2308" width="2.54296875" style="2" customWidth="1"/>
    <col min="2309" max="2309" width="26" style="2" customWidth="1"/>
    <col min="2310" max="2310" width="10.1796875" style="2" customWidth="1"/>
    <col min="2311" max="2313" width="9.1796875" style="2"/>
    <col min="2314" max="2314" width="14.26953125" style="2" bestFit="1" customWidth="1"/>
    <col min="2315" max="2315" width="15" style="2" bestFit="1" customWidth="1"/>
    <col min="2316" max="2316" width="13.7265625" style="2" bestFit="1" customWidth="1"/>
    <col min="2317" max="2560" width="9.1796875" style="2"/>
    <col min="2561" max="2561" width="34.26953125" style="2" bestFit="1" customWidth="1"/>
    <col min="2562" max="2562" width="10.81640625" style="2" customWidth="1"/>
    <col min="2563" max="2563" width="7" style="2" customWidth="1"/>
    <col min="2564" max="2564" width="2.54296875" style="2" customWidth="1"/>
    <col min="2565" max="2565" width="26" style="2" customWidth="1"/>
    <col min="2566" max="2566" width="10.1796875" style="2" customWidth="1"/>
    <col min="2567" max="2569" width="9.1796875" style="2"/>
    <col min="2570" max="2570" width="14.26953125" style="2" bestFit="1" customWidth="1"/>
    <col min="2571" max="2571" width="15" style="2" bestFit="1" customWidth="1"/>
    <col min="2572" max="2572" width="13.7265625" style="2" bestFit="1" customWidth="1"/>
    <col min="2573" max="2816" width="9.1796875" style="2"/>
    <col min="2817" max="2817" width="34.26953125" style="2" bestFit="1" customWidth="1"/>
    <col min="2818" max="2818" width="10.81640625" style="2" customWidth="1"/>
    <col min="2819" max="2819" width="7" style="2" customWidth="1"/>
    <col min="2820" max="2820" width="2.54296875" style="2" customWidth="1"/>
    <col min="2821" max="2821" width="26" style="2" customWidth="1"/>
    <col min="2822" max="2822" width="10.1796875" style="2" customWidth="1"/>
    <col min="2823" max="2825" width="9.1796875" style="2"/>
    <col min="2826" max="2826" width="14.26953125" style="2" bestFit="1" customWidth="1"/>
    <col min="2827" max="2827" width="15" style="2" bestFit="1" customWidth="1"/>
    <col min="2828" max="2828" width="13.7265625" style="2" bestFit="1" customWidth="1"/>
    <col min="2829" max="3072" width="9.1796875" style="2"/>
    <col min="3073" max="3073" width="34.26953125" style="2" bestFit="1" customWidth="1"/>
    <col min="3074" max="3074" width="10.81640625" style="2" customWidth="1"/>
    <col min="3075" max="3075" width="7" style="2" customWidth="1"/>
    <col min="3076" max="3076" width="2.54296875" style="2" customWidth="1"/>
    <col min="3077" max="3077" width="26" style="2" customWidth="1"/>
    <col min="3078" max="3078" width="10.1796875" style="2" customWidth="1"/>
    <col min="3079" max="3081" width="9.1796875" style="2"/>
    <col min="3082" max="3082" width="14.26953125" style="2" bestFit="1" customWidth="1"/>
    <col min="3083" max="3083" width="15" style="2" bestFit="1" customWidth="1"/>
    <col min="3084" max="3084" width="13.7265625" style="2" bestFit="1" customWidth="1"/>
    <col min="3085" max="3328" width="9.1796875" style="2"/>
    <col min="3329" max="3329" width="34.26953125" style="2" bestFit="1" customWidth="1"/>
    <col min="3330" max="3330" width="10.81640625" style="2" customWidth="1"/>
    <col min="3331" max="3331" width="7" style="2" customWidth="1"/>
    <col min="3332" max="3332" width="2.54296875" style="2" customWidth="1"/>
    <col min="3333" max="3333" width="26" style="2" customWidth="1"/>
    <col min="3334" max="3334" width="10.1796875" style="2" customWidth="1"/>
    <col min="3335" max="3337" width="9.1796875" style="2"/>
    <col min="3338" max="3338" width="14.26953125" style="2" bestFit="1" customWidth="1"/>
    <col min="3339" max="3339" width="15" style="2" bestFit="1" customWidth="1"/>
    <col min="3340" max="3340" width="13.7265625" style="2" bestFit="1" customWidth="1"/>
    <col min="3341" max="3584" width="9.1796875" style="2"/>
    <col min="3585" max="3585" width="34.26953125" style="2" bestFit="1" customWidth="1"/>
    <col min="3586" max="3586" width="10.81640625" style="2" customWidth="1"/>
    <col min="3587" max="3587" width="7" style="2" customWidth="1"/>
    <col min="3588" max="3588" width="2.54296875" style="2" customWidth="1"/>
    <col min="3589" max="3589" width="26" style="2" customWidth="1"/>
    <col min="3590" max="3590" width="10.1796875" style="2" customWidth="1"/>
    <col min="3591" max="3593" width="9.1796875" style="2"/>
    <col min="3594" max="3594" width="14.26953125" style="2" bestFit="1" customWidth="1"/>
    <col min="3595" max="3595" width="15" style="2" bestFit="1" customWidth="1"/>
    <col min="3596" max="3596" width="13.7265625" style="2" bestFit="1" customWidth="1"/>
    <col min="3597" max="3840" width="9.1796875" style="2"/>
    <col min="3841" max="3841" width="34.26953125" style="2" bestFit="1" customWidth="1"/>
    <col min="3842" max="3842" width="10.81640625" style="2" customWidth="1"/>
    <col min="3843" max="3843" width="7" style="2" customWidth="1"/>
    <col min="3844" max="3844" width="2.54296875" style="2" customWidth="1"/>
    <col min="3845" max="3845" width="26" style="2" customWidth="1"/>
    <col min="3846" max="3846" width="10.1796875" style="2" customWidth="1"/>
    <col min="3847" max="3849" width="9.1796875" style="2"/>
    <col min="3850" max="3850" width="14.26953125" style="2" bestFit="1" customWidth="1"/>
    <col min="3851" max="3851" width="15" style="2" bestFit="1" customWidth="1"/>
    <col min="3852" max="3852" width="13.7265625" style="2" bestFit="1" customWidth="1"/>
    <col min="3853" max="4096" width="9.1796875" style="2"/>
    <col min="4097" max="4097" width="34.26953125" style="2" bestFit="1" customWidth="1"/>
    <col min="4098" max="4098" width="10.81640625" style="2" customWidth="1"/>
    <col min="4099" max="4099" width="7" style="2" customWidth="1"/>
    <col min="4100" max="4100" width="2.54296875" style="2" customWidth="1"/>
    <col min="4101" max="4101" width="26" style="2" customWidth="1"/>
    <col min="4102" max="4102" width="10.1796875" style="2" customWidth="1"/>
    <col min="4103" max="4105" width="9.1796875" style="2"/>
    <col min="4106" max="4106" width="14.26953125" style="2" bestFit="1" customWidth="1"/>
    <col min="4107" max="4107" width="15" style="2" bestFit="1" customWidth="1"/>
    <col min="4108" max="4108" width="13.7265625" style="2" bestFit="1" customWidth="1"/>
    <col min="4109" max="4352" width="9.1796875" style="2"/>
    <col min="4353" max="4353" width="34.26953125" style="2" bestFit="1" customWidth="1"/>
    <col min="4354" max="4354" width="10.81640625" style="2" customWidth="1"/>
    <col min="4355" max="4355" width="7" style="2" customWidth="1"/>
    <col min="4356" max="4356" width="2.54296875" style="2" customWidth="1"/>
    <col min="4357" max="4357" width="26" style="2" customWidth="1"/>
    <col min="4358" max="4358" width="10.1796875" style="2" customWidth="1"/>
    <col min="4359" max="4361" width="9.1796875" style="2"/>
    <col min="4362" max="4362" width="14.26953125" style="2" bestFit="1" customWidth="1"/>
    <col min="4363" max="4363" width="15" style="2" bestFit="1" customWidth="1"/>
    <col min="4364" max="4364" width="13.7265625" style="2" bestFit="1" customWidth="1"/>
    <col min="4365" max="4608" width="9.1796875" style="2"/>
    <col min="4609" max="4609" width="34.26953125" style="2" bestFit="1" customWidth="1"/>
    <col min="4610" max="4610" width="10.81640625" style="2" customWidth="1"/>
    <col min="4611" max="4611" width="7" style="2" customWidth="1"/>
    <col min="4612" max="4612" width="2.54296875" style="2" customWidth="1"/>
    <col min="4613" max="4613" width="26" style="2" customWidth="1"/>
    <col min="4614" max="4614" width="10.1796875" style="2" customWidth="1"/>
    <col min="4615" max="4617" width="9.1796875" style="2"/>
    <col min="4618" max="4618" width="14.26953125" style="2" bestFit="1" customWidth="1"/>
    <col min="4619" max="4619" width="15" style="2" bestFit="1" customWidth="1"/>
    <col min="4620" max="4620" width="13.7265625" style="2" bestFit="1" customWidth="1"/>
    <col min="4621" max="4864" width="9.1796875" style="2"/>
    <col min="4865" max="4865" width="34.26953125" style="2" bestFit="1" customWidth="1"/>
    <col min="4866" max="4866" width="10.81640625" style="2" customWidth="1"/>
    <col min="4867" max="4867" width="7" style="2" customWidth="1"/>
    <col min="4868" max="4868" width="2.54296875" style="2" customWidth="1"/>
    <col min="4869" max="4869" width="26" style="2" customWidth="1"/>
    <col min="4870" max="4870" width="10.1796875" style="2" customWidth="1"/>
    <col min="4871" max="4873" width="9.1796875" style="2"/>
    <col min="4874" max="4874" width="14.26953125" style="2" bestFit="1" customWidth="1"/>
    <col min="4875" max="4875" width="15" style="2" bestFit="1" customWidth="1"/>
    <col min="4876" max="4876" width="13.7265625" style="2" bestFit="1" customWidth="1"/>
    <col min="4877" max="5120" width="9.1796875" style="2"/>
    <col min="5121" max="5121" width="34.26953125" style="2" bestFit="1" customWidth="1"/>
    <col min="5122" max="5122" width="10.81640625" style="2" customWidth="1"/>
    <col min="5123" max="5123" width="7" style="2" customWidth="1"/>
    <col min="5124" max="5124" width="2.54296875" style="2" customWidth="1"/>
    <col min="5125" max="5125" width="26" style="2" customWidth="1"/>
    <col min="5126" max="5126" width="10.1796875" style="2" customWidth="1"/>
    <col min="5127" max="5129" width="9.1796875" style="2"/>
    <col min="5130" max="5130" width="14.26953125" style="2" bestFit="1" customWidth="1"/>
    <col min="5131" max="5131" width="15" style="2" bestFit="1" customWidth="1"/>
    <col min="5132" max="5132" width="13.7265625" style="2" bestFit="1" customWidth="1"/>
    <col min="5133" max="5376" width="9.1796875" style="2"/>
    <col min="5377" max="5377" width="34.26953125" style="2" bestFit="1" customWidth="1"/>
    <col min="5378" max="5378" width="10.81640625" style="2" customWidth="1"/>
    <col min="5379" max="5379" width="7" style="2" customWidth="1"/>
    <col min="5380" max="5380" width="2.54296875" style="2" customWidth="1"/>
    <col min="5381" max="5381" width="26" style="2" customWidth="1"/>
    <col min="5382" max="5382" width="10.1796875" style="2" customWidth="1"/>
    <col min="5383" max="5385" width="9.1796875" style="2"/>
    <col min="5386" max="5386" width="14.26953125" style="2" bestFit="1" customWidth="1"/>
    <col min="5387" max="5387" width="15" style="2" bestFit="1" customWidth="1"/>
    <col min="5388" max="5388" width="13.7265625" style="2" bestFit="1" customWidth="1"/>
    <col min="5389" max="5632" width="9.1796875" style="2"/>
    <col min="5633" max="5633" width="34.26953125" style="2" bestFit="1" customWidth="1"/>
    <col min="5634" max="5634" width="10.81640625" style="2" customWidth="1"/>
    <col min="5635" max="5635" width="7" style="2" customWidth="1"/>
    <col min="5636" max="5636" width="2.54296875" style="2" customWidth="1"/>
    <col min="5637" max="5637" width="26" style="2" customWidth="1"/>
    <col min="5638" max="5638" width="10.1796875" style="2" customWidth="1"/>
    <col min="5639" max="5641" width="9.1796875" style="2"/>
    <col min="5642" max="5642" width="14.26953125" style="2" bestFit="1" customWidth="1"/>
    <col min="5643" max="5643" width="15" style="2" bestFit="1" customWidth="1"/>
    <col min="5644" max="5644" width="13.7265625" style="2" bestFit="1" customWidth="1"/>
    <col min="5645" max="5888" width="9.1796875" style="2"/>
    <col min="5889" max="5889" width="34.26953125" style="2" bestFit="1" customWidth="1"/>
    <col min="5890" max="5890" width="10.81640625" style="2" customWidth="1"/>
    <col min="5891" max="5891" width="7" style="2" customWidth="1"/>
    <col min="5892" max="5892" width="2.54296875" style="2" customWidth="1"/>
    <col min="5893" max="5893" width="26" style="2" customWidth="1"/>
    <col min="5894" max="5894" width="10.1796875" style="2" customWidth="1"/>
    <col min="5895" max="5897" width="9.1796875" style="2"/>
    <col min="5898" max="5898" width="14.26953125" style="2" bestFit="1" customWidth="1"/>
    <col min="5899" max="5899" width="15" style="2" bestFit="1" customWidth="1"/>
    <col min="5900" max="5900" width="13.7265625" style="2" bestFit="1" customWidth="1"/>
    <col min="5901" max="6144" width="9.1796875" style="2"/>
    <col min="6145" max="6145" width="34.26953125" style="2" bestFit="1" customWidth="1"/>
    <col min="6146" max="6146" width="10.81640625" style="2" customWidth="1"/>
    <col min="6147" max="6147" width="7" style="2" customWidth="1"/>
    <col min="6148" max="6148" width="2.54296875" style="2" customWidth="1"/>
    <col min="6149" max="6149" width="26" style="2" customWidth="1"/>
    <col min="6150" max="6150" width="10.1796875" style="2" customWidth="1"/>
    <col min="6151" max="6153" width="9.1796875" style="2"/>
    <col min="6154" max="6154" width="14.26953125" style="2" bestFit="1" customWidth="1"/>
    <col min="6155" max="6155" width="15" style="2" bestFit="1" customWidth="1"/>
    <col min="6156" max="6156" width="13.7265625" style="2" bestFit="1" customWidth="1"/>
    <col min="6157" max="6400" width="9.1796875" style="2"/>
    <col min="6401" max="6401" width="34.26953125" style="2" bestFit="1" customWidth="1"/>
    <col min="6402" max="6402" width="10.81640625" style="2" customWidth="1"/>
    <col min="6403" max="6403" width="7" style="2" customWidth="1"/>
    <col min="6404" max="6404" width="2.54296875" style="2" customWidth="1"/>
    <col min="6405" max="6405" width="26" style="2" customWidth="1"/>
    <col min="6406" max="6406" width="10.1796875" style="2" customWidth="1"/>
    <col min="6407" max="6409" width="9.1796875" style="2"/>
    <col min="6410" max="6410" width="14.26953125" style="2" bestFit="1" customWidth="1"/>
    <col min="6411" max="6411" width="15" style="2" bestFit="1" customWidth="1"/>
    <col min="6412" max="6412" width="13.7265625" style="2" bestFit="1" customWidth="1"/>
    <col min="6413" max="6656" width="9.1796875" style="2"/>
    <col min="6657" max="6657" width="34.26953125" style="2" bestFit="1" customWidth="1"/>
    <col min="6658" max="6658" width="10.81640625" style="2" customWidth="1"/>
    <col min="6659" max="6659" width="7" style="2" customWidth="1"/>
    <col min="6660" max="6660" width="2.54296875" style="2" customWidth="1"/>
    <col min="6661" max="6661" width="26" style="2" customWidth="1"/>
    <col min="6662" max="6662" width="10.1796875" style="2" customWidth="1"/>
    <col min="6663" max="6665" width="9.1796875" style="2"/>
    <col min="6666" max="6666" width="14.26953125" style="2" bestFit="1" customWidth="1"/>
    <col min="6667" max="6667" width="15" style="2" bestFit="1" customWidth="1"/>
    <col min="6668" max="6668" width="13.7265625" style="2" bestFit="1" customWidth="1"/>
    <col min="6669" max="6912" width="9.1796875" style="2"/>
    <col min="6913" max="6913" width="34.26953125" style="2" bestFit="1" customWidth="1"/>
    <col min="6914" max="6914" width="10.81640625" style="2" customWidth="1"/>
    <col min="6915" max="6915" width="7" style="2" customWidth="1"/>
    <col min="6916" max="6916" width="2.54296875" style="2" customWidth="1"/>
    <col min="6917" max="6917" width="26" style="2" customWidth="1"/>
    <col min="6918" max="6918" width="10.1796875" style="2" customWidth="1"/>
    <col min="6919" max="6921" width="9.1796875" style="2"/>
    <col min="6922" max="6922" width="14.26953125" style="2" bestFit="1" customWidth="1"/>
    <col min="6923" max="6923" width="15" style="2" bestFit="1" customWidth="1"/>
    <col min="6924" max="6924" width="13.7265625" style="2" bestFit="1" customWidth="1"/>
    <col min="6925" max="7168" width="9.1796875" style="2"/>
    <col min="7169" max="7169" width="34.26953125" style="2" bestFit="1" customWidth="1"/>
    <col min="7170" max="7170" width="10.81640625" style="2" customWidth="1"/>
    <col min="7171" max="7171" width="7" style="2" customWidth="1"/>
    <col min="7172" max="7172" width="2.54296875" style="2" customWidth="1"/>
    <col min="7173" max="7173" width="26" style="2" customWidth="1"/>
    <col min="7174" max="7174" width="10.1796875" style="2" customWidth="1"/>
    <col min="7175" max="7177" width="9.1796875" style="2"/>
    <col min="7178" max="7178" width="14.26953125" style="2" bestFit="1" customWidth="1"/>
    <col min="7179" max="7179" width="15" style="2" bestFit="1" customWidth="1"/>
    <col min="7180" max="7180" width="13.7265625" style="2" bestFit="1" customWidth="1"/>
    <col min="7181" max="7424" width="9.1796875" style="2"/>
    <col min="7425" max="7425" width="34.26953125" style="2" bestFit="1" customWidth="1"/>
    <col min="7426" max="7426" width="10.81640625" style="2" customWidth="1"/>
    <col min="7427" max="7427" width="7" style="2" customWidth="1"/>
    <col min="7428" max="7428" width="2.54296875" style="2" customWidth="1"/>
    <col min="7429" max="7429" width="26" style="2" customWidth="1"/>
    <col min="7430" max="7430" width="10.1796875" style="2" customWidth="1"/>
    <col min="7431" max="7433" width="9.1796875" style="2"/>
    <col min="7434" max="7434" width="14.26953125" style="2" bestFit="1" customWidth="1"/>
    <col min="7435" max="7435" width="15" style="2" bestFit="1" customWidth="1"/>
    <col min="7436" max="7436" width="13.7265625" style="2" bestFit="1" customWidth="1"/>
    <col min="7437" max="7680" width="9.1796875" style="2"/>
    <col min="7681" max="7681" width="34.26953125" style="2" bestFit="1" customWidth="1"/>
    <col min="7682" max="7682" width="10.81640625" style="2" customWidth="1"/>
    <col min="7683" max="7683" width="7" style="2" customWidth="1"/>
    <col min="7684" max="7684" width="2.54296875" style="2" customWidth="1"/>
    <col min="7685" max="7685" width="26" style="2" customWidth="1"/>
    <col min="7686" max="7686" width="10.1796875" style="2" customWidth="1"/>
    <col min="7687" max="7689" width="9.1796875" style="2"/>
    <col min="7690" max="7690" width="14.26953125" style="2" bestFit="1" customWidth="1"/>
    <col min="7691" max="7691" width="15" style="2" bestFit="1" customWidth="1"/>
    <col min="7692" max="7692" width="13.7265625" style="2" bestFit="1" customWidth="1"/>
    <col min="7693" max="7936" width="9.1796875" style="2"/>
    <col min="7937" max="7937" width="34.26953125" style="2" bestFit="1" customWidth="1"/>
    <col min="7938" max="7938" width="10.81640625" style="2" customWidth="1"/>
    <col min="7939" max="7939" width="7" style="2" customWidth="1"/>
    <col min="7940" max="7940" width="2.54296875" style="2" customWidth="1"/>
    <col min="7941" max="7941" width="26" style="2" customWidth="1"/>
    <col min="7942" max="7942" width="10.1796875" style="2" customWidth="1"/>
    <col min="7943" max="7945" width="9.1796875" style="2"/>
    <col min="7946" max="7946" width="14.26953125" style="2" bestFit="1" customWidth="1"/>
    <col min="7947" max="7947" width="15" style="2" bestFit="1" customWidth="1"/>
    <col min="7948" max="7948" width="13.7265625" style="2" bestFit="1" customWidth="1"/>
    <col min="7949" max="8192" width="9.1796875" style="2"/>
    <col min="8193" max="8193" width="34.26953125" style="2" bestFit="1" customWidth="1"/>
    <col min="8194" max="8194" width="10.81640625" style="2" customWidth="1"/>
    <col min="8195" max="8195" width="7" style="2" customWidth="1"/>
    <col min="8196" max="8196" width="2.54296875" style="2" customWidth="1"/>
    <col min="8197" max="8197" width="26" style="2" customWidth="1"/>
    <col min="8198" max="8198" width="10.1796875" style="2" customWidth="1"/>
    <col min="8199" max="8201" width="9.1796875" style="2"/>
    <col min="8202" max="8202" width="14.26953125" style="2" bestFit="1" customWidth="1"/>
    <col min="8203" max="8203" width="15" style="2" bestFit="1" customWidth="1"/>
    <col min="8204" max="8204" width="13.7265625" style="2" bestFit="1" customWidth="1"/>
    <col min="8205" max="8448" width="9.1796875" style="2"/>
    <col min="8449" max="8449" width="34.26953125" style="2" bestFit="1" customWidth="1"/>
    <col min="8450" max="8450" width="10.81640625" style="2" customWidth="1"/>
    <col min="8451" max="8451" width="7" style="2" customWidth="1"/>
    <col min="8452" max="8452" width="2.54296875" style="2" customWidth="1"/>
    <col min="8453" max="8453" width="26" style="2" customWidth="1"/>
    <col min="8454" max="8454" width="10.1796875" style="2" customWidth="1"/>
    <col min="8455" max="8457" width="9.1796875" style="2"/>
    <col min="8458" max="8458" width="14.26953125" style="2" bestFit="1" customWidth="1"/>
    <col min="8459" max="8459" width="15" style="2" bestFit="1" customWidth="1"/>
    <col min="8460" max="8460" width="13.7265625" style="2" bestFit="1" customWidth="1"/>
    <col min="8461" max="8704" width="9.1796875" style="2"/>
    <col min="8705" max="8705" width="34.26953125" style="2" bestFit="1" customWidth="1"/>
    <col min="8706" max="8706" width="10.81640625" style="2" customWidth="1"/>
    <col min="8707" max="8707" width="7" style="2" customWidth="1"/>
    <col min="8708" max="8708" width="2.54296875" style="2" customWidth="1"/>
    <col min="8709" max="8709" width="26" style="2" customWidth="1"/>
    <col min="8710" max="8710" width="10.1796875" style="2" customWidth="1"/>
    <col min="8711" max="8713" width="9.1796875" style="2"/>
    <col min="8714" max="8714" width="14.26953125" style="2" bestFit="1" customWidth="1"/>
    <col min="8715" max="8715" width="15" style="2" bestFit="1" customWidth="1"/>
    <col min="8716" max="8716" width="13.7265625" style="2" bestFit="1" customWidth="1"/>
    <col min="8717" max="8960" width="9.1796875" style="2"/>
    <col min="8961" max="8961" width="34.26953125" style="2" bestFit="1" customWidth="1"/>
    <col min="8962" max="8962" width="10.81640625" style="2" customWidth="1"/>
    <col min="8963" max="8963" width="7" style="2" customWidth="1"/>
    <col min="8964" max="8964" width="2.54296875" style="2" customWidth="1"/>
    <col min="8965" max="8965" width="26" style="2" customWidth="1"/>
    <col min="8966" max="8966" width="10.1796875" style="2" customWidth="1"/>
    <col min="8967" max="8969" width="9.1796875" style="2"/>
    <col min="8970" max="8970" width="14.26953125" style="2" bestFit="1" customWidth="1"/>
    <col min="8971" max="8971" width="15" style="2" bestFit="1" customWidth="1"/>
    <col min="8972" max="8972" width="13.7265625" style="2" bestFit="1" customWidth="1"/>
    <col min="8973" max="9216" width="9.1796875" style="2"/>
    <col min="9217" max="9217" width="34.26953125" style="2" bestFit="1" customWidth="1"/>
    <col min="9218" max="9218" width="10.81640625" style="2" customWidth="1"/>
    <col min="9219" max="9219" width="7" style="2" customWidth="1"/>
    <col min="9220" max="9220" width="2.54296875" style="2" customWidth="1"/>
    <col min="9221" max="9221" width="26" style="2" customWidth="1"/>
    <col min="9222" max="9222" width="10.1796875" style="2" customWidth="1"/>
    <col min="9223" max="9225" width="9.1796875" style="2"/>
    <col min="9226" max="9226" width="14.26953125" style="2" bestFit="1" customWidth="1"/>
    <col min="9227" max="9227" width="15" style="2" bestFit="1" customWidth="1"/>
    <col min="9228" max="9228" width="13.7265625" style="2" bestFit="1" customWidth="1"/>
    <col min="9229" max="9472" width="9.1796875" style="2"/>
    <col min="9473" max="9473" width="34.26953125" style="2" bestFit="1" customWidth="1"/>
    <col min="9474" max="9474" width="10.81640625" style="2" customWidth="1"/>
    <col min="9475" max="9475" width="7" style="2" customWidth="1"/>
    <col min="9476" max="9476" width="2.54296875" style="2" customWidth="1"/>
    <col min="9477" max="9477" width="26" style="2" customWidth="1"/>
    <col min="9478" max="9478" width="10.1796875" style="2" customWidth="1"/>
    <col min="9479" max="9481" width="9.1796875" style="2"/>
    <col min="9482" max="9482" width="14.26953125" style="2" bestFit="1" customWidth="1"/>
    <col min="9483" max="9483" width="15" style="2" bestFit="1" customWidth="1"/>
    <col min="9484" max="9484" width="13.7265625" style="2" bestFit="1" customWidth="1"/>
    <col min="9485" max="9728" width="9.1796875" style="2"/>
    <col min="9729" max="9729" width="34.26953125" style="2" bestFit="1" customWidth="1"/>
    <col min="9730" max="9730" width="10.81640625" style="2" customWidth="1"/>
    <col min="9731" max="9731" width="7" style="2" customWidth="1"/>
    <col min="9732" max="9732" width="2.54296875" style="2" customWidth="1"/>
    <col min="9733" max="9733" width="26" style="2" customWidth="1"/>
    <col min="9734" max="9734" width="10.1796875" style="2" customWidth="1"/>
    <col min="9735" max="9737" width="9.1796875" style="2"/>
    <col min="9738" max="9738" width="14.26953125" style="2" bestFit="1" customWidth="1"/>
    <col min="9739" max="9739" width="15" style="2" bestFit="1" customWidth="1"/>
    <col min="9740" max="9740" width="13.7265625" style="2" bestFit="1" customWidth="1"/>
    <col min="9741" max="9984" width="9.1796875" style="2"/>
    <col min="9985" max="9985" width="34.26953125" style="2" bestFit="1" customWidth="1"/>
    <col min="9986" max="9986" width="10.81640625" style="2" customWidth="1"/>
    <col min="9987" max="9987" width="7" style="2" customWidth="1"/>
    <col min="9988" max="9988" width="2.54296875" style="2" customWidth="1"/>
    <col min="9989" max="9989" width="26" style="2" customWidth="1"/>
    <col min="9990" max="9990" width="10.1796875" style="2" customWidth="1"/>
    <col min="9991" max="9993" width="9.1796875" style="2"/>
    <col min="9994" max="9994" width="14.26953125" style="2" bestFit="1" customWidth="1"/>
    <col min="9995" max="9995" width="15" style="2" bestFit="1" customWidth="1"/>
    <col min="9996" max="9996" width="13.7265625" style="2" bestFit="1" customWidth="1"/>
    <col min="9997" max="10240" width="9.1796875" style="2"/>
    <col min="10241" max="10241" width="34.26953125" style="2" bestFit="1" customWidth="1"/>
    <col min="10242" max="10242" width="10.81640625" style="2" customWidth="1"/>
    <col min="10243" max="10243" width="7" style="2" customWidth="1"/>
    <col min="10244" max="10244" width="2.54296875" style="2" customWidth="1"/>
    <col min="10245" max="10245" width="26" style="2" customWidth="1"/>
    <col min="10246" max="10246" width="10.1796875" style="2" customWidth="1"/>
    <col min="10247" max="10249" width="9.1796875" style="2"/>
    <col min="10250" max="10250" width="14.26953125" style="2" bestFit="1" customWidth="1"/>
    <col min="10251" max="10251" width="15" style="2" bestFit="1" customWidth="1"/>
    <col min="10252" max="10252" width="13.7265625" style="2" bestFit="1" customWidth="1"/>
    <col min="10253" max="10496" width="9.1796875" style="2"/>
    <col min="10497" max="10497" width="34.26953125" style="2" bestFit="1" customWidth="1"/>
    <col min="10498" max="10498" width="10.81640625" style="2" customWidth="1"/>
    <col min="10499" max="10499" width="7" style="2" customWidth="1"/>
    <col min="10500" max="10500" width="2.54296875" style="2" customWidth="1"/>
    <col min="10501" max="10501" width="26" style="2" customWidth="1"/>
    <col min="10502" max="10502" width="10.1796875" style="2" customWidth="1"/>
    <col min="10503" max="10505" width="9.1796875" style="2"/>
    <col min="10506" max="10506" width="14.26953125" style="2" bestFit="1" customWidth="1"/>
    <col min="10507" max="10507" width="15" style="2" bestFit="1" customWidth="1"/>
    <col min="10508" max="10508" width="13.7265625" style="2" bestFit="1" customWidth="1"/>
    <col min="10509" max="10752" width="9.1796875" style="2"/>
    <col min="10753" max="10753" width="34.26953125" style="2" bestFit="1" customWidth="1"/>
    <col min="10754" max="10754" width="10.81640625" style="2" customWidth="1"/>
    <col min="10755" max="10755" width="7" style="2" customWidth="1"/>
    <col min="10756" max="10756" width="2.54296875" style="2" customWidth="1"/>
    <col min="10757" max="10757" width="26" style="2" customWidth="1"/>
    <col min="10758" max="10758" width="10.1796875" style="2" customWidth="1"/>
    <col min="10759" max="10761" width="9.1796875" style="2"/>
    <col min="10762" max="10762" width="14.26953125" style="2" bestFit="1" customWidth="1"/>
    <col min="10763" max="10763" width="15" style="2" bestFit="1" customWidth="1"/>
    <col min="10764" max="10764" width="13.7265625" style="2" bestFit="1" customWidth="1"/>
    <col min="10765" max="11008" width="9.1796875" style="2"/>
    <col min="11009" max="11009" width="34.26953125" style="2" bestFit="1" customWidth="1"/>
    <col min="11010" max="11010" width="10.81640625" style="2" customWidth="1"/>
    <col min="11011" max="11011" width="7" style="2" customWidth="1"/>
    <col min="11012" max="11012" width="2.54296875" style="2" customWidth="1"/>
    <col min="11013" max="11013" width="26" style="2" customWidth="1"/>
    <col min="11014" max="11014" width="10.1796875" style="2" customWidth="1"/>
    <col min="11015" max="11017" width="9.1796875" style="2"/>
    <col min="11018" max="11018" width="14.26953125" style="2" bestFit="1" customWidth="1"/>
    <col min="11019" max="11019" width="15" style="2" bestFit="1" customWidth="1"/>
    <col min="11020" max="11020" width="13.7265625" style="2" bestFit="1" customWidth="1"/>
    <col min="11021" max="11264" width="9.1796875" style="2"/>
    <col min="11265" max="11265" width="34.26953125" style="2" bestFit="1" customWidth="1"/>
    <col min="11266" max="11266" width="10.81640625" style="2" customWidth="1"/>
    <col min="11267" max="11267" width="7" style="2" customWidth="1"/>
    <col min="11268" max="11268" width="2.54296875" style="2" customWidth="1"/>
    <col min="11269" max="11269" width="26" style="2" customWidth="1"/>
    <col min="11270" max="11270" width="10.1796875" style="2" customWidth="1"/>
    <col min="11271" max="11273" width="9.1796875" style="2"/>
    <col min="11274" max="11274" width="14.26953125" style="2" bestFit="1" customWidth="1"/>
    <col min="11275" max="11275" width="15" style="2" bestFit="1" customWidth="1"/>
    <col min="11276" max="11276" width="13.7265625" style="2" bestFit="1" customWidth="1"/>
    <col min="11277" max="11520" width="9.1796875" style="2"/>
    <col min="11521" max="11521" width="34.26953125" style="2" bestFit="1" customWidth="1"/>
    <col min="11522" max="11522" width="10.81640625" style="2" customWidth="1"/>
    <col min="11523" max="11523" width="7" style="2" customWidth="1"/>
    <col min="11524" max="11524" width="2.54296875" style="2" customWidth="1"/>
    <col min="11525" max="11525" width="26" style="2" customWidth="1"/>
    <col min="11526" max="11526" width="10.1796875" style="2" customWidth="1"/>
    <col min="11527" max="11529" width="9.1796875" style="2"/>
    <col min="11530" max="11530" width="14.26953125" style="2" bestFit="1" customWidth="1"/>
    <col min="11531" max="11531" width="15" style="2" bestFit="1" customWidth="1"/>
    <col min="11532" max="11532" width="13.7265625" style="2" bestFit="1" customWidth="1"/>
    <col min="11533" max="11776" width="9.1796875" style="2"/>
    <col min="11777" max="11777" width="34.26953125" style="2" bestFit="1" customWidth="1"/>
    <col min="11778" max="11778" width="10.81640625" style="2" customWidth="1"/>
    <col min="11779" max="11779" width="7" style="2" customWidth="1"/>
    <col min="11780" max="11780" width="2.54296875" style="2" customWidth="1"/>
    <col min="11781" max="11781" width="26" style="2" customWidth="1"/>
    <col min="11782" max="11782" width="10.1796875" style="2" customWidth="1"/>
    <col min="11783" max="11785" width="9.1796875" style="2"/>
    <col min="11786" max="11786" width="14.26953125" style="2" bestFit="1" customWidth="1"/>
    <col min="11787" max="11787" width="15" style="2" bestFit="1" customWidth="1"/>
    <col min="11788" max="11788" width="13.7265625" style="2" bestFit="1" customWidth="1"/>
    <col min="11789" max="12032" width="9.1796875" style="2"/>
    <col min="12033" max="12033" width="34.26953125" style="2" bestFit="1" customWidth="1"/>
    <col min="12034" max="12034" width="10.81640625" style="2" customWidth="1"/>
    <col min="12035" max="12035" width="7" style="2" customWidth="1"/>
    <col min="12036" max="12036" width="2.54296875" style="2" customWidth="1"/>
    <col min="12037" max="12037" width="26" style="2" customWidth="1"/>
    <col min="12038" max="12038" width="10.1796875" style="2" customWidth="1"/>
    <col min="12039" max="12041" width="9.1796875" style="2"/>
    <col min="12042" max="12042" width="14.26953125" style="2" bestFit="1" customWidth="1"/>
    <col min="12043" max="12043" width="15" style="2" bestFit="1" customWidth="1"/>
    <col min="12044" max="12044" width="13.7265625" style="2" bestFit="1" customWidth="1"/>
    <col min="12045" max="12288" width="9.1796875" style="2"/>
    <col min="12289" max="12289" width="34.26953125" style="2" bestFit="1" customWidth="1"/>
    <col min="12290" max="12290" width="10.81640625" style="2" customWidth="1"/>
    <col min="12291" max="12291" width="7" style="2" customWidth="1"/>
    <col min="12292" max="12292" width="2.54296875" style="2" customWidth="1"/>
    <col min="12293" max="12293" width="26" style="2" customWidth="1"/>
    <col min="12294" max="12294" width="10.1796875" style="2" customWidth="1"/>
    <col min="12295" max="12297" width="9.1796875" style="2"/>
    <col min="12298" max="12298" width="14.26953125" style="2" bestFit="1" customWidth="1"/>
    <col min="12299" max="12299" width="15" style="2" bestFit="1" customWidth="1"/>
    <col min="12300" max="12300" width="13.7265625" style="2" bestFit="1" customWidth="1"/>
    <col min="12301" max="12544" width="9.1796875" style="2"/>
    <col min="12545" max="12545" width="34.26953125" style="2" bestFit="1" customWidth="1"/>
    <col min="12546" max="12546" width="10.81640625" style="2" customWidth="1"/>
    <col min="12547" max="12547" width="7" style="2" customWidth="1"/>
    <col min="12548" max="12548" width="2.54296875" style="2" customWidth="1"/>
    <col min="12549" max="12549" width="26" style="2" customWidth="1"/>
    <col min="12550" max="12550" width="10.1796875" style="2" customWidth="1"/>
    <col min="12551" max="12553" width="9.1796875" style="2"/>
    <col min="12554" max="12554" width="14.26953125" style="2" bestFit="1" customWidth="1"/>
    <col min="12555" max="12555" width="15" style="2" bestFit="1" customWidth="1"/>
    <col min="12556" max="12556" width="13.7265625" style="2" bestFit="1" customWidth="1"/>
    <col min="12557" max="12800" width="9.1796875" style="2"/>
    <col min="12801" max="12801" width="34.26953125" style="2" bestFit="1" customWidth="1"/>
    <col min="12802" max="12802" width="10.81640625" style="2" customWidth="1"/>
    <col min="12803" max="12803" width="7" style="2" customWidth="1"/>
    <col min="12804" max="12804" width="2.54296875" style="2" customWidth="1"/>
    <col min="12805" max="12805" width="26" style="2" customWidth="1"/>
    <col min="12806" max="12806" width="10.1796875" style="2" customWidth="1"/>
    <col min="12807" max="12809" width="9.1796875" style="2"/>
    <col min="12810" max="12810" width="14.26953125" style="2" bestFit="1" customWidth="1"/>
    <col min="12811" max="12811" width="15" style="2" bestFit="1" customWidth="1"/>
    <col min="12812" max="12812" width="13.7265625" style="2" bestFit="1" customWidth="1"/>
    <col min="12813" max="13056" width="9.1796875" style="2"/>
    <col min="13057" max="13057" width="34.26953125" style="2" bestFit="1" customWidth="1"/>
    <col min="13058" max="13058" width="10.81640625" style="2" customWidth="1"/>
    <col min="13059" max="13059" width="7" style="2" customWidth="1"/>
    <col min="13060" max="13060" width="2.54296875" style="2" customWidth="1"/>
    <col min="13061" max="13061" width="26" style="2" customWidth="1"/>
    <col min="13062" max="13062" width="10.1796875" style="2" customWidth="1"/>
    <col min="13063" max="13065" width="9.1796875" style="2"/>
    <col min="13066" max="13066" width="14.26953125" style="2" bestFit="1" customWidth="1"/>
    <col min="13067" max="13067" width="15" style="2" bestFit="1" customWidth="1"/>
    <col min="13068" max="13068" width="13.7265625" style="2" bestFit="1" customWidth="1"/>
    <col min="13069" max="13312" width="9.1796875" style="2"/>
    <col min="13313" max="13313" width="34.26953125" style="2" bestFit="1" customWidth="1"/>
    <col min="13314" max="13314" width="10.81640625" style="2" customWidth="1"/>
    <col min="13315" max="13315" width="7" style="2" customWidth="1"/>
    <col min="13316" max="13316" width="2.54296875" style="2" customWidth="1"/>
    <col min="13317" max="13317" width="26" style="2" customWidth="1"/>
    <col min="13318" max="13318" width="10.1796875" style="2" customWidth="1"/>
    <col min="13319" max="13321" width="9.1796875" style="2"/>
    <col min="13322" max="13322" width="14.26953125" style="2" bestFit="1" customWidth="1"/>
    <col min="13323" max="13323" width="15" style="2" bestFit="1" customWidth="1"/>
    <col min="13324" max="13324" width="13.7265625" style="2" bestFit="1" customWidth="1"/>
    <col min="13325" max="13568" width="9.1796875" style="2"/>
    <col min="13569" max="13569" width="34.26953125" style="2" bestFit="1" customWidth="1"/>
    <col min="13570" max="13570" width="10.81640625" style="2" customWidth="1"/>
    <col min="13571" max="13571" width="7" style="2" customWidth="1"/>
    <col min="13572" max="13572" width="2.54296875" style="2" customWidth="1"/>
    <col min="13573" max="13573" width="26" style="2" customWidth="1"/>
    <col min="13574" max="13574" width="10.1796875" style="2" customWidth="1"/>
    <col min="13575" max="13577" width="9.1796875" style="2"/>
    <col min="13578" max="13578" width="14.26953125" style="2" bestFit="1" customWidth="1"/>
    <col min="13579" max="13579" width="15" style="2" bestFit="1" customWidth="1"/>
    <col min="13580" max="13580" width="13.7265625" style="2" bestFit="1" customWidth="1"/>
    <col min="13581" max="13824" width="9.1796875" style="2"/>
    <col min="13825" max="13825" width="34.26953125" style="2" bestFit="1" customWidth="1"/>
    <col min="13826" max="13826" width="10.81640625" style="2" customWidth="1"/>
    <col min="13827" max="13827" width="7" style="2" customWidth="1"/>
    <col min="13828" max="13828" width="2.54296875" style="2" customWidth="1"/>
    <col min="13829" max="13829" width="26" style="2" customWidth="1"/>
    <col min="13830" max="13830" width="10.1796875" style="2" customWidth="1"/>
    <col min="13831" max="13833" width="9.1796875" style="2"/>
    <col min="13834" max="13834" width="14.26953125" style="2" bestFit="1" customWidth="1"/>
    <col min="13835" max="13835" width="15" style="2" bestFit="1" customWidth="1"/>
    <col min="13836" max="13836" width="13.7265625" style="2" bestFit="1" customWidth="1"/>
    <col min="13837" max="14080" width="9.1796875" style="2"/>
    <col min="14081" max="14081" width="34.26953125" style="2" bestFit="1" customWidth="1"/>
    <col min="14082" max="14082" width="10.81640625" style="2" customWidth="1"/>
    <col min="14083" max="14083" width="7" style="2" customWidth="1"/>
    <col min="14084" max="14084" width="2.54296875" style="2" customWidth="1"/>
    <col min="14085" max="14085" width="26" style="2" customWidth="1"/>
    <col min="14086" max="14086" width="10.1796875" style="2" customWidth="1"/>
    <col min="14087" max="14089" width="9.1796875" style="2"/>
    <col min="14090" max="14090" width="14.26953125" style="2" bestFit="1" customWidth="1"/>
    <col min="14091" max="14091" width="15" style="2" bestFit="1" customWidth="1"/>
    <col min="14092" max="14092" width="13.7265625" style="2" bestFit="1" customWidth="1"/>
    <col min="14093" max="14336" width="9.1796875" style="2"/>
    <col min="14337" max="14337" width="34.26953125" style="2" bestFit="1" customWidth="1"/>
    <col min="14338" max="14338" width="10.81640625" style="2" customWidth="1"/>
    <col min="14339" max="14339" width="7" style="2" customWidth="1"/>
    <col min="14340" max="14340" width="2.54296875" style="2" customWidth="1"/>
    <col min="14341" max="14341" width="26" style="2" customWidth="1"/>
    <col min="14342" max="14342" width="10.1796875" style="2" customWidth="1"/>
    <col min="14343" max="14345" width="9.1796875" style="2"/>
    <col min="14346" max="14346" width="14.26953125" style="2" bestFit="1" customWidth="1"/>
    <col min="14347" max="14347" width="15" style="2" bestFit="1" customWidth="1"/>
    <col min="14348" max="14348" width="13.7265625" style="2" bestFit="1" customWidth="1"/>
    <col min="14349" max="14592" width="9.1796875" style="2"/>
    <col min="14593" max="14593" width="34.26953125" style="2" bestFit="1" customWidth="1"/>
    <col min="14594" max="14594" width="10.81640625" style="2" customWidth="1"/>
    <col min="14595" max="14595" width="7" style="2" customWidth="1"/>
    <col min="14596" max="14596" width="2.54296875" style="2" customWidth="1"/>
    <col min="14597" max="14597" width="26" style="2" customWidth="1"/>
    <col min="14598" max="14598" width="10.1796875" style="2" customWidth="1"/>
    <col min="14599" max="14601" width="9.1796875" style="2"/>
    <col min="14602" max="14602" width="14.26953125" style="2" bestFit="1" customWidth="1"/>
    <col min="14603" max="14603" width="15" style="2" bestFit="1" customWidth="1"/>
    <col min="14604" max="14604" width="13.7265625" style="2" bestFit="1" customWidth="1"/>
    <col min="14605" max="14848" width="9.1796875" style="2"/>
    <col min="14849" max="14849" width="34.26953125" style="2" bestFit="1" customWidth="1"/>
    <col min="14850" max="14850" width="10.81640625" style="2" customWidth="1"/>
    <col min="14851" max="14851" width="7" style="2" customWidth="1"/>
    <col min="14852" max="14852" width="2.54296875" style="2" customWidth="1"/>
    <col min="14853" max="14853" width="26" style="2" customWidth="1"/>
    <col min="14854" max="14854" width="10.1796875" style="2" customWidth="1"/>
    <col min="14855" max="14857" width="9.1796875" style="2"/>
    <col min="14858" max="14858" width="14.26953125" style="2" bestFit="1" customWidth="1"/>
    <col min="14859" max="14859" width="15" style="2" bestFit="1" customWidth="1"/>
    <col min="14860" max="14860" width="13.7265625" style="2" bestFit="1" customWidth="1"/>
    <col min="14861" max="15104" width="9.1796875" style="2"/>
    <col min="15105" max="15105" width="34.26953125" style="2" bestFit="1" customWidth="1"/>
    <col min="15106" max="15106" width="10.81640625" style="2" customWidth="1"/>
    <col min="15107" max="15107" width="7" style="2" customWidth="1"/>
    <col min="15108" max="15108" width="2.54296875" style="2" customWidth="1"/>
    <col min="15109" max="15109" width="26" style="2" customWidth="1"/>
    <col min="15110" max="15110" width="10.1796875" style="2" customWidth="1"/>
    <col min="15111" max="15113" width="9.1796875" style="2"/>
    <col min="15114" max="15114" width="14.26953125" style="2" bestFit="1" customWidth="1"/>
    <col min="15115" max="15115" width="15" style="2" bestFit="1" customWidth="1"/>
    <col min="15116" max="15116" width="13.7265625" style="2" bestFit="1" customWidth="1"/>
    <col min="15117" max="15360" width="9.1796875" style="2"/>
    <col min="15361" max="15361" width="34.26953125" style="2" bestFit="1" customWidth="1"/>
    <col min="15362" max="15362" width="10.81640625" style="2" customWidth="1"/>
    <col min="15363" max="15363" width="7" style="2" customWidth="1"/>
    <col min="15364" max="15364" width="2.54296875" style="2" customWidth="1"/>
    <col min="15365" max="15365" width="26" style="2" customWidth="1"/>
    <col min="15366" max="15366" width="10.1796875" style="2" customWidth="1"/>
    <col min="15367" max="15369" width="9.1796875" style="2"/>
    <col min="15370" max="15370" width="14.26953125" style="2" bestFit="1" customWidth="1"/>
    <col min="15371" max="15371" width="15" style="2" bestFit="1" customWidth="1"/>
    <col min="15372" max="15372" width="13.7265625" style="2" bestFit="1" customWidth="1"/>
    <col min="15373" max="15616" width="9.1796875" style="2"/>
    <col min="15617" max="15617" width="34.26953125" style="2" bestFit="1" customWidth="1"/>
    <col min="15618" max="15618" width="10.81640625" style="2" customWidth="1"/>
    <col min="15619" max="15619" width="7" style="2" customWidth="1"/>
    <col min="15620" max="15620" width="2.54296875" style="2" customWidth="1"/>
    <col min="15621" max="15621" width="26" style="2" customWidth="1"/>
    <col min="15622" max="15622" width="10.1796875" style="2" customWidth="1"/>
    <col min="15623" max="15625" width="9.1796875" style="2"/>
    <col min="15626" max="15626" width="14.26953125" style="2" bestFit="1" customWidth="1"/>
    <col min="15627" max="15627" width="15" style="2" bestFit="1" customWidth="1"/>
    <col min="15628" max="15628" width="13.7265625" style="2" bestFit="1" customWidth="1"/>
    <col min="15629" max="15872" width="9.1796875" style="2"/>
    <col min="15873" max="15873" width="34.26953125" style="2" bestFit="1" customWidth="1"/>
    <col min="15874" max="15874" width="10.81640625" style="2" customWidth="1"/>
    <col min="15875" max="15875" width="7" style="2" customWidth="1"/>
    <col min="15876" max="15876" width="2.54296875" style="2" customWidth="1"/>
    <col min="15877" max="15877" width="26" style="2" customWidth="1"/>
    <col min="15878" max="15878" width="10.1796875" style="2" customWidth="1"/>
    <col min="15879" max="15881" width="9.1796875" style="2"/>
    <col min="15882" max="15882" width="14.26953125" style="2" bestFit="1" customWidth="1"/>
    <col min="15883" max="15883" width="15" style="2" bestFit="1" customWidth="1"/>
    <col min="15884" max="15884" width="13.7265625" style="2" bestFit="1" customWidth="1"/>
    <col min="15885" max="16128" width="9.1796875" style="2"/>
    <col min="16129" max="16129" width="34.26953125" style="2" bestFit="1" customWidth="1"/>
    <col min="16130" max="16130" width="10.81640625" style="2" customWidth="1"/>
    <col min="16131" max="16131" width="7" style="2" customWidth="1"/>
    <col min="16132" max="16132" width="2.54296875" style="2" customWidth="1"/>
    <col min="16133" max="16133" width="26" style="2" customWidth="1"/>
    <col min="16134" max="16134" width="10.1796875" style="2" customWidth="1"/>
    <col min="16135" max="16137" width="9.1796875" style="2"/>
    <col min="16138" max="16138" width="14.26953125" style="2" bestFit="1" customWidth="1"/>
    <col min="16139" max="16139" width="15" style="2" bestFit="1" customWidth="1"/>
    <col min="16140" max="16140" width="13.7265625" style="2" bestFit="1" customWidth="1"/>
    <col min="16141" max="16384" width="9.1796875" style="2"/>
  </cols>
  <sheetData>
    <row r="13" spans="1:8" ht="13.5" thickBot="1">
      <c r="A13" s="1"/>
      <c r="B13" s="1"/>
      <c r="C13" s="1"/>
      <c r="D13" s="1"/>
      <c r="E13" s="1"/>
      <c r="F13" s="1"/>
      <c r="G13" s="1"/>
      <c r="H13" s="1"/>
    </row>
    <row r="14" spans="1:8">
      <c r="A14" s="2" t="s">
        <v>285</v>
      </c>
    </row>
    <row r="16" spans="1:8" ht="18">
      <c r="A16" s="3" t="s">
        <v>0</v>
      </c>
    </row>
    <row r="17" spans="1:13" ht="13" customHeight="1">
      <c r="A17" s="2" t="s">
        <v>257</v>
      </c>
      <c r="B17" s="125" t="s">
        <v>281</v>
      </c>
      <c r="F17" s="4" t="str">
        <f>IF(F18&lt;80,"Minimum On-Time Too Low. Reduce Operating Frequency!","")</f>
        <v/>
      </c>
    </row>
    <row r="18" spans="1:13" ht="13" customHeight="1">
      <c r="A18" s="2" t="s">
        <v>1</v>
      </c>
      <c r="B18" s="7">
        <f>IF(OR(B17="AP63203",B17="AP63205",B17="AP63203Q",B17="AP63205Q"),1100, 500)</f>
        <v>1100</v>
      </c>
      <c r="C18" s="6" t="s">
        <v>2</v>
      </c>
      <c r="E18" s="2" t="s">
        <v>3</v>
      </c>
      <c r="F18" s="7">
        <f>D*1000000000/(Fs*1000)</f>
        <v>268.84598237200117</v>
      </c>
      <c r="G18" s="6" t="s">
        <v>4</v>
      </c>
    </row>
    <row r="19" spans="1:13" ht="13" customHeight="1">
      <c r="A19" s="131" t="str">
        <f>IF(OR(Vin&lt;3.8,Vin&gt;32),"Input Voltage Out of Range","Input Voltage (3.8V-32V)")</f>
        <v>Input Voltage (3.8V-32V)</v>
      </c>
      <c r="B19" s="156">
        <v>12</v>
      </c>
      <c r="C19" s="6" t="s">
        <v>5</v>
      </c>
      <c r="D19" s="130"/>
      <c r="E19" s="2" t="s">
        <v>6</v>
      </c>
      <c r="F19" s="9">
        <f>(Vout + (Iout*((DCR+Ron_l)/1000)))/(Vin+(Iout*((Ron_l-Ron_u)/1000)))</f>
        <v>0.29573058060920132</v>
      </c>
      <c r="G19" s="6"/>
      <c r="H19" s="10"/>
    </row>
    <row r="20" spans="1:13" ht="13" customHeight="1">
      <c r="A20" s="157" t="str">
        <f>IF(OR(Vout&lt;0.8,Vout&gt;Vin), "Output Voltage Out of Range", "Ouptut Voltage")</f>
        <v>Ouptut Voltage</v>
      </c>
      <c r="B20" s="8">
        <v>3.3</v>
      </c>
      <c r="C20" s="6" t="s">
        <v>5</v>
      </c>
      <c r="E20" s="2" t="s">
        <v>7</v>
      </c>
      <c r="F20" s="11">
        <f>Vout/Iout</f>
        <v>1.65</v>
      </c>
      <c r="G20" s="6" t="s">
        <v>8</v>
      </c>
    </row>
    <row r="21" spans="1:13" ht="13" customHeight="1">
      <c r="A21" s="2" t="s">
        <v>9</v>
      </c>
      <c r="B21" s="8">
        <v>2</v>
      </c>
      <c r="C21" s="6" t="s">
        <v>10</v>
      </c>
    </row>
    <row r="22" spans="1:13" ht="13" customHeight="1">
      <c r="B22" s="12"/>
      <c r="E22" s="2" t="s">
        <v>11</v>
      </c>
      <c r="F22" s="9">
        <f>Iout*SQRT(D)*SQRT(1+1/3*(Irip/2/Iout)^2)</f>
        <v>1.0887807727616394</v>
      </c>
      <c r="G22" s="6" t="s">
        <v>10</v>
      </c>
    </row>
    <row r="23" spans="1:13" ht="13" customHeight="1">
      <c r="A23" s="13" t="s">
        <v>12</v>
      </c>
      <c r="B23" s="12"/>
      <c r="E23" s="2" t="s">
        <v>13</v>
      </c>
      <c r="F23" s="9">
        <f>Iout*SQRT(1-D)*SQRT(1+1/3*(Irip/2/Iout)^2)</f>
        <v>1.6802029403803689</v>
      </c>
      <c r="G23" s="6" t="s">
        <v>10</v>
      </c>
    </row>
    <row r="24" spans="1:13" ht="13" customHeight="1">
      <c r="A24" s="14" t="s">
        <v>14</v>
      </c>
      <c r="B24" s="15">
        <v>35</v>
      </c>
      <c r="C24" s="16" t="s">
        <v>15</v>
      </c>
      <c r="F24" s="12"/>
    </row>
    <row r="25" spans="1:13" ht="13" customHeight="1">
      <c r="A25" s="14"/>
      <c r="B25" s="14"/>
      <c r="C25" s="14"/>
      <c r="F25" s="12"/>
    </row>
    <row r="26" spans="1:13" ht="13" customHeight="1">
      <c r="A26" s="14" t="s">
        <v>16</v>
      </c>
      <c r="B26" s="17">
        <f>IF(OR(B17="AP63300",B17="AP63301",B17="AP63300Q",B17="AP63301Q"),MAX((((Vin-Vout)*D)/((Fs*10^3)*3*(LIR/100)))*10^6, Vout*Dmax*1000000/(0.8*Se*Compensation!C28)), MAX((((Vin-Vout)*D)/((Fs*10^3)*2*(LIR/100)))*10^6, Vout*Dmax*1000000/(0.8*Se*Compensation!C28)))</f>
        <v>3.3413714951948719</v>
      </c>
      <c r="C26" s="16" t="s">
        <v>17</v>
      </c>
      <c r="E26" s="2" t="s">
        <v>18</v>
      </c>
      <c r="F26" s="9">
        <f>(Vin-Vout)*((Vout)/(Vin*Lout*10^(-6)*Fs*10^3))</f>
        <v>0.31985294117647056</v>
      </c>
      <c r="G26" s="6" t="s">
        <v>19</v>
      </c>
      <c r="H26" s="10"/>
      <c r="J26" s="19"/>
      <c r="K26" s="19"/>
      <c r="L26" s="19"/>
      <c r="M26" s="4"/>
    </row>
    <row r="27" spans="1:13" ht="13" customHeight="1">
      <c r="A27" s="2" t="str">
        <f>IF(OR(B17="AP63300",B17="AP63300"),"Output Inductor (Isat &gt; 5A)","Output Inductor (Isat &gt; 3.5A)")</f>
        <v>Output Inductor (Isat &gt; 3.5A)</v>
      </c>
      <c r="B27" s="8">
        <v>6.8</v>
      </c>
      <c r="C27" s="6" t="s">
        <v>17</v>
      </c>
      <c r="E27" s="2" t="s">
        <v>248</v>
      </c>
      <c r="F27" s="9">
        <f>Irip*ESR/ncap+Irip/(8*Fs*ncap*Cap*0.000001)</f>
        <v>4.0223930481283414</v>
      </c>
      <c r="G27" s="6" t="s">
        <v>250</v>
      </c>
      <c r="J27" s="18"/>
      <c r="K27" s="18" t="s">
        <v>31</v>
      </c>
      <c r="L27" s="18" t="s">
        <v>21</v>
      </c>
      <c r="M27" s="4"/>
    </row>
    <row r="28" spans="1:13" ht="13" customHeight="1">
      <c r="A28" s="20" t="s">
        <v>22</v>
      </c>
      <c r="B28" s="21">
        <v>25</v>
      </c>
      <c r="C28" s="6" t="s">
        <v>23</v>
      </c>
      <c r="E28" s="4" t="str">
        <f>IF(Vout*Dmax/(Lout*0.000001)&gt;0.85*Se*Compensation!C28, "Must Increase L", " ")</f>
        <v xml:space="preserve"> </v>
      </c>
      <c r="G28" s="14"/>
      <c r="J28" s="18" t="s">
        <v>24</v>
      </c>
      <c r="K28" s="22">
        <f>B55</f>
        <v>0.16855525777081934</v>
      </c>
      <c r="L28" s="22">
        <f>B56+B57+B58+B59</f>
        <v>0.3683336756625728</v>
      </c>
      <c r="M28" s="4"/>
    </row>
    <row r="29" spans="1:13" ht="13" customHeight="1">
      <c r="A29" s="20"/>
      <c r="B29" s="12"/>
      <c r="G29" s="14"/>
      <c r="J29" s="18" t="s">
        <v>25</v>
      </c>
      <c r="K29" s="22">
        <f>B72</f>
        <v>0.22982596994467522</v>
      </c>
      <c r="L29" s="22">
        <f>B73+B74+B75</f>
        <v>0.14752434122757024</v>
      </c>
      <c r="M29" s="4"/>
    </row>
    <row r="30" spans="1:13" ht="13" customHeight="1">
      <c r="A30" s="13" t="s">
        <v>26</v>
      </c>
      <c r="B30" s="12"/>
      <c r="D30" s="14"/>
      <c r="E30" s="124" t="s">
        <v>251</v>
      </c>
      <c r="F30" s="14"/>
      <c r="G30" s="14"/>
      <c r="J30" s="18" t="s">
        <v>27</v>
      </c>
      <c r="K30" s="18"/>
      <c r="L30" s="22">
        <f>B82+B83</f>
        <v>2.1999999999999997E-3</v>
      </c>
      <c r="M30" s="4"/>
    </row>
    <row r="31" spans="1:13" ht="13" customHeight="1">
      <c r="A31" s="2" t="s">
        <v>28</v>
      </c>
      <c r="B31" s="21">
        <v>1</v>
      </c>
      <c r="D31" s="14"/>
      <c r="E31" s="132" t="s">
        <v>252</v>
      </c>
      <c r="F31" s="8">
        <v>3.7</v>
      </c>
      <c r="G31" s="6" t="str">
        <f>IF(F31&lt;3.7, "Too Low", "V")</f>
        <v>V</v>
      </c>
      <c r="J31" s="18" t="s">
        <v>20</v>
      </c>
      <c r="K31" s="22">
        <f>B89</f>
        <v>0.10085254919982699</v>
      </c>
      <c r="L31" s="22">
        <f>B88</f>
        <v>1.3699118486230604E-3</v>
      </c>
      <c r="M31" s="4"/>
    </row>
    <row r="32" spans="1:13" ht="13" customHeight="1">
      <c r="A32" s="2" t="s">
        <v>272</v>
      </c>
      <c r="B32" s="21">
        <v>15</v>
      </c>
      <c r="C32" s="6" t="s">
        <v>29</v>
      </c>
      <c r="E32" s="132" t="s">
        <v>254</v>
      </c>
      <c r="F32" s="8">
        <v>3.3</v>
      </c>
      <c r="G32" s="6" t="str">
        <f>IF(F32&lt;3.3,"Too Low", IF(F32&gt;F31, "Too High", "V"))</f>
        <v>V</v>
      </c>
      <c r="J32" s="18" t="s">
        <v>30</v>
      </c>
      <c r="K32" s="102">
        <f>B93</f>
        <v>4.2627459991349478E-5</v>
      </c>
      <c r="L32" s="18"/>
      <c r="M32" s="4"/>
    </row>
    <row r="33" spans="1:13" ht="13" customHeight="1">
      <c r="A33" s="2" t="s">
        <v>32</v>
      </c>
      <c r="B33" s="21">
        <v>5</v>
      </c>
      <c r="C33" s="6" t="s">
        <v>23</v>
      </c>
      <c r="E33" s="132"/>
      <c r="J33" s="4"/>
      <c r="K33" s="4"/>
      <c r="L33" s="4"/>
      <c r="M33" s="4"/>
    </row>
    <row r="34" spans="1:13" ht="13" customHeight="1">
      <c r="B34" s="23"/>
      <c r="E34" s="132" t="s">
        <v>255</v>
      </c>
      <c r="F34" s="7" t="str">
        <f>IF(F31=3.7, "Open",(0.935*F31-F32)/0.0041)</f>
        <v>Open</v>
      </c>
      <c r="G34" s="6" t="s">
        <v>253</v>
      </c>
      <c r="J34" s="4"/>
      <c r="K34" s="4"/>
      <c r="L34" s="4"/>
      <c r="M34" s="4"/>
    </row>
    <row r="35" spans="1:13" ht="13" customHeight="1">
      <c r="A35" s="13" t="s">
        <v>33</v>
      </c>
      <c r="E35" s="132" t="s">
        <v>256</v>
      </c>
      <c r="F35" s="7" t="str">
        <f>IF(F34="Open", "Open", 1.1*F34/(F32-1.1+0.0055*F34))</f>
        <v>Open</v>
      </c>
      <c r="G35" s="6" t="s">
        <v>253</v>
      </c>
      <c r="J35" s="4"/>
      <c r="K35" s="4"/>
      <c r="L35" s="4"/>
      <c r="M35" s="4"/>
    </row>
    <row r="36" spans="1:13" ht="13" customHeight="1">
      <c r="A36" s="2" t="s">
        <v>34</v>
      </c>
      <c r="B36" s="7">
        <f>IF(OR(B17="AP63300",B17="AP63301",B17="AP63300Q",B17="AP63301Q"),83*(1+0.005*(F40-25))*(1+83*0.001*Iout^2*Vout/Vin), 125*(1+0.005*(F40-25))*(1+125*0.001*Iout^2*Vout/Vin))</f>
        <v>142.1875</v>
      </c>
      <c r="C36" s="6" t="s">
        <v>23</v>
      </c>
      <c r="E36" s="10"/>
      <c r="J36" s="4"/>
      <c r="K36" s="4"/>
      <c r="L36" s="4"/>
      <c r="M36" s="4"/>
    </row>
    <row r="37" spans="1:13" ht="13" customHeight="1">
      <c r="E37" s="19" t="s">
        <v>260</v>
      </c>
      <c r="F37" s="128" t="s">
        <v>258</v>
      </c>
      <c r="G37" s="127"/>
    </row>
    <row r="38" spans="1:13" ht="13" customHeight="1">
      <c r="A38" s="13" t="s">
        <v>35</v>
      </c>
      <c r="B38" s="23"/>
      <c r="E38" s="10"/>
      <c r="H38" s="149"/>
      <c r="I38" s="149"/>
      <c r="J38" s="149"/>
      <c r="K38" s="149"/>
    </row>
    <row r="39" spans="1:13" ht="13" customHeight="1">
      <c r="A39" s="2" t="s">
        <v>34</v>
      </c>
      <c r="B39" s="7">
        <f>IF(OR(B17="AP63300",B17="AP63301",B17="AP63300Q",B17="AP63301Q"), 43*(1+0.005*(F40-25))*(1+43*0.001*Iout^2*(1-Vout/Vin)),68*(1+0.005*(F40-25))*(1+68*0.001*Iout^2*(1-Vout/Vin)))</f>
        <v>81.409599999999998</v>
      </c>
      <c r="C39" s="6" t="s">
        <v>23</v>
      </c>
      <c r="E39" s="24" t="s">
        <v>271</v>
      </c>
      <c r="F39" s="121">
        <v>70</v>
      </c>
      <c r="G39" s="25" t="s">
        <v>36</v>
      </c>
      <c r="H39" s="149"/>
      <c r="I39" s="149" t="s">
        <v>265</v>
      </c>
      <c r="J39" s="149" t="s">
        <v>258</v>
      </c>
      <c r="K39" s="149">
        <v>2</v>
      </c>
      <c r="L39" s="4"/>
    </row>
    <row r="40" spans="1:13" ht="13" customHeight="1">
      <c r="B40" s="23"/>
      <c r="E40" s="24" t="s">
        <v>37</v>
      </c>
      <c r="F40" s="121">
        <v>25</v>
      </c>
      <c r="G40" s="25" t="s">
        <v>38</v>
      </c>
      <c r="H40" s="149">
        <f>IF(OR(B17="AP63200",B17="AP63201",B17="AP63203",B17="AP63205",B17="AP63300",B17="AP63301"),125, 150)</f>
        <v>150</v>
      </c>
      <c r="I40" s="149" t="s">
        <v>266</v>
      </c>
      <c r="J40" s="149" t="s">
        <v>259</v>
      </c>
      <c r="K40" s="149">
        <v>3</v>
      </c>
      <c r="L40" s="4"/>
    </row>
    <row r="41" spans="1:13" ht="13" customHeight="1">
      <c r="A41" s="26" t="s">
        <v>39</v>
      </c>
      <c r="B41" s="27">
        <f>Tloss</f>
        <v>1.0906617056540877</v>
      </c>
      <c r="C41" s="28" t="s">
        <v>40</v>
      </c>
      <c r="E41" s="24" t="s">
        <v>286</v>
      </c>
      <c r="F41" s="29">
        <f>+F40+F39*F42</f>
        <v>89.15074712239462</v>
      </c>
      <c r="G41" s="25" t="str">
        <f>IF(F41&gt;H40, "Thermal too high","°C")</f>
        <v>°C</v>
      </c>
      <c r="H41" s="149"/>
      <c r="I41" s="149" t="s">
        <v>267</v>
      </c>
      <c r="J41" s="149"/>
      <c r="K41" s="149"/>
      <c r="L41" s="4"/>
    </row>
    <row r="42" spans="1:13" ht="13" customHeight="1">
      <c r="A42" s="26" t="s">
        <v>41</v>
      </c>
      <c r="B42" s="27">
        <f>Efficiency</f>
        <v>85.818363264473774</v>
      </c>
      <c r="C42" s="28" t="s">
        <v>15</v>
      </c>
      <c r="E42" s="2" t="s">
        <v>42</v>
      </c>
      <c r="F42" s="30">
        <f>+K28+L28+K29+L29+L30</f>
        <v>0.91643924460563753</v>
      </c>
      <c r="G42" s="31" t="s">
        <v>43</v>
      </c>
      <c r="H42" s="149"/>
      <c r="I42" s="149" t="s">
        <v>268</v>
      </c>
      <c r="J42" s="149"/>
      <c r="K42" s="149"/>
      <c r="L42" s="4"/>
    </row>
    <row r="43" spans="1:13" ht="13" customHeight="1" thickBot="1">
      <c r="A43" s="1"/>
      <c r="B43" s="32"/>
      <c r="C43" s="1"/>
      <c r="D43" s="1"/>
      <c r="E43" s="1"/>
      <c r="F43" s="1"/>
      <c r="G43" s="1"/>
      <c r="H43" s="159"/>
      <c r="I43" s="149" t="s">
        <v>279</v>
      </c>
      <c r="J43" s="149"/>
      <c r="K43" s="149"/>
      <c r="L43" s="4"/>
    </row>
    <row r="44" spans="1:13" s="33" customFormat="1" ht="13" customHeight="1">
      <c r="A44" s="2"/>
      <c r="B44" s="23"/>
      <c r="C44" s="2"/>
      <c r="D44" s="2"/>
      <c r="E44" s="2"/>
      <c r="F44" s="2"/>
      <c r="G44" s="2"/>
      <c r="H44" s="149"/>
      <c r="I44" s="149" t="s">
        <v>280</v>
      </c>
      <c r="J44" s="149"/>
      <c r="K44" s="149"/>
      <c r="L44" s="4"/>
    </row>
    <row r="45" spans="1:13" s="34" customFormat="1" ht="13" customHeight="1">
      <c r="A45" s="133" t="s">
        <v>33</v>
      </c>
      <c r="B45" s="18"/>
      <c r="C45" s="18"/>
      <c r="D45" s="18"/>
      <c r="E45" s="18"/>
      <c r="F45" s="18"/>
      <c r="G45" s="18"/>
      <c r="H45" s="18"/>
      <c r="I45" s="149" t="s">
        <v>281</v>
      </c>
      <c r="J45" s="18"/>
      <c r="K45" s="18"/>
      <c r="L45" s="158"/>
    </row>
    <row r="46" spans="1:13" s="34" customFormat="1" ht="13" customHeight="1">
      <c r="A46" s="18" t="s">
        <v>44</v>
      </c>
      <c r="B46" s="134">
        <f>B36</f>
        <v>142.1875</v>
      </c>
      <c r="C46" s="18" t="s">
        <v>23</v>
      </c>
      <c r="D46" s="18"/>
      <c r="E46" s="18"/>
      <c r="F46" s="18"/>
      <c r="G46" s="18"/>
      <c r="H46" s="18"/>
      <c r="I46" s="149" t="s">
        <v>282</v>
      </c>
      <c r="J46" s="18"/>
      <c r="K46" s="18"/>
      <c r="L46" s="158"/>
    </row>
    <row r="47" spans="1:13" s="34" customFormat="1" ht="13" customHeight="1">
      <c r="A47" s="18" t="s">
        <v>45</v>
      </c>
      <c r="B47" s="18">
        <v>1.2</v>
      </c>
      <c r="C47" s="18" t="s">
        <v>5</v>
      </c>
      <c r="D47" s="18"/>
      <c r="E47" s="18"/>
      <c r="F47" s="18"/>
      <c r="G47" s="18"/>
      <c r="H47" s="18"/>
      <c r="I47" s="149" t="s">
        <v>269</v>
      </c>
      <c r="J47" s="18"/>
      <c r="K47" s="18"/>
      <c r="L47" s="158"/>
    </row>
    <row r="48" spans="1:13" s="34" customFormat="1" ht="13" customHeight="1">
      <c r="A48" s="18" t="s">
        <v>46</v>
      </c>
      <c r="B48" s="18">
        <v>0.3</v>
      </c>
      <c r="C48" s="18" t="s">
        <v>47</v>
      </c>
      <c r="D48" s="18"/>
      <c r="E48" s="18"/>
      <c r="F48" s="18"/>
      <c r="G48" s="18"/>
      <c r="H48" s="18"/>
      <c r="I48" s="149" t="s">
        <v>270</v>
      </c>
      <c r="J48" s="18"/>
      <c r="K48" s="18"/>
      <c r="L48" s="158"/>
    </row>
    <row r="49" spans="1:12" s="34" customFormat="1" ht="13" customHeight="1">
      <c r="A49" s="18" t="s">
        <v>48</v>
      </c>
      <c r="B49" s="18">
        <v>0.2</v>
      </c>
      <c r="C49" s="18" t="s">
        <v>47</v>
      </c>
      <c r="D49" s="18"/>
      <c r="E49" s="18"/>
      <c r="F49" s="18"/>
      <c r="G49" s="18"/>
      <c r="H49" s="18"/>
      <c r="I49" s="149" t="s">
        <v>283</v>
      </c>
      <c r="J49" s="160"/>
      <c r="K49" s="18"/>
      <c r="L49" s="158"/>
    </row>
    <row r="50" spans="1:12" s="34" customFormat="1" ht="13" customHeight="1">
      <c r="A50" s="18" t="s">
        <v>49</v>
      </c>
      <c r="B50" s="135">
        <f>+E50/Ron_u</f>
        <v>0.21098901098901099</v>
      </c>
      <c r="C50" s="18" t="s">
        <v>50</v>
      </c>
      <c r="D50" s="18" t="s">
        <v>51</v>
      </c>
      <c r="E50" s="103">
        <v>30</v>
      </c>
      <c r="F50" s="18" t="s">
        <v>52</v>
      </c>
      <c r="G50" s="18"/>
      <c r="H50" s="18"/>
      <c r="I50" s="149" t="s">
        <v>284</v>
      </c>
      <c r="J50" s="18"/>
      <c r="K50" s="18"/>
      <c r="L50" s="158"/>
    </row>
    <row r="51" spans="1:12" s="34" customFormat="1" ht="13" customHeight="1">
      <c r="A51" s="18" t="s">
        <v>53</v>
      </c>
      <c r="B51" s="136">
        <f>+E51/Ron_u</f>
        <v>0.14065934065934066</v>
      </c>
      <c r="C51" s="18" t="s">
        <v>50</v>
      </c>
      <c r="D51" s="18" t="s">
        <v>54</v>
      </c>
      <c r="E51" s="103">
        <v>20</v>
      </c>
      <c r="F51" s="18" t="s">
        <v>52</v>
      </c>
      <c r="G51" s="18"/>
      <c r="H51" s="18"/>
      <c r="I51" s="18"/>
      <c r="J51" s="18"/>
      <c r="K51" s="18"/>
      <c r="L51" s="158"/>
    </row>
    <row r="52" spans="1:12" s="34" customFormat="1" ht="13" customHeight="1">
      <c r="A52" s="18" t="s">
        <v>55</v>
      </c>
      <c r="B52" s="18">
        <v>15</v>
      </c>
      <c r="C52" s="18" t="s">
        <v>4</v>
      </c>
      <c r="D52" s="18" t="s">
        <v>56</v>
      </c>
      <c r="E52" s="18"/>
      <c r="F52" s="18"/>
      <c r="G52" s="18"/>
      <c r="H52" s="18"/>
      <c r="I52" s="18"/>
      <c r="J52" s="18"/>
    </row>
    <row r="53" spans="1:12" s="34" customFormat="1" ht="13" customHeight="1">
      <c r="A53" s="35" t="s">
        <v>57</v>
      </c>
      <c r="B53" s="18">
        <v>12</v>
      </c>
      <c r="C53" s="35" t="s">
        <v>4</v>
      </c>
      <c r="D53" s="18" t="s">
        <v>58</v>
      </c>
      <c r="E53" s="18"/>
      <c r="F53" s="18"/>
      <c r="G53" s="18"/>
      <c r="H53" s="18"/>
      <c r="I53" s="18"/>
      <c r="J53" s="18"/>
    </row>
    <row r="54" spans="1:12" s="36" customFormat="1" ht="13" customHeight="1">
      <c r="A54" s="137" t="s">
        <v>59</v>
      </c>
      <c r="B54" s="138">
        <v>1</v>
      </c>
      <c r="C54" s="35"/>
      <c r="D54" s="35" t="s">
        <v>60</v>
      </c>
      <c r="E54" s="35"/>
      <c r="F54" s="35"/>
      <c r="G54" s="35"/>
      <c r="H54" s="35"/>
      <c r="I54" s="35"/>
      <c r="J54" s="35"/>
    </row>
    <row r="55" spans="1:12" s="34" customFormat="1" ht="13" customHeight="1">
      <c r="A55" s="18" t="s">
        <v>61</v>
      </c>
      <c r="B55" s="22">
        <f>Iu_rms^2*B46/B54/1000</f>
        <v>0.16855525777081934</v>
      </c>
      <c r="C55" s="18" t="s">
        <v>43</v>
      </c>
      <c r="D55" s="18" t="s">
        <v>62</v>
      </c>
      <c r="E55" s="18"/>
      <c r="F55" s="18"/>
      <c r="G55" s="18"/>
      <c r="H55" s="18"/>
      <c r="I55" s="18"/>
      <c r="J55" s="18"/>
    </row>
    <row r="56" spans="1:12" s="34" customFormat="1" ht="13" customHeight="1">
      <c r="A56" s="18" t="s">
        <v>63</v>
      </c>
      <c r="B56" s="22">
        <f>Vin*(Iout-0.5*Irip)*B52*10^(-9)*Fs*10^(3)/2</f>
        <v>0.18216727941176472</v>
      </c>
      <c r="C56" s="18" t="s">
        <v>43</v>
      </c>
      <c r="D56" s="18" t="s">
        <v>64</v>
      </c>
      <c r="E56" s="18"/>
      <c r="F56" s="18"/>
      <c r="G56" s="18"/>
      <c r="H56" s="18"/>
      <c r="I56" s="18"/>
      <c r="J56" s="18"/>
    </row>
    <row r="57" spans="1:12" s="34" customFormat="1" ht="13" customHeight="1">
      <c r="A57" s="18" t="s">
        <v>65</v>
      </c>
      <c r="B57" s="22">
        <f>Vin*(Iout+0.5*Irip)*B53*10^(-9)*Fs*10^(3)/2</f>
        <v>0.17106617647058828</v>
      </c>
      <c r="C57" s="18" t="s">
        <v>43</v>
      </c>
      <c r="D57" s="18" t="s">
        <v>66</v>
      </c>
      <c r="E57" s="18"/>
      <c r="F57" s="18"/>
      <c r="G57" s="18"/>
      <c r="H57" s="18"/>
      <c r="I57" s="18"/>
      <c r="J57" s="18"/>
    </row>
    <row r="58" spans="1:12" s="34" customFormat="1" ht="13" customHeight="1">
      <c r="A58" s="18" t="s">
        <v>67</v>
      </c>
      <c r="B58" s="22">
        <f>Vin*Fs*10^3*B48*10^(-9)*B54</f>
        <v>3.96E-3</v>
      </c>
      <c r="C58" s="18" t="s">
        <v>43</v>
      </c>
      <c r="D58" s="18" t="s">
        <v>68</v>
      </c>
      <c r="E58" s="18"/>
      <c r="F58" s="18"/>
      <c r="G58" s="18"/>
      <c r="H58" s="18"/>
      <c r="I58" s="18"/>
      <c r="J58" s="18"/>
    </row>
    <row r="59" spans="1:12" s="34" customFormat="1" ht="13" customHeight="1">
      <c r="A59" s="18" t="s">
        <v>69</v>
      </c>
      <c r="B59" s="22">
        <f>0.5*B51*10^(-9)*Vin^2*Fs*10^3*B54</f>
        <v>1.1140219780219781E-2</v>
      </c>
      <c r="C59" s="18" t="s">
        <v>43</v>
      </c>
      <c r="D59" s="18" t="s">
        <v>70</v>
      </c>
      <c r="E59" s="18"/>
      <c r="F59" s="18"/>
      <c r="G59" s="18"/>
      <c r="H59" s="18"/>
      <c r="I59" s="18"/>
      <c r="J59" s="18"/>
    </row>
    <row r="60" spans="1:12" s="34" customFormat="1" ht="13" customHeight="1">
      <c r="A60" s="18" t="s">
        <v>71</v>
      </c>
      <c r="B60" s="22">
        <f>SUM(B55:B59)</f>
        <v>0.53688893343339206</v>
      </c>
      <c r="C60" s="18" t="s">
        <v>43</v>
      </c>
      <c r="D60" s="18" t="s">
        <v>72</v>
      </c>
      <c r="E60" s="18"/>
      <c r="F60" s="18"/>
      <c r="G60" s="18"/>
      <c r="H60" s="18"/>
      <c r="I60" s="18"/>
      <c r="J60" s="22"/>
    </row>
    <row r="61" spans="1:12" s="34" customFormat="1" ht="13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</row>
    <row r="62" spans="1:12" s="34" customFormat="1" ht="13" customHeight="1">
      <c r="A62" s="133" t="s">
        <v>35</v>
      </c>
      <c r="B62" s="18"/>
      <c r="C62" s="18"/>
      <c r="D62" s="18"/>
      <c r="E62" s="18"/>
      <c r="F62" s="18"/>
      <c r="G62" s="18"/>
      <c r="H62" s="18"/>
      <c r="I62" s="18"/>
      <c r="J62" s="18"/>
    </row>
    <row r="63" spans="1:12" s="34" customFormat="1" ht="13" customHeight="1">
      <c r="A63" s="18" t="s">
        <v>44</v>
      </c>
      <c r="B63" s="134">
        <f>B39</f>
        <v>81.409599999999998</v>
      </c>
      <c r="C63" s="18" t="s">
        <v>23</v>
      </c>
      <c r="D63" s="18"/>
      <c r="E63" s="18"/>
      <c r="F63" s="18"/>
      <c r="G63" s="18"/>
      <c r="H63" s="18"/>
      <c r="I63" s="18"/>
      <c r="J63" s="18"/>
    </row>
    <row r="64" spans="1:12" s="34" customFormat="1" ht="13" customHeight="1">
      <c r="A64" s="18" t="s">
        <v>45</v>
      </c>
      <c r="B64" s="18">
        <v>1.2</v>
      </c>
      <c r="C64" s="18" t="s">
        <v>5</v>
      </c>
      <c r="D64" s="18"/>
      <c r="E64" s="18"/>
      <c r="F64" s="18"/>
      <c r="G64" s="18"/>
      <c r="H64" s="18"/>
      <c r="I64" s="18"/>
      <c r="J64" s="18"/>
    </row>
    <row r="65" spans="1:10" s="34" customFormat="1" ht="13" customHeight="1">
      <c r="A65" s="18" t="s">
        <v>46</v>
      </c>
      <c r="B65" s="18">
        <v>0.3</v>
      </c>
      <c r="C65" s="18" t="s">
        <v>47</v>
      </c>
      <c r="D65" s="18"/>
      <c r="E65" s="18"/>
      <c r="F65" s="18"/>
      <c r="G65" s="18"/>
      <c r="H65" s="18"/>
      <c r="I65" s="18"/>
      <c r="J65" s="18"/>
    </row>
    <row r="66" spans="1:10" s="34" customFormat="1" ht="13" customHeight="1">
      <c r="A66" s="18" t="s">
        <v>48</v>
      </c>
      <c r="B66" s="18">
        <v>0.2</v>
      </c>
      <c r="C66" s="18" t="s">
        <v>47</v>
      </c>
      <c r="D66" s="18"/>
      <c r="E66" s="18"/>
      <c r="F66" s="18"/>
      <c r="G66" s="18"/>
      <c r="H66" s="18"/>
      <c r="I66" s="18"/>
      <c r="J66" s="18"/>
    </row>
    <row r="67" spans="1:10" s="34" customFormat="1" ht="13" customHeight="1">
      <c r="A67" s="18" t="s">
        <v>49</v>
      </c>
      <c r="B67" s="139">
        <f>+E67/Ron_l</f>
        <v>0.36850690827617383</v>
      </c>
      <c r="C67" s="18" t="s">
        <v>50</v>
      </c>
      <c r="D67" s="18" t="s">
        <v>51</v>
      </c>
      <c r="E67" s="103">
        <v>30</v>
      </c>
      <c r="F67" s="18" t="s">
        <v>52</v>
      </c>
      <c r="G67" s="18"/>
      <c r="H67" s="18"/>
      <c r="I67" s="18"/>
      <c r="J67" s="18"/>
    </row>
    <row r="68" spans="1:10" s="34" customFormat="1" ht="13" customHeight="1">
      <c r="A68" s="18" t="s">
        <v>53</v>
      </c>
      <c r="B68" s="136">
        <f>+E68/Ron_l</f>
        <v>0.24567127218411589</v>
      </c>
      <c r="C68" s="18" t="s">
        <v>50</v>
      </c>
      <c r="D68" s="18" t="s">
        <v>54</v>
      </c>
      <c r="E68" s="103">
        <v>20</v>
      </c>
      <c r="F68" s="18" t="s">
        <v>52</v>
      </c>
      <c r="G68" s="18"/>
      <c r="H68" s="18"/>
      <c r="I68" s="18"/>
      <c r="J68" s="18"/>
    </row>
    <row r="69" spans="1:10" s="34" customFormat="1" ht="13" customHeight="1">
      <c r="A69" s="18" t="s">
        <v>73</v>
      </c>
      <c r="B69" s="18">
        <v>20.2</v>
      </c>
      <c r="C69" s="18" t="s">
        <v>4</v>
      </c>
      <c r="D69" s="18" t="s">
        <v>74</v>
      </c>
      <c r="E69" s="18"/>
      <c r="F69" s="18"/>
      <c r="G69" s="18"/>
      <c r="H69" s="18"/>
      <c r="I69" s="18"/>
      <c r="J69" s="18"/>
    </row>
    <row r="70" spans="1:10" s="34" customFormat="1" ht="13" customHeight="1">
      <c r="A70" s="35" t="s">
        <v>75</v>
      </c>
      <c r="B70" s="35">
        <v>28.2</v>
      </c>
      <c r="C70" s="35" t="s">
        <v>4</v>
      </c>
      <c r="D70" s="18" t="s">
        <v>76</v>
      </c>
      <c r="E70" s="18"/>
      <c r="F70" s="18"/>
      <c r="G70" s="18"/>
      <c r="H70" s="18"/>
      <c r="I70" s="18"/>
      <c r="J70" s="18"/>
    </row>
    <row r="71" spans="1:10" s="36" customFormat="1" ht="13" customHeight="1">
      <c r="A71" s="35" t="s">
        <v>59</v>
      </c>
      <c r="B71" s="138">
        <v>1</v>
      </c>
      <c r="C71" s="35"/>
      <c r="D71" s="35" t="s">
        <v>77</v>
      </c>
      <c r="E71" s="35"/>
      <c r="F71" s="35"/>
      <c r="G71" s="35"/>
      <c r="H71" s="35"/>
      <c r="I71" s="35"/>
      <c r="J71" s="35"/>
    </row>
    <row r="72" spans="1:10" s="34" customFormat="1" ht="13" customHeight="1">
      <c r="A72" s="18" t="s">
        <v>61</v>
      </c>
      <c r="B72" s="22">
        <f>Il_rms^2*B63/1000/B71</f>
        <v>0.22982596994467522</v>
      </c>
      <c r="C72" s="18" t="s">
        <v>43</v>
      </c>
      <c r="D72" s="18" t="s">
        <v>78</v>
      </c>
      <c r="E72" s="18"/>
      <c r="F72" s="18"/>
      <c r="G72" s="18"/>
      <c r="H72" s="18"/>
      <c r="I72" s="18"/>
      <c r="J72" s="18"/>
    </row>
    <row r="73" spans="1:10" s="34" customFormat="1" ht="12.75" customHeight="1">
      <c r="A73" s="18" t="s">
        <v>67</v>
      </c>
      <c r="B73" s="22">
        <f>B64*Fs*10^(-6)*((Iout+0.5*Irip)*B69+(Iout-0.5*Irip)*B70)</f>
        <v>0.12608717647058826</v>
      </c>
      <c r="C73" s="18" t="s">
        <v>43</v>
      </c>
      <c r="D73" s="18" t="s">
        <v>79</v>
      </c>
      <c r="E73" s="18"/>
      <c r="F73" s="18"/>
      <c r="G73" s="18"/>
      <c r="H73" s="18"/>
      <c r="I73" s="18"/>
      <c r="J73" s="18"/>
    </row>
    <row r="74" spans="1:10" s="34" customFormat="1" ht="13" customHeight="1">
      <c r="A74" s="18" t="s">
        <v>80</v>
      </c>
      <c r="B74" s="22">
        <f>0.5*B65*Vin* Fs*10^(-6)*B71</f>
        <v>1.9799999999999996E-3</v>
      </c>
      <c r="C74" s="18" t="s">
        <v>43</v>
      </c>
      <c r="D74" s="18" t="s">
        <v>243</v>
      </c>
      <c r="E74" s="18"/>
      <c r="F74" s="18"/>
      <c r="G74" s="18"/>
      <c r="H74" s="18"/>
      <c r="I74" s="18"/>
      <c r="J74" s="18"/>
    </row>
    <row r="75" spans="1:10" s="34" customFormat="1" ht="13" customHeight="1">
      <c r="A75" s="18" t="s">
        <v>69</v>
      </c>
      <c r="B75" s="22">
        <f>B68*10^(-9)*B71*Vin^2*Fs*1000/2</f>
        <v>1.9457164756981976E-2</v>
      </c>
      <c r="C75" s="18" t="s">
        <v>43</v>
      </c>
      <c r="D75" s="18" t="s">
        <v>70</v>
      </c>
      <c r="E75" s="18"/>
      <c r="F75" s="18"/>
      <c r="G75" s="18"/>
      <c r="H75" s="18"/>
      <c r="I75" s="18"/>
      <c r="J75" s="18"/>
    </row>
    <row r="76" spans="1:10" s="34" customFormat="1" ht="13" customHeight="1">
      <c r="A76" s="18" t="s">
        <v>81</v>
      </c>
      <c r="B76" s="22">
        <f>B72+B73+B74+B75</f>
        <v>0.37735031117224549</v>
      </c>
      <c r="C76" s="18" t="s">
        <v>43</v>
      </c>
      <c r="D76" s="18" t="s">
        <v>82</v>
      </c>
      <c r="E76" s="18"/>
      <c r="F76" s="18"/>
      <c r="G76" s="18"/>
      <c r="H76" s="18"/>
      <c r="I76" s="18"/>
      <c r="J76" s="18"/>
    </row>
    <row r="77" spans="1:10" s="34" customFormat="1" ht="13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</row>
    <row r="78" spans="1:10" s="34" customFormat="1" ht="13" customHeight="1">
      <c r="A78" s="140" t="s">
        <v>83</v>
      </c>
      <c r="B78" s="18"/>
      <c r="C78" s="18"/>
      <c r="D78" s="18"/>
      <c r="E78" s="18"/>
      <c r="F78" s="18"/>
      <c r="G78" s="18"/>
      <c r="H78" s="18"/>
      <c r="I78" s="18"/>
      <c r="J78" s="18"/>
    </row>
    <row r="79" spans="1:10" s="34" customFormat="1" ht="13" customHeight="1">
      <c r="A79" s="18" t="s">
        <v>84</v>
      </c>
      <c r="B79" s="18">
        <f>IF(Vin&lt;5.7, Vin, 5)</f>
        <v>5</v>
      </c>
      <c r="C79" s="18" t="s">
        <v>5</v>
      </c>
      <c r="D79" s="18"/>
      <c r="E79" s="18"/>
      <c r="F79" s="18"/>
      <c r="G79" s="18"/>
      <c r="H79" s="18"/>
      <c r="I79" s="18"/>
      <c r="J79" s="18"/>
    </row>
    <row r="80" spans="1:10" s="36" customFormat="1" ht="13" customHeight="1">
      <c r="A80" s="35" t="s">
        <v>85</v>
      </c>
      <c r="B80" s="18">
        <f>IF(Vin&lt;5.7, Vin, 5)</f>
        <v>5</v>
      </c>
      <c r="C80" s="35" t="s">
        <v>5</v>
      </c>
      <c r="D80" s="35"/>
      <c r="E80" s="35"/>
      <c r="F80" s="35"/>
      <c r="G80" s="35"/>
      <c r="H80" s="35"/>
      <c r="I80" s="35"/>
      <c r="J80" s="35"/>
    </row>
    <row r="81" spans="1:10" s="36" customFormat="1" ht="13" customHeight="1">
      <c r="A81" s="35" t="s">
        <v>86</v>
      </c>
      <c r="B81" s="35">
        <v>6</v>
      </c>
      <c r="C81" s="35" t="s">
        <v>87</v>
      </c>
      <c r="D81" s="35" t="s">
        <v>88</v>
      </c>
      <c r="E81" s="35"/>
      <c r="F81" s="35"/>
      <c r="G81" s="35"/>
      <c r="H81" s="35"/>
      <c r="I81" s="35"/>
      <c r="J81" s="35"/>
    </row>
    <row r="82" spans="1:10" s="34" customFormat="1" ht="13" customHeight="1">
      <c r="A82" s="18" t="s">
        <v>89</v>
      </c>
      <c r="B82" s="22">
        <f>Fs*B79*B49*10^(-6)*B54</f>
        <v>1.0999999999999998E-3</v>
      </c>
      <c r="C82" s="18" t="s">
        <v>43</v>
      </c>
      <c r="D82" s="18" t="s">
        <v>90</v>
      </c>
      <c r="E82" s="18"/>
      <c r="F82" s="18"/>
      <c r="G82" s="18"/>
      <c r="H82" s="18"/>
      <c r="I82" s="18"/>
      <c r="J82" s="18"/>
    </row>
    <row r="83" spans="1:10" s="34" customFormat="1" ht="13" customHeight="1">
      <c r="A83" s="18" t="s">
        <v>91</v>
      </c>
      <c r="B83" s="22">
        <f>Fs*B80*B66*10^(-6)*B71</f>
        <v>1.0999999999999998E-3</v>
      </c>
      <c r="C83" s="18" t="s">
        <v>43</v>
      </c>
      <c r="D83" s="18" t="s">
        <v>92</v>
      </c>
      <c r="E83" s="18"/>
      <c r="F83" s="18"/>
      <c r="G83" s="18"/>
      <c r="H83" s="18"/>
      <c r="I83" s="18"/>
      <c r="J83" s="18"/>
    </row>
    <row r="84" spans="1:10" s="34" customFormat="1" ht="13" customHeight="1">
      <c r="A84" s="141" t="s">
        <v>93</v>
      </c>
      <c r="B84" s="142">
        <f>+(Vin-B80)*B81/1000</f>
        <v>4.2000000000000003E-2</v>
      </c>
      <c r="C84" s="141" t="s">
        <v>43</v>
      </c>
      <c r="D84" s="141" t="s">
        <v>94</v>
      </c>
      <c r="E84" s="141"/>
      <c r="F84" s="18"/>
      <c r="G84" s="18"/>
      <c r="H84" s="18"/>
      <c r="I84" s="18"/>
      <c r="J84" s="18"/>
    </row>
    <row r="85" spans="1:10" s="34" customFormat="1" ht="13" customHeight="1">
      <c r="A85" s="18" t="s">
        <v>95</v>
      </c>
      <c r="B85" s="22">
        <f>B82+B83+B84+B81*B80*0.001</f>
        <v>7.4200000000000002E-2</v>
      </c>
      <c r="C85" s="18" t="s">
        <v>43</v>
      </c>
      <c r="D85" s="18" t="s">
        <v>96</v>
      </c>
      <c r="E85" s="18"/>
      <c r="F85" s="18"/>
      <c r="G85" s="18"/>
      <c r="H85" s="18"/>
      <c r="I85" s="18"/>
      <c r="J85" s="18"/>
    </row>
    <row r="86" spans="1:10" s="34" customFormat="1" ht="13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</row>
    <row r="87" spans="1:10" s="34" customFormat="1" ht="13" customHeight="1">
      <c r="A87" s="140" t="s">
        <v>97</v>
      </c>
      <c r="B87" s="18"/>
      <c r="C87" s="18"/>
      <c r="D87" s="18"/>
      <c r="E87" s="18"/>
      <c r="F87" s="18"/>
      <c r="G87" s="18"/>
      <c r="H87" s="18"/>
      <c r="I87" s="18"/>
      <c r="J87" s="18"/>
    </row>
    <row r="88" spans="1:10" s="34" customFormat="1" ht="13" customHeight="1">
      <c r="A88" s="18" t="s">
        <v>98</v>
      </c>
      <c r="B88" s="22">
        <f>0.7*10^(-9)*(Fs)^1.35*(57.8*0.5*Irip)^2.263</f>
        <v>1.3699118486230604E-3</v>
      </c>
      <c r="C88" s="18" t="s">
        <v>43</v>
      </c>
      <c r="D88" s="18" t="s">
        <v>99</v>
      </c>
      <c r="E88" s="18"/>
      <c r="F88" s="18"/>
      <c r="G88" s="18"/>
      <c r="H88" s="18"/>
      <c r="I88" s="18"/>
      <c r="J88" s="18"/>
    </row>
    <row r="89" spans="1:10" s="34" customFormat="1" ht="13" customHeight="1">
      <c r="A89" s="18" t="s">
        <v>100</v>
      </c>
      <c r="B89" s="22">
        <f>DCR/1000*(Iout*SQRT(1+1/3*(Irip/Iout)^2))^2</f>
        <v>0.10085254919982699</v>
      </c>
      <c r="C89" s="18" t="s">
        <v>43</v>
      </c>
      <c r="D89" s="18" t="s">
        <v>101</v>
      </c>
      <c r="E89" s="18"/>
      <c r="F89" s="18"/>
      <c r="G89" s="18"/>
      <c r="H89" s="18"/>
      <c r="I89" s="18"/>
      <c r="J89" s="18"/>
    </row>
    <row r="90" spans="1:10" s="34" customFormat="1" ht="13" customHeight="1">
      <c r="A90" s="18" t="s">
        <v>102</v>
      </c>
      <c r="B90" s="22">
        <f>B88+B89</f>
        <v>0.10222246104845005</v>
      </c>
      <c r="C90" s="18" t="s">
        <v>43</v>
      </c>
      <c r="D90" s="18" t="s">
        <v>103</v>
      </c>
      <c r="E90" s="18"/>
      <c r="F90" s="18"/>
      <c r="G90" s="18"/>
      <c r="H90" s="18"/>
      <c r="I90" s="18"/>
      <c r="J90" s="18"/>
    </row>
    <row r="91" spans="1:10" s="34" customFormat="1" ht="13" customHeight="1">
      <c r="A91" s="18"/>
      <c r="B91" s="22"/>
      <c r="C91" s="18"/>
      <c r="D91" s="18"/>
      <c r="E91" s="18"/>
      <c r="F91" s="18"/>
      <c r="G91" s="18"/>
      <c r="H91" s="18"/>
      <c r="I91" s="18"/>
      <c r="J91" s="18"/>
    </row>
    <row r="92" spans="1:10" s="34" customFormat="1" ht="13" customHeight="1">
      <c r="A92" s="140" t="s">
        <v>104</v>
      </c>
      <c r="B92" s="18"/>
      <c r="C92" s="18"/>
      <c r="D92" s="18"/>
      <c r="E92" s="18"/>
      <c r="F92" s="18"/>
      <c r="G92" s="18"/>
      <c r="H92" s="18"/>
      <c r="I92" s="18"/>
      <c r="J92" s="18"/>
    </row>
    <row r="93" spans="1:10" s="34" customFormat="1" ht="13" customHeight="1">
      <c r="A93" s="18" t="s">
        <v>105</v>
      </c>
      <c r="B93" s="143">
        <f>(0.5*Irip/SQRT(3))^2*B33/B31/1000</f>
        <v>4.2627459991349478E-5</v>
      </c>
      <c r="C93" s="18" t="s">
        <v>43</v>
      </c>
      <c r="D93" s="18" t="s">
        <v>106</v>
      </c>
      <c r="E93" s="18"/>
      <c r="F93" s="18"/>
      <c r="G93" s="18"/>
      <c r="H93" s="18"/>
      <c r="I93" s="18"/>
      <c r="J93" s="18"/>
    </row>
    <row r="94" spans="1:10" s="34" customFormat="1" ht="13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 spans="1:10" s="34" customFormat="1" ht="13" customHeight="1">
      <c r="A95" s="133" t="s">
        <v>39</v>
      </c>
      <c r="B95" s="144">
        <f>B85+B76+B60+B90</f>
        <v>1.0906617056540877</v>
      </c>
      <c r="C95" s="140" t="s">
        <v>43</v>
      </c>
      <c r="D95" s="18"/>
      <c r="E95" s="18"/>
      <c r="F95" s="18"/>
      <c r="G95" s="18"/>
      <c r="H95" s="18"/>
      <c r="I95" s="18"/>
      <c r="J95" s="18"/>
    </row>
    <row r="96" spans="1:10" s="34" customFormat="1" ht="13" customHeight="1">
      <c r="A96" s="133" t="s">
        <v>41</v>
      </c>
      <c r="B96" s="144">
        <f>Vout*Iout/(Vout*Iout+B95)*100</f>
        <v>85.818363264473774</v>
      </c>
      <c r="C96" s="140" t="s">
        <v>15</v>
      </c>
      <c r="D96" s="18"/>
      <c r="E96" s="18"/>
      <c r="F96" s="18"/>
      <c r="G96" s="18"/>
      <c r="H96" s="18"/>
      <c r="I96" s="18"/>
      <c r="J96" s="18"/>
    </row>
    <row r="97" spans="1:10" s="33" customFormat="1" ht="13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 spans="1:10" ht="13" customHeight="1">
      <c r="A98" s="4"/>
      <c r="B98" s="4"/>
      <c r="C98" s="4"/>
      <c r="D98" s="4"/>
      <c r="E98" s="4"/>
      <c r="F98" s="4"/>
      <c r="G98" s="4"/>
      <c r="H98" s="19"/>
      <c r="I98" s="19"/>
      <c r="J98" s="19"/>
    </row>
    <row r="99" spans="1:10" ht="13" customHeight="1">
      <c r="A99" s="4"/>
      <c r="B99" s="4"/>
      <c r="C99" s="4"/>
      <c r="D99" s="4"/>
      <c r="E99" s="4"/>
      <c r="F99" s="4"/>
      <c r="G99" s="4"/>
      <c r="H99" s="19"/>
      <c r="I99" s="19"/>
      <c r="J99" s="19"/>
    </row>
    <row r="100" spans="1:10" ht="13" customHeight="1">
      <c r="A100" s="4"/>
      <c r="B100" s="37"/>
      <c r="C100" s="4"/>
      <c r="D100" s="4"/>
      <c r="E100" s="4"/>
      <c r="F100" s="4"/>
      <c r="G100" s="4"/>
      <c r="H100" s="19"/>
      <c r="I100" s="19"/>
      <c r="J100" s="19"/>
    </row>
    <row r="101" spans="1:10" ht="13" customHeight="1">
      <c r="A101" s="4"/>
      <c r="B101" s="4"/>
      <c r="C101" s="4"/>
      <c r="D101" s="4"/>
      <c r="E101" s="4"/>
      <c r="F101" s="4"/>
      <c r="G101" s="4"/>
      <c r="H101" s="19"/>
      <c r="I101" s="19"/>
      <c r="J101" s="19"/>
    </row>
    <row r="102" spans="1:10" ht="13" customHeight="1">
      <c r="A102" s="4"/>
      <c r="B102" s="4"/>
      <c r="C102" s="4"/>
      <c r="D102" s="4"/>
      <c r="E102" s="4"/>
      <c r="F102" s="4"/>
      <c r="G102" s="4"/>
      <c r="H102" s="19"/>
      <c r="I102" s="19"/>
      <c r="J102" s="19"/>
    </row>
    <row r="103" spans="1:10" ht="13" customHeight="1">
      <c r="A103" s="4"/>
      <c r="B103" s="4"/>
      <c r="C103" s="4"/>
      <c r="D103" s="4"/>
      <c r="E103" s="4"/>
      <c r="F103" s="4"/>
      <c r="G103" s="4"/>
      <c r="H103" s="19"/>
      <c r="I103" s="19"/>
      <c r="J103" s="19"/>
    </row>
    <row r="104" spans="1:10" ht="13" customHeight="1">
      <c r="A104" s="4"/>
      <c r="B104" s="4"/>
      <c r="C104" s="4"/>
      <c r="D104" s="4"/>
      <c r="E104" s="4"/>
      <c r="F104" s="4"/>
      <c r="G104" s="4"/>
      <c r="H104" s="19"/>
      <c r="I104" s="19"/>
      <c r="J104" s="19"/>
    </row>
    <row r="105" spans="1:10" ht="13" customHeight="1">
      <c r="A105" s="4"/>
      <c r="B105" s="4"/>
      <c r="C105" s="4"/>
      <c r="D105" s="4"/>
      <c r="E105" s="4"/>
      <c r="F105" s="4"/>
      <c r="G105" s="4"/>
      <c r="H105" s="19"/>
      <c r="I105" s="19"/>
      <c r="J105" s="19"/>
    </row>
    <row r="106" spans="1:10" ht="13" customHeight="1">
      <c r="A106" s="4"/>
      <c r="B106" s="4"/>
      <c r="C106" s="4"/>
      <c r="D106" s="4"/>
      <c r="E106" s="4"/>
      <c r="F106" s="4"/>
      <c r="G106" s="4"/>
      <c r="H106" s="19"/>
    </row>
    <row r="107" spans="1:10" ht="13" customHeight="1">
      <c r="A107" s="4"/>
      <c r="B107" s="4"/>
      <c r="C107" s="4"/>
      <c r="D107" s="4"/>
      <c r="E107" s="4"/>
      <c r="F107" s="4"/>
      <c r="G107" s="4"/>
    </row>
    <row r="108" spans="1:10" ht="13" customHeight="1">
      <c r="A108" s="4"/>
      <c r="B108" s="4"/>
      <c r="C108" s="4"/>
      <c r="D108" s="4"/>
      <c r="E108" s="4"/>
      <c r="F108" s="4"/>
      <c r="G108" s="4"/>
    </row>
    <row r="109" spans="1:10" ht="13" customHeight="1">
      <c r="A109" s="4"/>
      <c r="B109" s="4"/>
      <c r="C109" s="4"/>
      <c r="D109" s="4"/>
      <c r="E109" s="4"/>
      <c r="F109" s="4"/>
      <c r="G109" s="4"/>
    </row>
    <row r="110" spans="1:10" ht="13" customHeight="1">
      <c r="A110" s="4"/>
      <c r="B110" s="4"/>
      <c r="C110" s="4"/>
      <c r="D110" s="4"/>
      <c r="E110" s="4"/>
      <c r="F110" s="4"/>
      <c r="G110" s="4"/>
    </row>
    <row r="111" spans="1:10" ht="13" customHeight="1">
      <c r="A111" s="4"/>
      <c r="B111" s="4"/>
      <c r="C111" s="4"/>
      <c r="D111" s="4"/>
      <c r="E111" s="4"/>
      <c r="F111" s="4"/>
      <c r="G111" s="4"/>
    </row>
    <row r="112" spans="1:10" ht="13" customHeight="1">
      <c r="A112" s="4"/>
      <c r="B112" s="4"/>
      <c r="C112" s="4"/>
      <c r="D112" s="4"/>
      <c r="E112" s="4"/>
      <c r="F112" s="4"/>
      <c r="G112" s="4"/>
    </row>
    <row r="113" spans="1:7" ht="13" customHeight="1">
      <c r="A113" s="4"/>
      <c r="B113" s="4"/>
      <c r="C113" s="4"/>
      <c r="D113" s="4"/>
      <c r="E113" s="4"/>
      <c r="F113" s="4"/>
      <c r="G113" s="4"/>
    </row>
    <row r="114" spans="1:7" ht="13" customHeight="1">
      <c r="A114" s="4"/>
      <c r="B114" s="4"/>
      <c r="C114" s="4"/>
      <c r="D114" s="4"/>
      <c r="E114" s="4"/>
      <c r="F114" s="4"/>
      <c r="G114" s="4"/>
    </row>
    <row r="115" spans="1:7" ht="13" customHeight="1">
      <c r="A115" s="4"/>
      <c r="B115" s="4"/>
      <c r="C115" s="4"/>
      <c r="D115" s="4"/>
      <c r="E115" s="4"/>
      <c r="F115" s="4"/>
      <c r="G115" s="4"/>
    </row>
    <row r="116" spans="1:7" ht="13" customHeight="1">
      <c r="A116" s="4"/>
      <c r="B116" s="4"/>
      <c r="C116" s="4"/>
      <c r="D116" s="4"/>
      <c r="E116" s="4"/>
      <c r="F116" s="4"/>
      <c r="G116" s="4"/>
    </row>
    <row r="117" spans="1:7" ht="13" customHeight="1"/>
    <row r="118" spans="1:7" ht="13" customHeight="1"/>
  </sheetData>
  <sheetProtection password="C6F9" sheet="1" objects="1" scenarios="1" selectLockedCells="1"/>
  <conditionalFormatting sqref="A19">
    <cfRule type="containsText" dxfId="4" priority="3" operator="containsText" text="Input Voltage Out of Range">
      <formula>NOT(ISERROR(SEARCH("Input Voltage Out of Range",A19)))</formula>
    </cfRule>
  </conditionalFormatting>
  <conditionalFormatting sqref="B19">
    <cfRule type="cellIs" dxfId="3" priority="2" operator="between">
      <formula>3.8</formula>
      <formula>32</formula>
    </cfRule>
  </conditionalFormatting>
  <conditionalFormatting sqref="A20">
    <cfRule type="containsText" dxfId="2" priority="1" operator="containsText" text="Out of Range">
      <formula>NOT(ISERROR(SEARCH("Out of Range",A20)))</formula>
    </cfRule>
  </conditionalFormatting>
  <dataValidations count="2">
    <dataValidation type="list" allowBlank="1" showInputMessage="1" showErrorMessage="1" sqref="B17">
      <formula1>$I$39:$I$50</formula1>
    </dataValidation>
    <dataValidation type="list" allowBlank="1" showInputMessage="1" showErrorMessage="1" sqref="F37">
      <formula1>$J$39:$J$40</formula1>
    </dataValidation>
  </dataValidations>
  <pageMargins left="0.7" right="0.7" top="0.75" bottom="0.75" header="0.3" footer="0.3"/>
  <pageSetup orientation="portrait" verticalDpi="598" r:id="rId1"/>
  <drawing r:id="rId2"/>
  <legacyDrawing r:id="rId3"/>
  <oleObjects>
    <mc:AlternateContent xmlns:mc="http://schemas.openxmlformats.org/markup-compatibility/2006">
      <mc:Choice Requires="x14">
        <oleObject progId="Visio.Drawing.11" shapeId="1030" r:id="rId4">
          <objectPr defaultSize="0" autoPict="0" r:id="rId5">
            <anchor moveWithCells="1">
              <from>
                <xdr:col>8</xdr:col>
                <xdr:colOff>19050</xdr:colOff>
                <xdr:row>17</xdr:row>
                <xdr:rowOff>57150</xdr:rowOff>
              </from>
              <to>
                <xdr:col>19</xdr:col>
                <xdr:colOff>38100</xdr:colOff>
                <xdr:row>38</xdr:row>
                <xdr:rowOff>88900</xdr:rowOff>
              </to>
            </anchor>
          </objectPr>
        </oleObject>
      </mc:Choice>
      <mc:Fallback>
        <oleObject progId="Visio.Drawing.11" shapeId="103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topLeftCell="A4" workbookViewId="0">
      <selection activeCell="B9" sqref="B9"/>
    </sheetView>
  </sheetViews>
  <sheetFormatPr defaultRowHeight="13" customHeight="1"/>
  <cols>
    <col min="1" max="1" width="15.7265625" style="2" customWidth="1"/>
    <col min="2" max="2" width="17.1796875" style="2" customWidth="1"/>
    <col min="3" max="3" width="11.81640625" style="2" customWidth="1"/>
    <col min="4" max="4" width="19.81640625" style="2" customWidth="1"/>
    <col min="5" max="5" width="12.1796875" style="2" customWidth="1"/>
    <col min="6" max="6" width="10.7265625" style="2" customWidth="1"/>
    <col min="7" max="7" width="27.1796875" style="2" customWidth="1"/>
    <col min="8" max="8" width="23.7265625" style="2" customWidth="1"/>
    <col min="9" max="13" width="9.26953125" style="2" bestFit="1" customWidth="1"/>
    <col min="14" max="15" width="12.26953125" style="2" bestFit="1" customWidth="1"/>
    <col min="16" max="17" width="9.26953125" style="2" bestFit="1" customWidth="1"/>
    <col min="18" max="256" width="9.1796875" style="2"/>
    <col min="257" max="257" width="15.7265625" style="2" customWidth="1"/>
    <col min="258" max="258" width="17.1796875" style="2" customWidth="1"/>
    <col min="259" max="259" width="11.81640625" style="2" customWidth="1"/>
    <col min="260" max="260" width="11" style="2" customWidth="1"/>
    <col min="261" max="261" width="24.7265625" style="2" customWidth="1"/>
    <col min="262" max="262" width="10.7265625" style="2" customWidth="1"/>
    <col min="263" max="263" width="27.1796875" style="2" customWidth="1"/>
    <col min="264" max="264" width="23.7265625" style="2" customWidth="1"/>
    <col min="265" max="512" width="9.1796875" style="2"/>
    <col min="513" max="513" width="15.7265625" style="2" customWidth="1"/>
    <col min="514" max="514" width="17.1796875" style="2" customWidth="1"/>
    <col min="515" max="515" width="11.81640625" style="2" customWidth="1"/>
    <col min="516" max="516" width="11" style="2" customWidth="1"/>
    <col min="517" max="517" width="24.7265625" style="2" customWidth="1"/>
    <col min="518" max="518" width="10.7265625" style="2" customWidth="1"/>
    <col min="519" max="519" width="27.1796875" style="2" customWidth="1"/>
    <col min="520" max="520" width="23.7265625" style="2" customWidth="1"/>
    <col min="521" max="768" width="9.1796875" style="2"/>
    <col min="769" max="769" width="15.7265625" style="2" customWidth="1"/>
    <col min="770" max="770" width="17.1796875" style="2" customWidth="1"/>
    <col min="771" max="771" width="11.81640625" style="2" customWidth="1"/>
    <col min="772" max="772" width="11" style="2" customWidth="1"/>
    <col min="773" max="773" width="24.7265625" style="2" customWidth="1"/>
    <col min="774" max="774" width="10.7265625" style="2" customWidth="1"/>
    <col min="775" max="775" width="27.1796875" style="2" customWidth="1"/>
    <col min="776" max="776" width="23.7265625" style="2" customWidth="1"/>
    <col min="777" max="1024" width="9.1796875" style="2"/>
    <col min="1025" max="1025" width="15.7265625" style="2" customWidth="1"/>
    <col min="1026" max="1026" width="17.1796875" style="2" customWidth="1"/>
    <col min="1027" max="1027" width="11.81640625" style="2" customWidth="1"/>
    <col min="1028" max="1028" width="11" style="2" customWidth="1"/>
    <col min="1029" max="1029" width="24.7265625" style="2" customWidth="1"/>
    <col min="1030" max="1030" width="10.7265625" style="2" customWidth="1"/>
    <col min="1031" max="1031" width="27.1796875" style="2" customWidth="1"/>
    <col min="1032" max="1032" width="23.7265625" style="2" customWidth="1"/>
    <col min="1033" max="1280" width="9.1796875" style="2"/>
    <col min="1281" max="1281" width="15.7265625" style="2" customWidth="1"/>
    <col min="1282" max="1282" width="17.1796875" style="2" customWidth="1"/>
    <col min="1283" max="1283" width="11.81640625" style="2" customWidth="1"/>
    <col min="1284" max="1284" width="11" style="2" customWidth="1"/>
    <col min="1285" max="1285" width="24.7265625" style="2" customWidth="1"/>
    <col min="1286" max="1286" width="10.7265625" style="2" customWidth="1"/>
    <col min="1287" max="1287" width="27.1796875" style="2" customWidth="1"/>
    <col min="1288" max="1288" width="23.7265625" style="2" customWidth="1"/>
    <col min="1289" max="1536" width="9.1796875" style="2"/>
    <col min="1537" max="1537" width="15.7265625" style="2" customWidth="1"/>
    <col min="1538" max="1538" width="17.1796875" style="2" customWidth="1"/>
    <col min="1539" max="1539" width="11.81640625" style="2" customWidth="1"/>
    <col min="1540" max="1540" width="11" style="2" customWidth="1"/>
    <col min="1541" max="1541" width="24.7265625" style="2" customWidth="1"/>
    <col min="1542" max="1542" width="10.7265625" style="2" customWidth="1"/>
    <col min="1543" max="1543" width="27.1796875" style="2" customWidth="1"/>
    <col min="1544" max="1544" width="23.7265625" style="2" customWidth="1"/>
    <col min="1545" max="1792" width="9.1796875" style="2"/>
    <col min="1793" max="1793" width="15.7265625" style="2" customWidth="1"/>
    <col min="1794" max="1794" width="17.1796875" style="2" customWidth="1"/>
    <col min="1795" max="1795" width="11.81640625" style="2" customWidth="1"/>
    <col min="1796" max="1796" width="11" style="2" customWidth="1"/>
    <col min="1797" max="1797" width="24.7265625" style="2" customWidth="1"/>
    <col min="1798" max="1798" width="10.7265625" style="2" customWidth="1"/>
    <col min="1799" max="1799" width="27.1796875" style="2" customWidth="1"/>
    <col min="1800" max="1800" width="23.7265625" style="2" customWidth="1"/>
    <col min="1801" max="2048" width="9.1796875" style="2"/>
    <col min="2049" max="2049" width="15.7265625" style="2" customWidth="1"/>
    <col min="2050" max="2050" width="17.1796875" style="2" customWidth="1"/>
    <col min="2051" max="2051" width="11.81640625" style="2" customWidth="1"/>
    <col min="2052" max="2052" width="11" style="2" customWidth="1"/>
    <col min="2053" max="2053" width="24.7265625" style="2" customWidth="1"/>
    <col min="2054" max="2054" width="10.7265625" style="2" customWidth="1"/>
    <col min="2055" max="2055" width="27.1796875" style="2" customWidth="1"/>
    <col min="2056" max="2056" width="23.7265625" style="2" customWidth="1"/>
    <col min="2057" max="2304" width="9.1796875" style="2"/>
    <col min="2305" max="2305" width="15.7265625" style="2" customWidth="1"/>
    <col min="2306" max="2306" width="17.1796875" style="2" customWidth="1"/>
    <col min="2307" max="2307" width="11.81640625" style="2" customWidth="1"/>
    <col min="2308" max="2308" width="11" style="2" customWidth="1"/>
    <col min="2309" max="2309" width="24.7265625" style="2" customWidth="1"/>
    <col min="2310" max="2310" width="10.7265625" style="2" customWidth="1"/>
    <col min="2311" max="2311" width="27.1796875" style="2" customWidth="1"/>
    <col min="2312" max="2312" width="23.7265625" style="2" customWidth="1"/>
    <col min="2313" max="2560" width="9.1796875" style="2"/>
    <col min="2561" max="2561" width="15.7265625" style="2" customWidth="1"/>
    <col min="2562" max="2562" width="17.1796875" style="2" customWidth="1"/>
    <col min="2563" max="2563" width="11.81640625" style="2" customWidth="1"/>
    <col min="2564" max="2564" width="11" style="2" customWidth="1"/>
    <col min="2565" max="2565" width="24.7265625" style="2" customWidth="1"/>
    <col min="2566" max="2566" width="10.7265625" style="2" customWidth="1"/>
    <col min="2567" max="2567" width="27.1796875" style="2" customWidth="1"/>
    <col min="2568" max="2568" width="23.7265625" style="2" customWidth="1"/>
    <col min="2569" max="2816" width="9.1796875" style="2"/>
    <col min="2817" max="2817" width="15.7265625" style="2" customWidth="1"/>
    <col min="2818" max="2818" width="17.1796875" style="2" customWidth="1"/>
    <col min="2819" max="2819" width="11.81640625" style="2" customWidth="1"/>
    <col min="2820" max="2820" width="11" style="2" customWidth="1"/>
    <col min="2821" max="2821" width="24.7265625" style="2" customWidth="1"/>
    <col min="2822" max="2822" width="10.7265625" style="2" customWidth="1"/>
    <col min="2823" max="2823" width="27.1796875" style="2" customWidth="1"/>
    <col min="2824" max="2824" width="23.7265625" style="2" customWidth="1"/>
    <col min="2825" max="3072" width="9.1796875" style="2"/>
    <col min="3073" max="3073" width="15.7265625" style="2" customWidth="1"/>
    <col min="3074" max="3074" width="17.1796875" style="2" customWidth="1"/>
    <col min="3075" max="3075" width="11.81640625" style="2" customWidth="1"/>
    <col min="3076" max="3076" width="11" style="2" customWidth="1"/>
    <col min="3077" max="3077" width="24.7265625" style="2" customWidth="1"/>
    <col min="3078" max="3078" width="10.7265625" style="2" customWidth="1"/>
    <col min="3079" max="3079" width="27.1796875" style="2" customWidth="1"/>
    <col min="3080" max="3080" width="23.7265625" style="2" customWidth="1"/>
    <col min="3081" max="3328" width="9.1796875" style="2"/>
    <col min="3329" max="3329" width="15.7265625" style="2" customWidth="1"/>
    <col min="3330" max="3330" width="17.1796875" style="2" customWidth="1"/>
    <col min="3331" max="3331" width="11.81640625" style="2" customWidth="1"/>
    <col min="3332" max="3332" width="11" style="2" customWidth="1"/>
    <col min="3333" max="3333" width="24.7265625" style="2" customWidth="1"/>
    <col min="3334" max="3334" width="10.7265625" style="2" customWidth="1"/>
    <col min="3335" max="3335" width="27.1796875" style="2" customWidth="1"/>
    <col min="3336" max="3336" width="23.7265625" style="2" customWidth="1"/>
    <col min="3337" max="3584" width="9.1796875" style="2"/>
    <col min="3585" max="3585" width="15.7265625" style="2" customWidth="1"/>
    <col min="3586" max="3586" width="17.1796875" style="2" customWidth="1"/>
    <col min="3587" max="3587" width="11.81640625" style="2" customWidth="1"/>
    <col min="3588" max="3588" width="11" style="2" customWidth="1"/>
    <col min="3589" max="3589" width="24.7265625" style="2" customWidth="1"/>
    <col min="3590" max="3590" width="10.7265625" style="2" customWidth="1"/>
    <col min="3591" max="3591" width="27.1796875" style="2" customWidth="1"/>
    <col min="3592" max="3592" width="23.7265625" style="2" customWidth="1"/>
    <col min="3593" max="3840" width="9.1796875" style="2"/>
    <col min="3841" max="3841" width="15.7265625" style="2" customWidth="1"/>
    <col min="3842" max="3842" width="17.1796875" style="2" customWidth="1"/>
    <col min="3843" max="3843" width="11.81640625" style="2" customWidth="1"/>
    <col min="3844" max="3844" width="11" style="2" customWidth="1"/>
    <col min="3845" max="3845" width="24.7265625" style="2" customWidth="1"/>
    <col min="3846" max="3846" width="10.7265625" style="2" customWidth="1"/>
    <col min="3847" max="3847" width="27.1796875" style="2" customWidth="1"/>
    <col min="3848" max="3848" width="23.7265625" style="2" customWidth="1"/>
    <col min="3849" max="4096" width="9.1796875" style="2"/>
    <col min="4097" max="4097" width="15.7265625" style="2" customWidth="1"/>
    <col min="4098" max="4098" width="17.1796875" style="2" customWidth="1"/>
    <col min="4099" max="4099" width="11.81640625" style="2" customWidth="1"/>
    <col min="4100" max="4100" width="11" style="2" customWidth="1"/>
    <col min="4101" max="4101" width="24.7265625" style="2" customWidth="1"/>
    <col min="4102" max="4102" width="10.7265625" style="2" customWidth="1"/>
    <col min="4103" max="4103" width="27.1796875" style="2" customWidth="1"/>
    <col min="4104" max="4104" width="23.7265625" style="2" customWidth="1"/>
    <col min="4105" max="4352" width="9.1796875" style="2"/>
    <col min="4353" max="4353" width="15.7265625" style="2" customWidth="1"/>
    <col min="4354" max="4354" width="17.1796875" style="2" customWidth="1"/>
    <col min="4355" max="4355" width="11.81640625" style="2" customWidth="1"/>
    <col min="4356" max="4356" width="11" style="2" customWidth="1"/>
    <col min="4357" max="4357" width="24.7265625" style="2" customWidth="1"/>
    <col min="4358" max="4358" width="10.7265625" style="2" customWidth="1"/>
    <col min="4359" max="4359" width="27.1796875" style="2" customWidth="1"/>
    <col min="4360" max="4360" width="23.7265625" style="2" customWidth="1"/>
    <col min="4361" max="4608" width="9.1796875" style="2"/>
    <col min="4609" max="4609" width="15.7265625" style="2" customWidth="1"/>
    <col min="4610" max="4610" width="17.1796875" style="2" customWidth="1"/>
    <col min="4611" max="4611" width="11.81640625" style="2" customWidth="1"/>
    <col min="4612" max="4612" width="11" style="2" customWidth="1"/>
    <col min="4613" max="4613" width="24.7265625" style="2" customWidth="1"/>
    <col min="4614" max="4614" width="10.7265625" style="2" customWidth="1"/>
    <col min="4615" max="4615" width="27.1796875" style="2" customWidth="1"/>
    <col min="4616" max="4616" width="23.7265625" style="2" customWidth="1"/>
    <col min="4617" max="4864" width="9.1796875" style="2"/>
    <col min="4865" max="4865" width="15.7265625" style="2" customWidth="1"/>
    <col min="4866" max="4866" width="17.1796875" style="2" customWidth="1"/>
    <col min="4867" max="4867" width="11.81640625" style="2" customWidth="1"/>
    <col min="4868" max="4868" width="11" style="2" customWidth="1"/>
    <col min="4869" max="4869" width="24.7265625" style="2" customWidth="1"/>
    <col min="4870" max="4870" width="10.7265625" style="2" customWidth="1"/>
    <col min="4871" max="4871" width="27.1796875" style="2" customWidth="1"/>
    <col min="4872" max="4872" width="23.7265625" style="2" customWidth="1"/>
    <col min="4873" max="5120" width="9.1796875" style="2"/>
    <col min="5121" max="5121" width="15.7265625" style="2" customWidth="1"/>
    <col min="5122" max="5122" width="17.1796875" style="2" customWidth="1"/>
    <col min="5123" max="5123" width="11.81640625" style="2" customWidth="1"/>
    <col min="5124" max="5124" width="11" style="2" customWidth="1"/>
    <col min="5125" max="5125" width="24.7265625" style="2" customWidth="1"/>
    <col min="5126" max="5126" width="10.7265625" style="2" customWidth="1"/>
    <col min="5127" max="5127" width="27.1796875" style="2" customWidth="1"/>
    <col min="5128" max="5128" width="23.7265625" style="2" customWidth="1"/>
    <col min="5129" max="5376" width="9.1796875" style="2"/>
    <col min="5377" max="5377" width="15.7265625" style="2" customWidth="1"/>
    <col min="5378" max="5378" width="17.1796875" style="2" customWidth="1"/>
    <col min="5379" max="5379" width="11.81640625" style="2" customWidth="1"/>
    <col min="5380" max="5380" width="11" style="2" customWidth="1"/>
    <col min="5381" max="5381" width="24.7265625" style="2" customWidth="1"/>
    <col min="5382" max="5382" width="10.7265625" style="2" customWidth="1"/>
    <col min="5383" max="5383" width="27.1796875" style="2" customWidth="1"/>
    <col min="5384" max="5384" width="23.7265625" style="2" customWidth="1"/>
    <col min="5385" max="5632" width="9.1796875" style="2"/>
    <col min="5633" max="5633" width="15.7265625" style="2" customWidth="1"/>
    <col min="5634" max="5634" width="17.1796875" style="2" customWidth="1"/>
    <col min="5635" max="5635" width="11.81640625" style="2" customWidth="1"/>
    <col min="5636" max="5636" width="11" style="2" customWidth="1"/>
    <col min="5637" max="5637" width="24.7265625" style="2" customWidth="1"/>
    <col min="5638" max="5638" width="10.7265625" style="2" customWidth="1"/>
    <col min="5639" max="5639" width="27.1796875" style="2" customWidth="1"/>
    <col min="5640" max="5640" width="23.7265625" style="2" customWidth="1"/>
    <col min="5641" max="5888" width="9.1796875" style="2"/>
    <col min="5889" max="5889" width="15.7265625" style="2" customWidth="1"/>
    <col min="5890" max="5890" width="17.1796875" style="2" customWidth="1"/>
    <col min="5891" max="5891" width="11.81640625" style="2" customWidth="1"/>
    <col min="5892" max="5892" width="11" style="2" customWidth="1"/>
    <col min="5893" max="5893" width="24.7265625" style="2" customWidth="1"/>
    <col min="5894" max="5894" width="10.7265625" style="2" customWidth="1"/>
    <col min="5895" max="5895" width="27.1796875" style="2" customWidth="1"/>
    <col min="5896" max="5896" width="23.7265625" style="2" customWidth="1"/>
    <col min="5897" max="6144" width="9.1796875" style="2"/>
    <col min="6145" max="6145" width="15.7265625" style="2" customWidth="1"/>
    <col min="6146" max="6146" width="17.1796875" style="2" customWidth="1"/>
    <col min="6147" max="6147" width="11.81640625" style="2" customWidth="1"/>
    <col min="6148" max="6148" width="11" style="2" customWidth="1"/>
    <col min="6149" max="6149" width="24.7265625" style="2" customWidth="1"/>
    <col min="6150" max="6150" width="10.7265625" style="2" customWidth="1"/>
    <col min="6151" max="6151" width="27.1796875" style="2" customWidth="1"/>
    <col min="6152" max="6152" width="23.7265625" style="2" customWidth="1"/>
    <col min="6153" max="6400" width="9.1796875" style="2"/>
    <col min="6401" max="6401" width="15.7265625" style="2" customWidth="1"/>
    <col min="6402" max="6402" width="17.1796875" style="2" customWidth="1"/>
    <col min="6403" max="6403" width="11.81640625" style="2" customWidth="1"/>
    <col min="6404" max="6404" width="11" style="2" customWidth="1"/>
    <col min="6405" max="6405" width="24.7265625" style="2" customWidth="1"/>
    <col min="6406" max="6406" width="10.7265625" style="2" customWidth="1"/>
    <col min="6407" max="6407" width="27.1796875" style="2" customWidth="1"/>
    <col min="6408" max="6408" width="23.7265625" style="2" customWidth="1"/>
    <col min="6409" max="6656" width="9.1796875" style="2"/>
    <col min="6657" max="6657" width="15.7265625" style="2" customWidth="1"/>
    <col min="6658" max="6658" width="17.1796875" style="2" customWidth="1"/>
    <col min="6659" max="6659" width="11.81640625" style="2" customWidth="1"/>
    <col min="6660" max="6660" width="11" style="2" customWidth="1"/>
    <col min="6661" max="6661" width="24.7265625" style="2" customWidth="1"/>
    <col min="6662" max="6662" width="10.7265625" style="2" customWidth="1"/>
    <col min="6663" max="6663" width="27.1796875" style="2" customWidth="1"/>
    <col min="6664" max="6664" width="23.7265625" style="2" customWidth="1"/>
    <col min="6665" max="6912" width="9.1796875" style="2"/>
    <col min="6913" max="6913" width="15.7265625" style="2" customWidth="1"/>
    <col min="6914" max="6914" width="17.1796875" style="2" customWidth="1"/>
    <col min="6915" max="6915" width="11.81640625" style="2" customWidth="1"/>
    <col min="6916" max="6916" width="11" style="2" customWidth="1"/>
    <col min="6917" max="6917" width="24.7265625" style="2" customWidth="1"/>
    <col min="6918" max="6918" width="10.7265625" style="2" customWidth="1"/>
    <col min="6919" max="6919" width="27.1796875" style="2" customWidth="1"/>
    <col min="6920" max="6920" width="23.7265625" style="2" customWidth="1"/>
    <col min="6921" max="7168" width="9.1796875" style="2"/>
    <col min="7169" max="7169" width="15.7265625" style="2" customWidth="1"/>
    <col min="7170" max="7170" width="17.1796875" style="2" customWidth="1"/>
    <col min="7171" max="7171" width="11.81640625" style="2" customWidth="1"/>
    <col min="7172" max="7172" width="11" style="2" customWidth="1"/>
    <col min="7173" max="7173" width="24.7265625" style="2" customWidth="1"/>
    <col min="7174" max="7174" width="10.7265625" style="2" customWidth="1"/>
    <col min="7175" max="7175" width="27.1796875" style="2" customWidth="1"/>
    <col min="7176" max="7176" width="23.7265625" style="2" customWidth="1"/>
    <col min="7177" max="7424" width="9.1796875" style="2"/>
    <col min="7425" max="7425" width="15.7265625" style="2" customWidth="1"/>
    <col min="7426" max="7426" width="17.1796875" style="2" customWidth="1"/>
    <col min="7427" max="7427" width="11.81640625" style="2" customWidth="1"/>
    <col min="7428" max="7428" width="11" style="2" customWidth="1"/>
    <col min="7429" max="7429" width="24.7265625" style="2" customWidth="1"/>
    <col min="7430" max="7430" width="10.7265625" style="2" customWidth="1"/>
    <col min="7431" max="7431" width="27.1796875" style="2" customWidth="1"/>
    <col min="7432" max="7432" width="23.7265625" style="2" customWidth="1"/>
    <col min="7433" max="7680" width="9.1796875" style="2"/>
    <col min="7681" max="7681" width="15.7265625" style="2" customWidth="1"/>
    <col min="7682" max="7682" width="17.1796875" style="2" customWidth="1"/>
    <col min="7683" max="7683" width="11.81640625" style="2" customWidth="1"/>
    <col min="7684" max="7684" width="11" style="2" customWidth="1"/>
    <col min="7685" max="7685" width="24.7265625" style="2" customWidth="1"/>
    <col min="7686" max="7686" width="10.7265625" style="2" customWidth="1"/>
    <col min="7687" max="7687" width="27.1796875" style="2" customWidth="1"/>
    <col min="7688" max="7688" width="23.7265625" style="2" customWidth="1"/>
    <col min="7689" max="7936" width="9.1796875" style="2"/>
    <col min="7937" max="7937" width="15.7265625" style="2" customWidth="1"/>
    <col min="7938" max="7938" width="17.1796875" style="2" customWidth="1"/>
    <col min="7939" max="7939" width="11.81640625" style="2" customWidth="1"/>
    <col min="7940" max="7940" width="11" style="2" customWidth="1"/>
    <col min="7941" max="7941" width="24.7265625" style="2" customWidth="1"/>
    <col min="7942" max="7942" width="10.7265625" style="2" customWidth="1"/>
    <col min="7943" max="7943" width="27.1796875" style="2" customWidth="1"/>
    <col min="7944" max="7944" width="23.7265625" style="2" customWidth="1"/>
    <col min="7945" max="8192" width="9.1796875" style="2"/>
    <col min="8193" max="8193" width="15.7265625" style="2" customWidth="1"/>
    <col min="8194" max="8194" width="17.1796875" style="2" customWidth="1"/>
    <col min="8195" max="8195" width="11.81640625" style="2" customWidth="1"/>
    <col min="8196" max="8196" width="11" style="2" customWidth="1"/>
    <col min="8197" max="8197" width="24.7265625" style="2" customWidth="1"/>
    <col min="8198" max="8198" width="10.7265625" style="2" customWidth="1"/>
    <col min="8199" max="8199" width="27.1796875" style="2" customWidth="1"/>
    <col min="8200" max="8200" width="23.7265625" style="2" customWidth="1"/>
    <col min="8201" max="8448" width="9.1796875" style="2"/>
    <col min="8449" max="8449" width="15.7265625" style="2" customWidth="1"/>
    <col min="8450" max="8450" width="17.1796875" style="2" customWidth="1"/>
    <col min="8451" max="8451" width="11.81640625" style="2" customWidth="1"/>
    <col min="8452" max="8452" width="11" style="2" customWidth="1"/>
    <col min="8453" max="8453" width="24.7265625" style="2" customWidth="1"/>
    <col min="8454" max="8454" width="10.7265625" style="2" customWidth="1"/>
    <col min="8455" max="8455" width="27.1796875" style="2" customWidth="1"/>
    <col min="8456" max="8456" width="23.7265625" style="2" customWidth="1"/>
    <col min="8457" max="8704" width="9.1796875" style="2"/>
    <col min="8705" max="8705" width="15.7265625" style="2" customWidth="1"/>
    <col min="8706" max="8706" width="17.1796875" style="2" customWidth="1"/>
    <col min="8707" max="8707" width="11.81640625" style="2" customWidth="1"/>
    <col min="8708" max="8708" width="11" style="2" customWidth="1"/>
    <col min="8709" max="8709" width="24.7265625" style="2" customWidth="1"/>
    <col min="8710" max="8710" width="10.7265625" style="2" customWidth="1"/>
    <col min="8711" max="8711" width="27.1796875" style="2" customWidth="1"/>
    <col min="8712" max="8712" width="23.7265625" style="2" customWidth="1"/>
    <col min="8713" max="8960" width="9.1796875" style="2"/>
    <col min="8961" max="8961" width="15.7265625" style="2" customWidth="1"/>
    <col min="8962" max="8962" width="17.1796875" style="2" customWidth="1"/>
    <col min="8963" max="8963" width="11.81640625" style="2" customWidth="1"/>
    <col min="8964" max="8964" width="11" style="2" customWidth="1"/>
    <col min="8965" max="8965" width="24.7265625" style="2" customWidth="1"/>
    <col min="8966" max="8966" width="10.7265625" style="2" customWidth="1"/>
    <col min="8967" max="8967" width="27.1796875" style="2" customWidth="1"/>
    <col min="8968" max="8968" width="23.7265625" style="2" customWidth="1"/>
    <col min="8969" max="9216" width="9.1796875" style="2"/>
    <col min="9217" max="9217" width="15.7265625" style="2" customWidth="1"/>
    <col min="9218" max="9218" width="17.1796875" style="2" customWidth="1"/>
    <col min="9219" max="9219" width="11.81640625" style="2" customWidth="1"/>
    <col min="9220" max="9220" width="11" style="2" customWidth="1"/>
    <col min="9221" max="9221" width="24.7265625" style="2" customWidth="1"/>
    <col min="9222" max="9222" width="10.7265625" style="2" customWidth="1"/>
    <col min="9223" max="9223" width="27.1796875" style="2" customWidth="1"/>
    <col min="9224" max="9224" width="23.7265625" style="2" customWidth="1"/>
    <col min="9225" max="9472" width="9.1796875" style="2"/>
    <col min="9473" max="9473" width="15.7265625" style="2" customWidth="1"/>
    <col min="9474" max="9474" width="17.1796875" style="2" customWidth="1"/>
    <col min="9475" max="9475" width="11.81640625" style="2" customWidth="1"/>
    <col min="9476" max="9476" width="11" style="2" customWidth="1"/>
    <col min="9477" max="9477" width="24.7265625" style="2" customWidth="1"/>
    <col min="9478" max="9478" width="10.7265625" style="2" customWidth="1"/>
    <col min="9479" max="9479" width="27.1796875" style="2" customWidth="1"/>
    <col min="9480" max="9480" width="23.7265625" style="2" customWidth="1"/>
    <col min="9481" max="9728" width="9.1796875" style="2"/>
    <col min="9729" max="9729" width="15.7265625" style="2" customWidth="1"/>
    <col min="9730" max="9730" width="17.1796875" style="2" customWidth="1"/>
    <col min="9731" max="9731" width="11.81640625" style="2" customWidth="1"/>
    <col min="9732" max="9732" width="11" style="2" customWidth="1"/>
    <col min="9733" max="9733" width="24.7265625" style="2" customWidth="1"/>
    <col min="9734" max="9734" width="10.7265625" style="2" customWidth="1"/>
    <col min="9735" max="9735" width="27.1796875" style="2" customWidth="1"/>
    <col min="9736" max="9736" width="23.7265625" style="2" customWidth="1"/>
    <col min="9737" max="9984" width="9.1796875" style="2"/>
    <col min="9985" max="9985" width="15.7265625" style="2" customWidth="1"/>
    <col min="9986" max="9986" width="17.1796875" style="2" customWidth="1"/>
    <col min="9987" max="9987" width="11.81640625" style="2" customWidth="1"/>
    <col min="9988" max="9988" width="11" style="2" customWidth="1"/>
    <col min="9989" max="9989" width="24.7265625" style="2" customWidth="1"/>
    <col min="9990" max="9990" width="10.7265625" style="2" customWidth="1"/>
    <col min="9991" max="9991" width="27.1796875" style="2" customWidth="1"/>
    <col min="9992" max="9992" width="23.7265625" style="2" customWidth="1"/>
    <col min="9993" max="10240" width="9.1796875" style="2"/>
    <col min="10241" max="10241" width="15.7265625" style="2" customWidth="1"/>
    <col min="10242" max="10242" width="17.1796875" style="2" customWidth="1"/>
    <col min="10243" max="10243" width="11.81640625" style="2" customWidth="1"/>
    <col min="10244" max="10244" width="11" style="2" customWidth="1"/>
    <col min="10245" max="10245" width="24.7265625" style="2" customWidth="1"/>
    <col min="10246" max="10246" width="10.7265625" style="2" customWidth="1"/>
    <col min="10247" max="10247" width="27.1796875" style="2" customWidth="1"/>
    <col min="10248" max="10248" width="23.7265625" style="2" customWidth="1"/>
    <col min="10249" max="10496" width="9.1796875" style="2"/>
    <col min="10497" max="10497" width="15.7265625" style="2" customWidth="1"/>
    <col min="10498" max="10498" width="17.1796875" style="2" customWidth="1"/>
    <col min="10499" max="10499" width="11.81640625" style="2" customWidth="1"/>
    <col min="10500" max="10500" width="11" style="2" customWidth="1"/>
    <col min="10501" max="10501" width="24.7265625" style="2" customWidth="1"/>
    <col min="10502" max="10502" width="10.7265625" style="2" customWidth="1"/>
    <col min="10503" max="10503" width="27.1796875" style="2" customWidth="1"/>
    <col min="10504" max="10504" width="23.7265625" style="2" customWidth="1"/>
    <col min="10505" max="10752" width="9.1796875" style="2"/>
    <col min="10753" max="10753" width="15.7265625" style="2" customWidth="1"/>
    <col min="10754" max="10754" width="17.1796875" style="2" customWidth="1"/>
    <col min="10755" max="10755" width="11.81640625" style="2" customWidth="1"/>
    <col min="10756" max="10756" width="11" style="2" customWidth="1"/>
    <col min="10757" max="10757" width="24.7265625" style="2" customWidth="1"/>
    <col min="10758" max="10758" width="10.7265625" style="2" customWidth="1"/>
    <col min="10759" max="10759" width="27.1796875" style="2" customWidth="1"/>
    <col min="10760" max="10760" width="23.7265625" style="2" customWidth="1"/>
    <col min="10761" max="11008" width="9.1796875" style="2"/>
    <col min="11009" max="11009" width="15.7265625" style="2" customWidth="1"/>
    <col min="11010" max="11010" width="17.1796875" style="2" customWidth="1"/>
    <col min="11011" max="11011" width="11.81640625" style="2" customWidth="1"/>
    <col min="11012" max="11012" width="11" style="2" customWidth="1"/>
    <col min="11013" max="11013" width="24.7265625" style="2" customWidth="1"/>
    <col min="11014" max="11014" width="10.7265625" style="2" customWidth="1"/>
    <col min="11015" max="11015" width="27.1796875" style="2" customWidth="1"/>
    <col min="11016" max="11016" width="23.7265625" style="2" customWidth="1"/>
    <col min="11017" max="11264" width="9.1796875" style="2"/>
    <col min="11265" max="11265" width="15.7265625" style="2" customWidth="1"/>
    <col min="11266" max="11266" width="17.1796875" style="2" customWidth="1"/>
    <col min="11267" max="11267" width="11.81640625" style="2" customWidth="1"/>
    <col min="11268" max="11268" width="11" style="2" customWidth="1"/>
    <col min="11269" max="11269" width="24.7265625" style="2" customWidth="1"/>
    <col min="11270" max="11270" width="10.7265625" style="2" customWidth="1"/>
    <col min="11271" max="11271" width="27.1796875" style="2" customWidth="1"/>
    <col min="11272" max="11272" width="23.7265625" style="2" customWidth="1"/>
    <col min="11273" max="11520" width="9.1796875" style="2"/>
    <col min="11521" max="11521" width="15.7265625" style="2" customWidth="1"/>
    <col min="11522" max="11522" width="17.1796875" style="2" customWidth="1"/>
    <col min="11523" max="11523" width="11.81640625" style="2" customWidth="1"/>
    <col min="11524" max="11524" width="11" style="2" customWidth="1"/>
    <col min="11525" max="11525" width="24.7265625" style="2" customWidth="1"/>
    <col min="11526" max="11526" width="10.7265625" style="2" customWidth="1"/>
    <col min="11527" max="11527" width="27.1796875" style="2" customWidth="1"/>
    <col min="11528" max="11528" width="23.7265625" style="2" customWidth="1"/>
    <col min="11529" max="11776" width="9.1796875" style="2"/>
    <col min="11777" max="11777" width="15.7265625" style="2" customWidth="1"/>
    <col min="11778" max="11778" width="17.1796875" style="2" customWidth="1"/>
    <col min="11779" max="11779" width="11.81640625" style="2" customWidth="1"/>
    <col min="11780" max="11780" width="11" style="2" customWidth="1"/>
    <col min="11781" max="11781" width="24.7265625" style="2" customWidth="1"/>
    <col min="11782" max="11782" width="10.7265625" style="2" customWidth="1"/>
    <col min="11783" max="11783" width="27.1796875" style="2" customWidth="1"/>
    <col min="11784" max="11784" width="23.7265625" style="2" customWidth="1"/>
    <col min="11785" max="12032" width="9.1796875" style="2"/>
    <col min="12033" max="12033" width="15.7265625" style="2" customWidth="1"/>
    <col min="12034" max="12034" width="17.1796875" style="2" customWidth="1"/>
    <col min="12035" max="12035" width="11.81640625" style="2" customWidth="1"/>
    <col min="12036" max="12036" width="11" style="2" customWidth="1"/>
    <col min="12037" max="12037" width="24.7265625" style="2" customWidth="1"/>
    <col min="12038" max="12038" width="10.7265625" style="2" customWidth="1"/>
    <col min="12039" max="12039" width="27.1796875" style="2" customWidth="1"/>
    <col min="12040" max="12040" width="23.7265625" style="2" customWidth="1"/>
    <col min="12041" max="12288" width="9.1796875" style="2"/>
    <col min="12289" max="12289" width="15.7265625" style="2" customWidth="1"/>
    <col min="12290" max="12290" width="17.1796875" style="2" customWidth="1"/>
    <col min="12291" max="12291" width="11.81640625" style="2" customWidth="1"/>
    <col min="12292" max="12292" width="11" style="2" customWidth="1"/>
    <col min="12293" max="12293" width="24.7265625" style="2" customWidth="1"/>
    <col min="12294" max="12294" width="10.7265625" style="2" customWidth="1"/>
    <col min="12295" max="12295" width="27.1796875" style="2" customWidth="1"/>
    <col min="12296" max="12296" width="23.7265625" style="2" customWidth="1"/>
    <col min="12297" max="12544" width="9.1796875" style="2"/>
    <col min="12545" max="12545" width="15.7265625" style="2" customWidth="1"/>
    <col min="12546" max="12546" width="17.1796875" style="2" customWidth="1"/>
    <col min="12547" max="12547" width="11.81640625" style="2" customWidth="1"/>
    <col min="12548" max="12548" width="11" style="2" customWidth="1"/>
    <col min="12549" max="12549" width="24.7265625" style="2" customWidth="1"/>
    <col min="12550" max="12550" width="10.7265625" style="2" customWidth="1"/>
    <col min="12551" max="12551" width="27.1796875" style="2" customWidth="1"/>
    <col min="12552" max="12552" width="23.7265625" style="2" customWidth="1"/>
    <col min="12553" max="12800" width="9.1796875" style="2"/>
    <col min="12801" max="12801" width="15.7265625" style="2" customWidth="1"/>
    <col min="12802" max="12802" width="17.1796875" style="2" customWidth="1"/>
    <col min="12803" max="12803" width="11.81640625" style="2" customWidth="1"/>
    <col min="12804" max="12804" width="11" style="2" customWidth="1"/>
    <col min="12805" max="12805" width="24.7265625" style="2" customWidth="1"/>
    <col min="12806" max="12806" width="10.7265625" style="2" customWidth="1"/>
    <col min="12807" max="12807" width="27.1796875" style="2" customWidth="1"/>
    <col min="12808" max="12808" width="23.7265625" style="2" customWidth="1"/>
    <col min="12809" max="13056" width="9.1796875" style="2"/>
    <col min="13057" max="13057" width="15.7265625" style="2" customWidth="1"/>
    <col min="13058" max="13058" width="17.1796875" style="2" customWidth="1"/>
    <col min="13059" max="13059" width="11.81640625" style="2" customWidth="1"/>
    <col min="13060" max="13060" width="11" style="2" customWidth="1"/>
    <col min="13061" max="13061" width="24.7265625" style="2" customWidth="1"/>
    <col min="13062" max="13062" width="10.7265625" style="2" customWidth="1"/>
    <col min="13063" max="13063" width="27.1796875" style="2" customWidth="1"/>
    <col min="13064" max="13064" width="23.7265625" style="2" customWidth="1"/>
    <col min="13065" max="13312" width="9.1796875" style="2"/>
    <col min="13313" max="13313" width="15.7265625" style="2" customWidth="1"/>
    <col min="13314" max="13314" width="17.1796875" style="2" customWidth="1"/>
    <col min="13315" max="13315" width="11.81640625" style="2" customWidth="1"/>
    <col min="13316" max="13316" width="11" style="2" customWidth="1"/>
    <col min="13317" max="13317" width="24.7265625" style="2" customWidth="1"/>
    <col min="13318" max="13318" width="10.7265625" style="2" customWidth="1"/>
    <col min="13319" max="13319" width="27.1796875" style="2" customWidth="1"/>
    <col min="13320" max="13320" width="23.7265625" style="2" customWidth="1"/>
    <col min="13321" max="13568" width="9.1796875" style="2"/>
    <col min="13569" max="13569" width="15.7265625" style="2" customWidth="1"/>
    <col min="13570" max="13570" width="17.1796875" style="2" customWidth="1"/>
    <col min="13571" max="13571" width="11.81640625" style="2" customWidth="1"/>
    <col min="13572" max="13572" width="11" style="2" customWidth="1"/>
    <col min="13573" max="13573" width="24.7265625" style="2" customWidth="1"/>
    <col min="13574" max="13574" width="10.7265625" style="2" customWidth="1"/>
    <col min="13575" max="13575" width="27.1796875" style="2" customWidth="1"/>
    <col min="13576" max="13576" width="23.7265625" style="2" customWidth="1"/>
    <col min="13577" max="13824" width="9.1796875" style="2"/>
    <col min="13825" max="13825" width="15.7265625" style="2" customWidth="1"/>
    <col min="13826" max="13826" width="17.1796875" style="2" customWidth="1"/>
    <col min="13827" max="13827" width="11.81640625" style="2" customWidth="1"/>
    <col min="13828" max="13828" width="11" style="2" customWidth="1"/>
    <col min="13829" max="13829" width="24.7265625" style="2" customWidth="1"/>
    <col min="13830" max="13830" width="10.7265625" style="2" customWidth="1"/>
    <col min="13831" max="13831" width="27.1796875" style="2" customWidth="1"/>
    <col min="13832" max="13832" width="23.7265625" style="2" customWidth="1"/>
    <col min="13833" max="14080" width="9.1796875" style="2"/>
    <col min="14081" max="14081" width="15.7265625" style="2" customWidth="1"/>
    <col min="14082" max="14082" width="17.1796875" style="2" customWidth="1"/>
    <col min="14083" max="14083" width="11.81640625" style="2" customWidth="1"/>
    <col min="14084" max="14084" width="11" style="2" customWidth="1"/>
    <col min="14085" max="14085" width="24.7265625" style="2" customWidth="1"/>
    <col min="14086" max="14086" width="10.7265625" style="2" customWidth="1"/>
    <col min="14087" max="14087" width="27.1796875" style="2" customWidth="1"/>
    <col min="14088" max="14088" width="23.7265625" style="2" customWidth="1"/>
    <col min="14089" max="14336" width="9.1796875" style="2"/>
    <col min="14337" max="14337" width="15.7265625" style="2" customWidth="1"/>
    <col min="14338" max="14338" width="17.1796875" style="2" customWidth="1"/>
    <col min="14339" max="14339" width="11.81640625" style="2" customWidth="1"/>
    <col min="14340" max="14340" width="11" style="2" customWidth="1"/>
    <col min="14341" max="14341" width="24.7265625" style="2" customWidth="1"/>
    <col min="14342" max="14342" width="10.7265625" style="2" customWidth="1"/>
    <col min="14343" max="14343" width="27.1796875" style="2" customWidth="1"/>
    <col min="14344" max="14344" width="23.7265625" style="2" customWidth="1"/>
    <col min="14345" max="14592" width="9.1796875" style="2"/>
    <col min="14593" max="14593" width="15.7265625" style="2" customWidth="1"/>
    <col min="14594" max="14594" width="17.1796875" style="2" customWidth="1"/>
    <col min="14595" max="14595" width="11.81640625" style="2" customWidth="1"/>
    <col min="14596" max="14596" width="11" style="2" customWidth="1"/>
    <col min="14597" max="14597" width="24.7265625" style="2" customWidth="1"/>
    <col min="14598" max="14598" width="10.7265625" style="2" customWidth="1"/>
    <col min="14599" max="14599" width="27.1796875" style="2" customWidth="1"/>
    <col min="14600" max="14600" width="23.7265625" style="2" customWidth="1"/>
    <col min="14601" max="14848" width="9.1796875" style="2"/>
    <col min="14849" max="14849" width="15.7265625" style="2" customWidth="1"/>
    <col min="14850" max="14850" width="17.1796875" style="2" customWidth="1"/>
    <col min="14851" max="14851" width="11.81640625" style="2" customWidth="1"/>
    <col min="14852" max="14852" width="11" style="2" customWidth="1"/>
    <col min="14853" max="14853" width="24.7265625" style="2" customWidth="1"/>
    <col min="14854" max="14854" width="10.7265625" style="2" customWidth="1"/>
    <col min="14855" max="14855" width="27.1796875" style="2" customWidth="1"/>
    <col min="14856" max="14856" width="23.7265625" style="2" customWidth="1"/>
    <col min="14857" max="15104" width="9.1796875" style="2"/>
    <col min="15105" max="15105" width="15.7265625" style="2" customWidth="1"/>
    <col min="15106" max="15106" width="17.1796875" style="2" customWidth="1"/>
    <col min="15107" max="15107" width="11.81640625" style="2" customWidth="1"/>
    <col min="15108" max="15108" width="11" style="2" customWidth="1"/>
    <col min="15109" max="15109" width="24.7265625" style="2" customWidth="1"/>
    <col min="15110" max="15110" width="10.7265625" style="2" customWidth="1"/>
    <col min="15111" max="15111" width="27.1796875" style="2" customWidth="1"/>
    <col min="15112" max="15112" width="23.7265625" style="2" customWidth="1"/>
    <col min="15113" max="15360" width="9.1796875" style="2"/>
    <col min="15361" max="15361" width="15.7265625" style="2" customWidth="1"/>
    <col min="15362" max="15362" width="17.1796875" style="2" customWidth="1"/>
    <col min="15363" max="15363" width="11.81640625" style="2" customWidth="1"/>
    <col min="15364" max="15364" width="11" style="2" customWidth="1"/>
    <col min="15365" max="15365" width="24.7265625" style="2" customWidth="1"/>
    <col min="15366" max="15366" width="10.7265625" style="2" customWidth="1"/>
    <col min="15367" max="15367" width="27.1796875" style="2" customWidth="1"/>
    <col min="15368" max="15368" width="23.7265625" style="2" customWidth="1"/>
    <col min="15369" max="15616" width="9.1796875" style="2"/>
    <col min="15617" max="15617" width="15.7265625" style="2" customWidth="1"/>
    <col min="15618" max="15618" width="17.1796875" style="2" customWidth="1"/>
    <col min="15619" max="15619" width="11.81640625" style="2" customWidth="1"/>
    <col min="15620" max="15620" width="11" style="2" customWidth="1"/>
    <col min="15621" max="15621" width="24.7265625" style="2" customWidth="1"/>
    <col min="15622" max="15622" width="10.7265625" style="2" customWidth="1"/>
    <col min="15623" max="15623" width="27.1796875" style="2" customWidth="1"/>
    <col min="15624" max="15624" width="23.7265625" style="2" customWidth="1"/>
    <col min="15625" max="15872" width="9.1796875" style="2"/>
    <col min="15873" max="15873" width="15.7265625" style="2" customWidth="1"/>
    <col min="15874" max="15874" width="17.1796875" style="2" customWidth="1"/>
    <col min="15875" max="15875" width="11.81640625" style="2" customWidth="1"/>
    <col min="15876" max="15876" width="11" style="2" customWidth="1"/>
    <col min="15877" max="15877" width="24.7265625" style="2" customWidth="1"/>
    <col min="15878" max="15878" width="10.7265625" style="2" customWidth="1"/>
    <col min="15879" max="15879" width="27.1796875" style="2" customWidth="1"/>
    <col min="15880" max="15880" width="23.7265625" style="2" customWidth="1"/>
    <col min="15881" max="16128" width="9.1796875" style="2"/>
    <col min="16129" max="16129" width="15.7265625" style="2" customWidth="1"/>
    <col min="16130" max="16130" width="17.1796875" style="2" customWidth="1"/>
    <col min="16131" max="16131" width="11.81640625" style="2" customWidth="1"/>
    <col min="16132" max="16132" width="11" style="2" customWidth="1"/>
    <col min="16133" max="16133" width="24.7265625" style="2" customWidth="1"/>
    <col min="16134" max="16134" width="10.7265625" style="2" customWidth="1"/>
    <col min="16135" max="16135" width="27.1796875" style="2" customWidth="1"/>
    <col min="16136" max="16136" width="23.7265625" style="2" customWidth="1"/>
    <col min="16137" max="16384" width="9.1796875" style="2"/>
  </cols>
  <sheetData>
    <row r="1" spans="1:16" ht="164.2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3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7" spans="1:16" ht="13" customHeight="1">
      <c r="A7" s="39" t="s">
        <v>107</v>
      </c>
      <c r="B7" s="40"/>
      <c r="C7" s="40"/>
      <c r="D7" s="40"/>
      <c r="E7" s="40"/>
      <c r="F7" s="40"/>
    </row>
    <row r="9" spans="1:16" ht="13" customHeight="1">
      <c r="A9" s="2" t="s">
        <v>108</v>
      </c>
      <c r="B9" s="5">
        <v>1E-3</v>
      </c>
      <c r="C9" s="6" t="s">
        <v>10</v>
      </c>
      <c r="D9" s="2" t="s">
        <v>264</v>
      </c>
      <c r="E9" s="9">
        <f>Irip/2</f>
        <v>0.15992647058823528</v>
      </c>
      <c r="F9" s="6" t="s">
        <v>10</v>
      </c>
      <c r="G9" s="33"/>
      <c r="H9" s="33"/>
      <c r="I9" s="33"/>
    </row>
    <row r="10" spans="1:16" ht="13" customHeight="1">
      <c r="A10" s="2" t="s">
        <v>109</v>
      </c>
      <c r="B10" s="5">
        <f>+Iout</f>
        <v>2</v>
      </c>
      <c r="C10" s="6" t="s">
        <v>10</v>
      </c>
      <c r="D10" s="33"/>
      <c r="E10" s="33"/>
      <c r="F10" s="33"/>
      <c r="G10" s="33"/>
      <c r="H10" s="33"/>
      <c r="I10" s="10" t="str">
        <f>IF(B10&gt;6,"Over Limit of IC!"," ")</f>
        <v xml:space="preserve"> </v>
      </c>
    </row>
    <row r="11" spans="1:16" s="41" customFormat="1" ht="16.5" customHeight="1">
      <c r="A11" s="38"/>
      <c r="B11" s="38"/>
      <c r="C11" s="38"/>
      <c r="D11" s="38"/>
      <c r="E11" s="38"/>
      <c r="F11" s="38"/>
      <c r="G11" s="38"/>
    </row>
    <row r="12" spans="1:16" s="41" customFormat="1" ht="13" customHeight="1">
      <c r="A12" s="152" t="s">
        <v>9</v>
      </c>
      <c r="B12" s="152" t="s">
        <v>110</v>
      </c>
      <c r="C12" s="152" t="s">
        <v>41</v>
      </c>
      <c r="D12" s="152" t="s">
        <v>111</v>
      </c>
      <c r="E12" s="152" t="s">
        <v>112</v>
      </c>
      <c r="F12" s="152" t="s">
        <v>113</v>
      </c>
      <c r="G12" s="152" t="s">
        <v>114</v>
      </c>
      <c r="H12" s="104" t="s">
        <v>115</v>
      </c>
      <c r="I12" s="104"/>
      <c r="J12" s="42"/>
      <c r="K12" s="42"/>
    </row>
    <row r="13" spans="1:16" s="41" customFormat="1" ht="13" customHeight="1">
      <c r="A13" s="145">
        <f>Imin</f>
        <v>1E-3</v>
      </c>
      <c r="B13" s="147">
        <f t="shared" ref="B13:B24" si="0">SUM(D13:H13)</f>
        <v>5.1946343882816798E-2</v>
      </c>
      <c r="C13" s="148">
        <f>(Vout*A13)/((Vout*A13)+B13)*100</f>
        <v>5.9732459527089086</v>
      </c>
      <c r="D13" s="105">
        <f>F44^2*Ron_u/'Power Loss'!$B$54/1000+Vin*(A13-0.5*E44)*'Power Loss'!$B$52*10^(-9)*B44*10^(3)/2+Vin*(A13+0.5*E44)*'Power Loss'!$B$53*10^(-9)*Fs*10^(3)/2+Vin*B44*10^3*'Power Loss'!$B$48*10^(-9)*'Power Loss'!$B$54+0.5*'Power Loss'!$B$51*10^(-9)*Vin^2*B44*10^3*'Power Loss'!$B$54</f>
        <v>1.2867036906034322E-2</v>
      </c>
      <c r="E13" s="105">
        <f>G44^2*'Power Loss'!$B$63/1000/'Power Loss'!$B$71+'Power Loss'!$B$64*B44*10^(-6)*((A13+0.5*E44)*'Power Loss'!$B$69+(A13-0.5*E44)*'Power Loss'!$B$70)+0.5*'Power Loss'!$B$65*Vin* B44*10^(-6)*'Power Loss'!$B$71+'Power Loss'!$B$68*10^(-9)*'Power Loss'!$B$71*Vin^2*B44*1000/2</f>
        <v>7.1349808904211829E-3</v>
      </c>
      <c r="F13" s="105">
        <f>B44*'Power Loss'!$B$79*'Power Loss'!$B$49*10^(-6)*'Power Loss'!$B$54+B44*'Power Loss'!$B$80*'Power Loss'!$B$66*10^(-6)*'Power Loss'!$B$71+'Power Loss'!$B$80*'Power Loss'!$B$81*0.001</f>
        <v>3.0736403090276709E-2</v>
      </c>
      <c r="G13" s="105">
        <f t="shared" ref="G13" si="1">0.7*10^(-9)*(B44)^1.35*(57.8*0.5*E44)^2.263+DCR/1000*(A13*SQRT(1+1/3*(E44/A13)^2))^2</f>
        <v>1.1652923551432205E-3</v>
      </c>
      <c r="H13" s="105">
        <f>(0.5*E44/SQRT(3))^2*'Power Loss'!$B$33/'Power Loss'!$B$31/1000</f>
        <v>4.2630640941363423E-5</v>
      </c>
      <c r="I13" s="104"/>
      <c r="J13" s="42"/>
      <c r="K13" s="42"/>
    </row>
    <row r="14" spans="1:16" s="41" customFormat="1" ht="13" customHeight="1">
      <c r="A14" s="145">
        <f>Imin+(Imax-Imin)*0.001</f>
        <v>2.9990000000000004E-3</v>
      </c>
      <c r="B14" s="147">
        <f t="shared" si="0"/>
        <v>5.2280338252933448E-2</v>
      </c>
      <c r="C14" s="148">
        <f t="shared" ref="C14:C24" si="2">Vout*A14/(Vout*A14+B14)*100</f>
        <v>15.916969154659091</v>
      </c>
      <c r="D14" s="105">
        <f>F45^2*Ron_u/'Power Loss'!$B$54/1000+Vin*(A14-0.5*E45)*'Power Loss'!$B$52*10^(-9)*B45*10^(3)/2+Vin*(A14+0.5*E45)*'Power Loss'!$B$53*10^(-9)*Fs*10^(3)/2+Vin*B45*10^3*'Power Loss'!$B$48*10^(-9)*'Power Loss'!$B$54+0.5*'Power Loss'!$B$51*10^(-9)*Vin^2*B45*10^3*'Power Loss'!$B$54</f>
        <v>1.3091302089742513E-2</v>
      </c>
      <c r="E14" s="105">
        <f>G45^2*'Power Loss'!$B$63/1000/'Power Loss'!$B$71+'Power Loss'!$B$64*B45*10^(-6)*((A14+0.5*E45)*'Power Loss'!$B$69+(A14-0.5*E45)*'Power Loss'!$B$70)+0.5*'Power Loss'!$B$65*Vin* B45*10^(-6)*'Power Loss'!$B$71+'Power Loss'!$B$68*10^(-9)*'Power Loss'!$B$71*Vin^2*B45*1000/2</f>
        <v>7.2345421808528458E-3</v>
      </c>
      <c r="F14" s="105">
        <f>B45*'Power Loss'!$B$79*'Power Loss'!$B$49*10^(-6)*'Power Loss'!$B$54+B45*'Power Loss'!$B$80*'Power Loss'!$B$66*10^(-6)*'Power Loss'!$B$71+'Power Loss'!$B$80*'Power Loss'!$B$81*0.001</f>
        <v>3.0742617220847937E-2</v>
      </c>
      <c r="G14" s="105">
        <f t="shared" ref="G14:G41" si="3">0.7*10^(-9)*(B45)^1.35*(57.8*0.5*E45)^2.263+DCR/1000*(A14*SQRT(1+1/3*(E45/A14)^2))^2</f>
        <v>1.1692397613773673E-3</v>
      </c>
      <c r="H14" s="105">
        <f>(0.5*E45/SQRT(3))^2*'Power Loss'!$B$33/'Power Loss'!$B$31/1000</f>
        <v>4.2637000112780809E-5</v>
      </c>
      <c r="I14" s="104"/>
      <c r="J14" s="42"/>
      <c r="K14" s="42"/>
    </row>
    <row r="15" spans="1:16" s="41" customFormat="1" ht="13" customHeight="1">
      <c r="A15" s="145">
        <f>Imin+(Imax-Imin)*0.002</f>
        <v>4.9980000000000007E-3</v>
      </c>
      <c r="B15" s="147">
        <f t="shared" si="0"/>
        <v>5.2618280426892504E-2</v>
      </c>
      <c r="C15" s="148">
        <f t="shared" si="2"/>
        <v>23.864851640305574</v>
      </c>
      <c r="D15" s="105">
        <f>F46^2*Ron_u/'Power Loss'!$B$54/1000+Vin*(A15-0.5*E46)*'Power Loss'!$B$52*10^(-9)*B46*10^(3)/2+Vin*(A15+0.5*E46)*'Power Loss'!$B$53*10^(-9)*Fs*10^(3)/2+Vin*B46*10^3*'Power Loss'!$B$48*10^(-9)*'Power Loss'!$B$54+0.5*'Power Loss'!$B$51*10^(-9)*Vin^2*B46*10^3*'Power Loss'!$B$54</f>
        <v>1.3316979645293627E-2</v>
      </c>
      <c r="E15" s="105">
        <f>G46^2*'Power Loss'!$B$63/1000/'Power Loss'!$B$71+'Power Loss'!$B$64*B46*10^(-6)*((A15+0.5*E46)*'Power Loss'!$B$69+(A15-0.5*E46)*'Power Loss'!$B$70)+0.5*'Power Loss'!$B$65*Vin* B46*10^(-6)*'Power Loss'!$B$71+'Power Loss'!$B$68*10^(-9)*'Power Loss'!$B$71*Vin^2*B46*1000/2</f>
        <v>7.3362606447815431E-3</v>
      </c>
      <c r="F15" s="105">
        <f>B46*'Power Loss'!$B$79*'Power Loss'!$B$49*10^(-6)*'Power Loss'!$B$54+B46*'Power Loss'!$B$80*'Power Loss'!$B$66*10^(-6)*'Power Loss'!$B$71+'Power Loss'!$B$80*'Power Loss'!$B$81*0.001</f>
        <v>3.0748937119708983E-2</v>
      </c>
      <c r="G15" s="105">
        <f t="shared" si="3"/>
        <v>1.1734596572211061E-3</v>
      </c>
      <c r="H15" s="105">
        <f>(0.5*E46/SQRT(3))^2*'Power Loss'!$B$33/'Power Loss'!$B$31/1000</f>
        <v>4.2643359887244143E-5</v>
      </c>
      <c r="I15" s="104"/>
      <c r="J15" s="42"/>
      <c r="K15" s="42"/>
    </row>
    <row r="16" spans="1:16" s="41" customFormat="1" ht="13" customHeight="1">
      <c r="A16" s="145">
        <f>Imin+(Imax-Imin)*0.004</f>
        <v>8.9960000000000005E-3</v>
      </c>
      <c r="B16" s="147">
        <f t="shared" si="0"/>
        <v>5.3306317119025087E-2</v>
      </c>
      <c r="C16" s="148">
        <f t="shared" si="2"/>
        <v>35.770195204771611</v>
      </c>
      <c r="D16" s="105">
        <f>F47^2*Ron_u/'Power Loss'!$B$54/1000+Vin*(A16-0.5*E47)*'Power Loss'!$B$52*10^(-9)*B47*10^(3)/2+Vin*(A16+0.5*E47)*'Power Loss'!$B$53*10^(-9)*Fs*10^(3)/2+Vin*B47*10^3*'Power Loss'!$B$48*10^(-9)*'Power Loss'!$B$54+0.5*'Power Loss'!$B$51*10^(-9)*Vin^2*B47*10^3*'Power Loss'!$B$54</f>
        <v>1.3772686405312071E-2</v>
      </c>
      <c r="E16" s="105">
        <f>G47^2*'Power Loss'!$B$63/1000/'Power Loss'!$B$71+'Power Loss'!$B$64*B47*10^(-6)*((A16+0.5*E47)*'Power Loss'!$B$69+(A16-0.5*E47)*'Power Loss'!$B$70)+0.5*'Power Loss'!$B$65*Vin* B47*10^(-6)*'Power Loss'!$B$71+'Power Loss'!$B$68*10^(-9)*'Power Loss'!$B$71*Vin^2*B47*1000/2</f>
        <v>7.5463440457224059E-3</v>
      </c>
      <c r="F16" s="105">
        <f>B47*'Power Loss'!$B$79*'Power Loss'!$B$49*10^(-6)*'Power Loss'!$B$54+B47*'Power Loss'!$B$80*'Power Loss'!$B$66*10^(-6)*'Power Loss'!$B$71+'Power Loss'!$B$80*'Power Loss'!$B$81*0.001</f>
        <v>3.0761905210775622E-2</v>
      </c>
      <c r="G16" s="105">
        <f t="shared" si="3"/>
        <v>1.1827253759695412E-3</v>
      </c>
      <c r="H16" s="105">
        <f>(0.5*E47/SQRT(3))^2*'Power Loss'!$B$33/'Power Loss'!$B$31/1000</f>
        <v>4.2656081245439541E-5</v>
      </c>
      <c r="I16" s="104"/>
      <c r="J16" s="42"/>
      <c r="K16" s="42"/>
    </row>
    <row r="17" spans="1:11" s="41" customFormat="1" ht="13" customHeight="1">
      <c r="A17" s="145">
        <f>Imin+(Imax-Imin)*0.006</f>
        <v>1.2994000000000002E-2</v>
      </c>
      <c r="B17" s="147">
        <f t="shared" si="0"/>
        <v>5.4011099099409481E-2</v>
      </c>
      <c r="C17" s="148">
        <f t="shared" si="2"/>
        <v>44.255986242898196</v>
      </c>
      <c r="D17" s="105">
        <f>F48^2*Ron_u/'Power Loss'!$B$54/1000+Vin*(A17-0.5*E48)*'Power Loss'!$B$52*10^(-9)*B48*10^(3)/2+Vin*(A17+0.5*E48)*'Power Loss'!$B$53*10^(-9)*Fs*10^(3)/2+Vin*B48*10^3*'Power Loss'!$B$48*10^(-9)*'Power Loss'!$B$54+0.5*'Power Loss'!$B$51*10^(-9)*Vin^2*B48*10^3*'Power Loss'!$B$54</f>
        <v>1.4234396318886889E-2</v>
      </c>
      <c r="E17" s="105">
        <f>G48^2*'Power Loss'!$B$63/1000/'Power Loss'!$B$71+'Power Loss'!$B$64*B48*10^(-6)*((A17+0.5*E48)*'Power Loss'!$B$69+(A17-0.5*E48)*'Power Loss'!$B$70)+0.5*'Power Loss'!$B$65*Vin* B48*10^(-6)*'Power Loss'!$B$71+'Power Loss'!$B$68*10^(-9)*'Power Loss'!$B$71*Vin^2*B48*1000/2</f>
        <v>7.7655964262217962E-3</v>
      </c>
      <c r="F17" s="105">
        <f>B48*'Power Loss'!$B$79*'Power Loss'!$B$49*10^(-6)*'Power Loss'!$B$54+B48*'Power Loss'!$B$80*'Power Loss'!$B$66*10^(-6)*'Power Loss'!$B$71+'Power Loss'!$B$80*'Power Loss'!$B$81*0.001</f>
        <v>3.0775330308535121E-2</v>
      </c>
      <c r="G17" s="105">
        <f t="shared" si="3"/>
        <v>1.1931072407494606E-3</v>
      </c>
      <c r="H17" s="105">
        <f>(0.5*E48/SQRT(3))^2*'Power Loss'!$B$33/'Power Loss'!$B$31/1000</f>
        <v>4.2668805016211507E-5</v>
      </c>
      <c r="I17" s="104"/>
      <c r="J17" s="42"/>
      <c r="K17" s="42"/>
    </row>
    <row r="18" spans="1:11" s="41" customFormat="1" ht="13" customHeight="1">
      <c r="A18" s="145">
        <f>Imin+(Imax-Imin)*0.008</f>
        <v>1.6992000000000004E-2</v>
      </c>
      <c r="B18" s="147">
        <f t="shared" si="0"/>
        <v>5.4733317893538379E-2</v>
      </c>
      <c r="C18" s="148">
        <f t="shared" si="2"/>
        <v>50.604782685025754</v>
      </c>
      <c r="D18" s="105">
        <f>F49^2*Ron_u/'Power Loss'!$B$54/1000+Vin*(A18-0.5*E49)*'Power Loss'!$B$52*10^(-9)*B49*10^(3)/2+Vin*(A18+0.5*E49)*'Power Loss'!$B$53*10^(-9)*Fs*10^(3)/2+Vin*B49*10^3*'Power Loss'!$B$48*10^(-9)*'Power Loss'!$B$54+0.5*'Power Loss'!$B$51*10^(-9)*Vin^2*B49*10^3*'Power Loss'!$B$54</f>
        <v>1.4702365635522536E-2</v>
      </c>
      <c r="E18" s="105">
        <f>G49^2*'Power Loss'!$B$63/1000/'Power Loss'!$B$71+'Power Loss'!$B$64*B49*10^(-6)*((A18+0.5*E49)*'Power Loss'!$B$69+(A18-0.5*E49)*'Power Loss'!$B$70)+0.5*'Power Loss'!$B$65*Vin* B49*10^(-6)*'Power Loss'!$B$71+'Power Loss'!$B$68*10^(-9)*'Power Loss'!$B$71*Vin^2*B49*1000/2</f>
        <v>7.994409353362264E-3</v>
      </c>
      <c r="F18" s="105">
        <f>B49*'Power Loss'!$B$79*'Power Loss'!$B$49*10^(-6)*'Power Loss'!$B$54+B49*'Power Loss'!$B$80*'Power Loss'!$B$66*10^(-6)*'Power Loss'!$B$71+'Power Loss'!$B$80*'Power Loss'!$B$81*0.001</f>
        <v>3.0789237004260197E-2</v>
      </c>
      <c r="G18" s="105">
        <f t="shared" si="3"/>
        <v>1.2046243691935582E-3</v>
      </c>
      <c r="H18" s="105">
        <f>(0.5*E49/SQRT(3))^2*'Power Loss'!$B$33/'Power Loss'!$B$31/1000</f>
        <v>4.2681531199821848E-5</v>
      </c>
      <c r="I18" s="104"/>
      <c r="J18" s="42"/>
      <c r="K18" s="42"/>
    </row>
    <row r="19" spans="1:11" s="41" customFormat="1" ht="13" customHeight="1">
      <c r="A19" s="145">
        <f>Imin+(Imax-Imin)*0.01</f>
        <v>2.0990000000000002E-2</v>
      </c>
      <c r="B19" s="147">
        <f t="shared" si="0"/>
        <v>5.5473715657465214E-2</v>
      </c>
      <c r="C19" s="148">
        <f t="shared" si="2"/>
        <v>55.528781949756798</v>
      </c>
      <c r="D19" s="105">
        <f>F50^2*Ron_u/'Power Loss'!$B$54/1000+Vin*(A19-0.5*E50)*'Power Loss'!$B$52*10^(-9)*B50*10^(3)/2+Vin*(A19+0.5*E50)*'Power Loss'!$B$53*10^(-9)*Fs*10^(3)/2+Vin*B50*10^3*'Power Loss'!$B$48*10^(-9)*'Power Loss'!$B$54+0.5*'Power Loss'!$B$51*10^(-9)*Vin^2*B50*10^3*'Power Loss'!$B$54</f>
        <v>1.5176869284530447E-2</v>
      </c>
      <c r="E19" s="105">
        <f>G50^2*'Power Loss'!$B$63/1000/'Power Loss'!$B$71+'Power Loss'!$B$64*B50*10^(-6)*((A19+0.5*E50)*'Power Loss'!$B$69+(A19-0.5*E50)*'Power Loss'!$B$70)+0.5*'Power Loss'!$B$65*Vin* B50*10^(-6)*'Power Loss'!$B$71+'Power Loss'!$B$68*10^(-9)*'Power Loss'!$B$71*Vin^2*B50*1000/2</f>
        <v>8.233203024041142E-3</v>
      </c>
      <c r="F19" s="105">
        <f>B50*'Power Loss'!$B$79*'Power Loss'!$B$49*10^(-6)*'Power Loss'!$B$54+B50*'Power Loss'!$B$80*'Power Loss'!$B$66*10^(-6)*'Power Loss'!$B$71+'Power Loss'!$B$80*'Power Loss'!$B$81*0.001</f>
        <v>3.0803651685770678E-2</v>
      </c>
      <c r="G19" s="105">
        <f t="shared" si="3"/>
        <v>1.2172974033264105E-3</v>
      </c>
      <c r="H19" s="105">
        <f>(0.5*E50/SQRT(3))^2*'Power Loss'!$B$33/'Power Loss'!$B$31/1000</f>
        <v>4.2694259796532467E-5</v>
      </c>
      <c r="I19" s="104"/>
      <c r="J19" s="42"/>
      <c r="K19" s="42"/>
    </row>
    <row r="20" spans="1:11" s="41" customFormat="1" ht="13" customHeight="1">
      <c r="A20" s="145">
        <f>Imin+(Imax-Imin)*0.02</f>
        <v>4.0980000000000003E-2</v>
      </c>
      <c r="B20" s="147">
        <f t="shared" si="0"/>
        <v>5.9478551270472316E-2</v>
      </c>
      <c r="C20" s="148">
        <f t="shared" si="2"/>
        <v>69.453149844535929</v>
      </c>
      <c r="D20" s="105">
        <f>F51^2*Ron_u/'Power Loss'!$B$54/1000+Vin*(A20-0.5*E51)*'Power Loss'!$B$52*10^(-9)*B51*10^(3)/2+Vin*(A20+0.5*E51)*'Power Loss'!$B$53*10^(-9)*Fs*10^(3)/2+Vin*B51*10^3*'Power Loss'!$B$48*10^(-9)*'Power Loss'!$B$54+0.5*'Power Loss'!$B$51*10^(-9)*Vin^2*B51*10^3*'Power Loss'!$B$54</f>
        <v>1.7658569164330194E-2</v>
      </c>
      <c r="E20" s="105">
        <f>G51^2*'Power Loss'!$B$63/1000/'Power Loss'!$B$71+'Power Loss'!$B$64*B51*10^(-6)*((A20+0.5*E51)*'Power Loss'!$B$69+(A20-0.5*E51)*'Power Loss'!$B$70)+0.5*'Power Loss'!$B$65*Vin* B51*10^(-6)*'Power Loss'!$B$71+'Power Loss'!$B$68*10^(-9)*'Power Loss'!$B$71*Vin^2*B51*1000/2</f>
        <v>9.5939560409094068E-3</v>
      </c>
      <c r="F20" s="105">
        <f>B51*'Power Loss'!$B$79*'Power Loss'!$B$49*10^(-6)*'Power Loss'!$B$54+B51*'Power Loss'!$B$80*'Power Loss'!$B$66*10^(-6)*'Power Loss'!$B$71+'Power Loss'!$B$80*'Power Loss'!$B$81*0.001</f>
        <v>3.0884416961287488E-2</v>
      </c>
      <c r="G20" s="105">
        <f t="shared" si="3"/>
        <v>1.2988511649594664E-3</v>
      </c>
      <c r="H20" s="105">
        <f>(0.5*E51/SQRT(3))^2*'Power Loss'!$B$33/'Power Loss'!$B$31/1000</f>
        <v>4.2757938985757073E-5</v>
      </c>
      <c r="I20" s="104"/>
      <c r="J20" s="42"/>
      <c r="K20" s="42"/>
    </row>
    <row r="21" spans="1:11" s="41" customFormat="1" ht="13" customHeight="1">
      <c r="A21" s="145">
        <f>Imin+(Imax-Imin)*0.04</f>
        <v>8.0960000000000004E-2</v>
      </c>
      <c r="B21" s="147">
        <f t="shared" si="0"/>
        <v>6.9495018359578872E-2</v>
      </c>
      <c r="C21" s="148">
        <f t="shared" si="2"/>
        <v>79.35769164721458</v>
      </c>
      <c r="D21" s="105">
        <f>F52^2*Ron_u/'Power Loss'!$B$54/1000+Vin*(A21-0.5*E52)*'Power Loss'!$B$52*10^(-9)*B52*10^(3)/2+Vin*(A21+0.5*E52)*'Power Loss'!$B$53*10^(-9)*Fs*10^(3)/2+Vin*B52*10^3*'Power Loss'!$B$48*10^(-9)*'Power Loss'!$B$54+0.5*'Power Loss'!$B$51*10^(-9)*Vin^2*B52*10^3*'Power Loss'!$B$54</f>
        <v>2.3349976257655527E-2</v>
      </c>
      <c r="E21" s="105">
        <f>G52^2*'Power Loss'!$B$63/1000/'Power Loss'!$B$71+'Power Loss'!$B$64*B52*10^(-6)*((A21+0.5*E52)*'Power Loss'!$B$69+(A21-0.5*E52)*'Power Loss'!$B$70)+0.5*'Power Loss'!$B$65*Vin* B52*10^(-6)*'Power Loss'!$B$71+'Power Loss'!$B$68*10^(-9)*'Power Loss'!$B$71*Vin^2*B52*1000/2</f>
        <v>1.342801120005855E-2</v>
      </c>
      <c r="F21" s="105">
        <f>B52*'Power Loss'!$B$79*'Power Loss'!$B$49*10^(-6)*'Power Loss'!$B$54+B52*'Power Loss'!$B$80*'Power Loss'!$B$66*10^(-6)*'Power Loss'!$B$71+'Power Loss'!$B$80*'Power Loss'!$B$81*0.001</f>
        <v>3.1106898906471784E-2</v>
      </c>
      <c r="G21" s="105">
        <f t="shared" si="3"/>
        <v>1.5672465168956326E-3</v>
      </c>
      <c r="H21" s="105">
        <f>(0.5*E52/SQRT(3))^2*'Power Loss'!$B$33/'Power Loss'!$B$31/1000</f>
        <v>4.2885478497389627E-5</v>
      </c>
      <c r="I21" s="104"/>
      <c r="J21" s="42"/>
      <c r="K21" s="42"/>
    </row>
    <row r="22" spans="1:11" s="41" customFormat="1" ht="13" customHeight="1">
      <c r="A22" s="145">
        <f>Imin+(Imax-Imin)*0.06</f>
        <v>0.12094000000000001</v>
      </c>
      <c r="B22" s="147">
        <f t="shared" si="0"/>
        <v>8.4113482584974364E-2</v>
      </c>
      <c r="C22" s="148">
        <f t="shared" si="2"/>
        <v>82.592966157663867</v>
      </c>
      <c r="D22" s="105">
        <f>F53^2*Ron_u/'Power Loss'!$B$54/1000+Vin*(A22-0.5*E53)*'Power Loss'!$B$52*10^(-9)*B53*10^(3)/2+Vin*(A22+0.5*E53)*'Power Loss'!$B$53*10^(-9)*Fs*10^(3)/2+Vin*B53*10^3*'Power Loss'!$B$48*10^(-9)*'Power Loss'!$B$54+0.5*'Power Loss'!$B$51*10^(-9)*Vin^2*B53*10^3*'Power Loss'!$B$54</f>
        <v>3.0722553027051333E-2</v>
      </c>
      <c r="E22" s="105">
        <f>G53^2*'Power Loss'!$B$63/1000/'Power Loss'!$B$71+'Power Loss'!$B$64*B53*10^(-6)*((A22+0.5*E53)*'Power Loss'!$B$69+(A22-0.5*E53)*'Power Loss'!$B$70)+0.5*'Power Loss'!$B$65*Vin* B53*10^(-6)*'Power Loss'!$B$71+'Power Loss'!$B$68*10^(-9)*'Power Loss'!$B$71*Vin^2*B53*1000/2</f>
        <v>1.9833431537782796E-2</v>
      </c>
      <c r="F22" s="105">
        <f>B53*'Power Loss'!$B$79*'Power Loss'!$B$49*10^(-6)*'Power Loss'!$B$54+B53*'Power Loss'!$B$80*'Power Loss'!$B$66*10^(-6)*'Power Loss'!$B$71+'Power Loss'!$B$80*'Power Loss'!$B$81*0.001</f>
        <v>3.1478936970395298E-2</v>
      </c>
      <c r="G22" s="105">
        <f t="shared" si="3"/>
        <v>2.0355477900064513E-3</v>
      </c>
      <c r="H22" s="105">
        <f>(0.5*E53/SQRT(3))^2*'Power Loss'!$B$33/'Power Loss'!$B$31/1000</f>
        <v>4.3013259738485389E-5</v>
      </c>
      <c r="I22" s="104"/>
      <c r="J22" s="42"/>
      <c r="K22" s="42"/>
    </row>
    <row r="23" spans="1:11" s="41" customFormat="1" ht="13" customHeight="1">
      <c r="A23" s="145">
        <f>Imin+(Imax-Imin)*0.08</f>
        <v>0.16092000000000001</v>
      </c>
      <c r="B23" s="147">
        <f>SUM(D23:H23)</f>
        <v>0.10914612919928852</v>
      </c>
      <c r="C23" s="148">
        <f>Vout*A23/(Vout*A23+B23)*100</f>
        <v>82.950769129434505</v>
      </c>
      <c r="D23" s="105">
        <f>F54^2*Ron_u/'Power Loss'!$B$54/1000+Vin*(A23-0.5*E54)*'Power Loss'!$B$52*10^(-9)*B54*10^(3)/2+Vin*(A23+0.5*E54)*'Power Loss'!$B$53*10^(-9)*Fs*10^(3)/2+Vin*B54*10^3*'Power Loss'!$B$48*10^(-9)*'Power Loss'!$B$54+0.5*'Power Loss'!$B$51*10^(-9)*Vin^2*B54*10^3*'Power Loss'!$B$54</f>
        <v>4.1946922620181709E-2</v>
      </c>
      <c r="E23" s="105">
        <f>G54^2*'Power Loss'!$B$63/1000/'Power Loss'!$B$71+'Power Loss'!$B$64*B54*10^(-6)*((A23+0.5*E54)*'Power Loss'!$B$69+(A23-0.5*E54)*'Power Loss'!$B$70)+0.5*'Power Loss'!$B$65*Vin* B54*10^(-6)*'Power Loss'!$B$71+'Power Loss'!$B$68*10^(-9)*'Power Loss'!$B$71*Vin^2*B54*1000/2</f>
        <v>3.2049881872995685E-2</v>
      </c>
      <c r="F23" s="105">
        <f>B54*'Power Loss'!$B$79*'Power Loss'!$B$49*10^(-6)*'Power Loss'!$B$54+B54*'Power Loss'!$B$80*'Power Loss'!$B$66*10^(-6)*'Power Loss'!$B$71+'Power Loss'!$B$80*'Power Loss'!$B$81*0.001</f>
        <v>3.2199999999999999E-2</v>
      </c>
      <c r="G23" s="105">
        <f t="shared" si="3"/>
        <v>2.9060551576516368E-3</v>
      </c>
      <c r="H23" s="105">
        <f>(0.5*E54/SQRT(3))^2*'Power Loss'!$B$33/'Power Loss'!$B$31/1000</f>
        <v>4.3269548459494924E-5</v>
      </c>
      <c r="I23" s="104"/>
      <c r="J23" s="42"/>
      <c r="K23" s="42"/>
    </row>
    <row r="24" spans="1:11" s="33" customFormat="1" ht="13" customHeight="1">
      <c r="A24" s="145">
        <f>Imin+(Imax-Imin)*0.1</f>
        <v>0.20090000000000002</v>
      </c>
      <c r="B24" s="147">
        <f t="shared" si="0"/>
        <v>0.12061739266810362</v>
      </c>
      <c r="C24" s="148">
        <f t="shared" si="2"/>
        <v>84.6070273977478</v>
      </c>
      <c r="D24" s="105">
        <f>F55^2*Ron_u/'Power Loss'!$B$54/1000+Vin*(A24-0.5*E55)*'Power Loss'!$B$52*10^(-9)*B55*10^(3)/2+Vin*(A24+0.5*E55)*'Power Loss'!$B$53*10^(-9)*Fs*10^(3)/2+Vin*B55*10^3*'Power Loss'!$B$48*10^(-9)*'Power Loss'!$B$54+0.5*'Power Loss'!$B$51*10^(-9)*Vin^2*B55*10^3*'Power Loss'!$B$54</f>
        <v>4.9639099791299088E-2</v>
      </c>
      <c r="E24" s="105">
        <f>G55^2*'Power Loss'!$B$63/1000/'Power Loss'!$B$71+'Power Loss'!$B$64*B55*10^(-6)*((A24+0.5*E55)*'Power Loss'!$B$69+(A24-0.5*E55)*'Power Loss'!$B$70)+0.5*'Power Loss'!$B$65*Vin* B55*10^(-6)*'Power Loss'!$B$71+'Power Loss'!$B$68*10^(-9)*'Power Loss'!$B$71*Vin^2*B55*1000/2</f>
        <v>3.5448845264323736E-2</v>
      </c>
      <c r="F24" s="105">
        <f>B55*'Power Loss'!$B$79*'Power Loss'!$B$49*10^(-6)*'Power Loss'!$B$54+B55*'Power Loss'!$B$80*'Power Loss'!$B$66*10^(-6)*'Power Loss'!$B$71+'Power Loss'!$B$80*'Power Loss'!$B$81*0.001</f>
        <v>3.2199999999999999E-2</v>
      </c>
      <c r="G24" s="105">
        <f t="shared" si="3"/>
        <v>3.2858563387089851E-3</v>
      </c>
      <c r="H24" s="105">
        <f>(0.5*E55/SQRT(3))^2*'Power Loss'!$B$33/'Power Loss'!$B$31/1000</f>
        <v>4.359127377181902E-5</v>
      </c>
      <c r="I24" s="4"/>
      <c r="J24" s="4"/>
      <c r="K24" s="4"/>
    </row>
    <row r="25" spans="1:11" s="33" customFormat="1" ht="13" customHeight="1">
      <c r="A25" s="145">
        <f>Imin+(Imax-Imin)*0.15</f>
        <v>0.30085000000000001</v>
      </c>
      <c r="B25" s="147">
        <f t="shared" ref="B25:B38" si="4">SUM(D25:H25)</f>
        <v>0.15101112344703299</v>
      </c>
      <c r="C25" s="148">
        <f t="shared" ref="C25:C38" si="5">Vout*A25/(Vout*A25+B25)*100</f>
        <v>86.797604933917</v>
      </c>
      <c r="D25" s="105">
        <f>F56^2*Ron_u/'Power Loss'!$B$54/1000+Vin*(A25-0.5*E56)*'Power Loss'!$B$52*10^(-9)*B56*10^(3)/2+Vin*(A25+0.5*E56)*'Power Loss'!$B$53*10^(-9)*Fs*10^(3)/2+Vin*B56*10^3*'Power Loss'!$B$48*10^(-9)*'Power Loss'!$B$54+0.5*'Power Loss'!$B$51*10^(-9)*Vin^2*B56*10^3*'Power Loss'!$B$54</f>
        <v>6.943841025395299E-2</v>
      </c>
      <c r="E25" s="105">
        <f>G56^2*'Power Loss'!$B$63/1000/'Power Loss'!$B$71+'Power Loss'!$B$64*B56*10^(-6)*((A25+0.5*E56)*'Power Loss'!$B$69+(A25-0.5*E56)*'Power Loss'!$B$70)+0.5*'Power Loss'!$B$65*Vin* B56*10^(-6)*'Power Loss'!$B$71+'Power Loss'!$B$68*10^(-9)*'Power Loss'!$B$71*Vin^2*B56*1000/2</f>
        <v>4.477093516421593E-2</v>
      </c>
      <c r="F25" s="105">
        <f>B56*'Power Loss'!$B$79*'Power Loss'!$B$49*10^(-6)*'Power Loss'!$B$54+B56*'Power Loss'!$B$80*'Power Loss'!$B$66*10^(-6)*'Power Loss'!$B$71+'Power Loss'!$B$80*'Power Loss'!$B$81*0.001</f>
        <v>3.2199999999999999E-2</v>
      </c>
      <c r="G25" s="105">
        <f t="shared" si="3"/>
        <v>4.5578635099217208E-3</v>
      </c>
      <c r="H25" s="105">
        <f>(0.5*E56/SQRT(3))^2*'Power Loss'!$B$33/'Power Loss'!$B$31/1000</f>
        <v>4.3914518942364734E-5</v>
      </c>
      <c r="I25" s="4"/>
      <c r="J25" s="4"/>
      <c r="K25" s="4"/>
    </row>
    <row r="26" spans="1:11" s="33" customFormat="1" ht="13" customHeight="1">
      <c r="A26" s="145">
        <f>Imin+(Imax-Imin)*0.2</f>
        <v>0.40080000000000005</v>
      </c>
      <c r="B26" s="147">
        <f t="shared" si="4"/>
        <v>0.18387751987573667</v>
      </c>
      <c r="C26" s="148">
        <f t="shared" si="5"/>
        <v>87.794531596890849</v>
      </c>
      <c r="D26" s="105">
        <f>F57^2*Ron_u/'Power Loss'!$B$54/1000+Vin*(A26-0.5*E57)*'Power Loss'!$B$52*10^(-9)*B57*10^(3)/2+Vin*(A26+0.5*E57)*'Power Loss'!$B$53*10^(-9)*Fs*10^(3)/2+Vin*B57*10^3*'Power Loss'!$B$48*10^(-9)*'Power Loss'!$B$54+0.5*'Power Loss'!$B$51*10^(-9)*Vin^2*B57*10^3*'Power Loss'!$B$54</f>
        <v>9.0048322009341E-2</v>
      </c>
      <c r="E26" s="105">
        <f>G57^2*'Power Loss'!$B$63/1000/'Power Loss'!$B$71+'Power Loss'!$B$64*B57*10^(-6)*((A26+0.5*E57)*'Power Loss'!$B$69+(A26-0.5*E57)*'Power Loss'!$B$70)+0.5*'Power Loss'!$B$65*Vin* B57*10^(-6)*'Power Loss'!$B$71+'Power Loss'!$B$68*10^(-9)*'Power Loss'!$B$71*Vin^2*B57*1000/2</f>
        <v>5.5255490182764565E-2</v>
      </c>
      <c r="F26" s="105">
        <f>B57*'Power Loss'!$B$79*'Power Loss'!$B$49*10^(-6)*'Power Loss'!$B$54+B57*'Power Loss'!$B$80*'Power Loss'!$B$66*10^(-6)*'Power Loss'!$B$71+'Power Loss'!$B$80*'Power Loss'!$B$81*0.001</f>
        <v>3.2199999999999999E-2</v>
      </c>
      <c r="G26" s="105">
        <f t="shared" si="3"/>
        <v>6.3294683955278982E-3</v>
      </c>
      <c r="H26" s="105">
        <f>(0.5*E57/SQRT(3))^2*'Power Loss'!$B$33/'Power Loss'!$B$31/1000</f>
        <v>4.4239288103218306E-5</v>
      </c>
      <c r="I26" s="4"/>
      <c r="J26" s="4"/>
      <c r="K26" s="4"/>
    </row>
    <row r="27" spans="1:11" s="33" customFormat="1" ht="13" customHeight="1">
      <c r="A27" s="145">
        <f>Imin+(Imax-Imin)*0.25</f>
        <v>0.50075000000000003</v>
      </c>
      <c r="B27" s="147">
        <f t="shared" si="4"/>
        <v>0.21924375750502115</v>
      </c>
      <c r="C27" s="148">
        <f t="shared" si="5"/>
        <v>88.286501023408519</v>
      </c>
      <c r="D27" s="105">
        <f>F58^2*Ron_u/'Power Loss'!$B$54/1000+Vin*(A27-0.5*E58)*'Power Loss'!$B$52*10^(-9)*B58*10^(3)/2+Vin*(A27+0.5*E58)*'Power Loss'!$B$53*10^(-9)*Fs*10^(3)/2+Vin*B58*10^3*'Power Loss'!$B$48*10^(-9)*'Power Loss'!$B$54+0.5*'Power Loss'!$B$51*10^(-9)*Vin^2*B58*10^3*'Power Loss'!$B$54</f>
        <v>0.11150650484840148</v>
      </c>
      <c r="E27" s="105">
        <f>G58^2*'Power Loss'!$B$63/1000/'Power Loss'!$B$71+'Power Loss'!$B$64*B58*10^(-6)*((A27+0.5*E58)*'Power Loss'!$B$69+(A27-0.5*E58)*'Power Loss'!$B$70)+0.5*'Power Loss'!$B$65*Vin* B58*10^(-6)*'Power Loss'!$B$71+'Power Loss'!$B$68*10^(-9)*'Power Loss'!$B$71*Vin^2*B58*1000/2</f>
        <v>6.6873134827411557E-2</v>
      </c>
      <c r="F27" s="105">
        <f>B58*'Power Loss'!$B$79*'Power Loss'!$B$49*10^(-6)*'Power Loss'!$B$54+B58*'Power Loss'!$B$80*'Power Loss'!$B$66*10^(-6)*'Power Loss'!$B$71+'Power Loss'!$B$80*'Power Loss'!$B$81*0.001</f>
        <v>3.2199999999999999E-2</v>
      </c>
      <c r="G27" s="105">
        <f t="shared" si="3"/>
        <v>8.6192244142234177E-3</v>
      </c>
      <c r="H27" s="105">
        <f>(0.5*E58/SQRT(3))^2*'Power Loss'!$B$33/'Power Loss'!$B$31/1000</f>
        <v>4.489341498466907E-5</v>
      </c>
      <c r="I27" s="4"/>
      <c r="J27" s="4"/>
      <c r="K27" s="4"/>
    </row>
    <row r="28" spans="1:11" s="33" customFormat="1" ht="13" customHeight="1">
      <c r="A28" s="145">
        <f>Imin+(Imax-Imin)*0.35</f>
        <v>0.70065</v>
      </c>
      <c r="B28" s="147">
        <f t="shared" si="4"/>
        <v>0.29735041071819029</v>
      </c>
      <c r="C28" s="148">
        <f t="shared" si="5"/>
        <v>88.605060982408361</v>
      </c>
      <c r="D28" s="105">
        <f>F59^2*Ron_u/'Power Loss'!$B$54/1000+Vin*(A28-0.5*E59)*'Power Loss'!$B$52*10^(-9)*B59*10^(3)/2+Vin*(A28+0.5*E59)*'Power Loss'!$B$53*10^(-9)*Fs*10^(3)/2+Vin*B59*10^3*'Power Loss'!$B$48*10^(-9)*'Power Loss'!$B$54+0.5*'Power Loss'!$B$51*10^(-9)*Vin^2*B59*10^3*'Power Loss'!$B$54</f>
        <v>0.15682987184550493</v>
      </c>
      <c r="E28" s="105">
        <f>G59^2*'Power Loss'!$B$63/1000/'Power Loss'!$B$71+'Power Loss'!$B$64*B59*10^(-6)*((A28+0.5*E59)*'Power Loss'!$B$69+(A28-0.5*E59)*'Power Loss'!$B$70)+0.5*'Power Loss'!$B$65*Vin* B59*10^(-6)*'Power Loss'!$B$71+'Power Loss'!$B$68*10^(-9)*'Power Loss'!$B$71*Vin^2*B59*1000/2</f>
        <v>9.3633443521004597E-2</v>
      </c>
      <c r="F28" s="105">
        <f>B59*'Power Loss'!$B$79*'Power Loss'!$B$49*10^(-6)*'Power Loss'!$B$54+B59*'Power Loss'!$B$80*'Power Loss'!$B$66*10^(-6)*'Power Loss'!$B$71+'Power Loss'!$B$80*'Power Loss'!$B$81*0.001</f>
        <v>3.2199999999999999E-2</v>
      </c>
      <c r="G28" s="105">
        <f t="shared" si="3"/>
        <v>1.4641872570650747E-2</v>
      </c>
      <c r="H28" s="105">
        <f>(0.5*E59/SQRT(3))^2*'Power Loss'!$B$33/'Power Loss'!$B$31/1000</f>
        <v>4.522278103003477E-5</v>
      </c>
      <c r="I28" s="4"/>
      <c r="J28" s="4"/>
      <c r="K28" s="4"/>
    </row>
    <row r="29" spans="1:11" s="33" customFormat="1" ht="13" customHeight="1">
      <c r="A29" s="145">
        <f>Imin+(Imax-Imin)*0.4</f>
        <v>0.80060000000000009</v>
      </c>
      <c r="B29" s="147">
        <f t="shared" si="4"/>
        <v>0.34014521575908052</v>
      </c>
      <c r="C29" s="148">
        <f t="shared" si="5"/>
        <v>88.593865409756162</v>
      </c>
      <c r="D29" s="105">
        <f>F60^2*Ron_u/'Power Loss'!$B$54/1000+Vin*(A29-0.5*E60)*'Power Loss'!$B$52*10^(-9)*B60*10^(3)/2+Vin*(A29+0.5*E60)*'Power Loss'!$B$53*10^(-9)*Fs*10^(3)/2+Vin*B60*10^3*'Power Loss'!$B$48*10^(-9)*'Power Loss'!$B$54+0.5*'Power Loss'!$B$51*10^(-9)*Vin^2*B60*10^3*'Power Loss'!$B$54</f>
        <v>0.18077048530295894</v>
      </c>
      <c r="E29" s="105">
        <f>G60^2*'Power Loss'!$B$63/1000/'Power Loss'!$B$71+'Power Loss'!$B$64*B60*10^(-6)*((A29+0.5*E60)*'Power Loss'!$B$69+(A29-0.5*E60)*'Power Loss'!$B$70)+0.5*'Power Loss'!$B$65*Vin* B60*10^(-6)*'Power Loss'!$B$71+'Power Loss'!$B$68*10^(-9)*'Power Loss'!$B$71*Vin^2*B60*1000/2</f>
        <v>0.10871730521775129</v>
      </c>
      <c r="F29" s="105">
        <f>B60*'Power Loss'!$B$79*'Power Loss'!$B$49*10^(-6)*'Power Loss'!$B$54+B60*'Power Loss'!$B$80*'Power Loss'!$B$66*10^(-6)*'Power Loss'!$B$71+'Power Loss'!$B$80*'Power Loss'!$B$81*0.001</f>
        <v>3.2199999999999999E-2</v>
      </c>
      <c r="G29" s="105">
        <f t="shared" si="3"/>
        <v>1.8411871550654987E-2</v>
      </c>
      <c r="H29" s="105">
        <f>(0.5*E60/SQRT(3))^2*'Power Loss'!$B$33/'Power Loss'!$B$31/1000</f>
        <v>4.555368771532577E-5</v>
      </c>
      <c r="I29" s="4"/>
      <c r="J29" s="4"/>
      <c r="K29" s="4"/>
    </row>
    <row r="30" spans="1:11" s="33" customFormat="1" ht="13" customHeight="1">
      <c r="A30" s="145">
        <f>Imin+(Imax-Imin)*0.45</f>
        <v>0.90055000000000007</v>
      </c>
      <c r="B30" s="147">
        <f t="shared" si="4"/>
        <v>0.3854315978799942</v>
      </c>
      <c r="C30" s="148">
        <f t="shared" si="5"/>
        <v>88.51941355385145</v>
      </c>
      <c r="D30" s="105">
        <f>F61^2*Ron_u/'Power Loss'!$B$54/1000+Vin*(A30-0.5*E61)*'Power Loss'!$B$52*10^(-9)*B61*10^(3)/2+Vin*(A30+0.5*E61)*'Power Loss'!$B$53*10^(-9)*Fs*10^(3)/2+Vin*B61*10^3*'Power Loss'!$B$48*10^(-9)*'Power Loss'!$B$54+0.5*'Power Loss'!$B$51*10^(-9)*Vin^2*B61*10^3*'Power Loss'!$B$54</f>
        <v>0.20556593819602398</v>
      </c>
      <c r="E30" s="105">
        <f>G61^2*'Power Loss'!$B$63/1000/'Power Loss'!$B$71+'Power Loss'!$B$64*B61*10^(-6)*((A30+0.5*E61)*'Power Loss'!$B$69+(A30-0.5*E61)*'Power Loss'!$B$70)+0.5*'Power Loss'!$B$65*Vin* B61*10^(-6)*'Power Loss'!$B$71+'Power Loss'!$B$68*10^(-9)*'Power Loss'!$B$71*Vin^2*B61*1000/2</f>
        <v>0.1249383036763782</v>
      </c>
      <c r="F30" s="105">
        <f>B61*'Power Loss'!$B$79*'Power Loss'!$B$49*10^(-6)*'Power Loss'!$B$54+B61*'Power Loss'!$B$80*'Power Loss'!$B$66*10^(-6)*'Power Loss'!$B$71+'Power Loss'!$B$80*'Power Loss'!$B$81*0.001</f>
        <v>3.2199999999999999E-2</v>
      </c>
      <c r="G30" s="105">
        <f t="shared" si="3"/>
        <v>2.2681469868358575E-2</v>
      </c>
      <c r="H30" s="105">
        <f>(0.5*E61/SQRT(3))^2*'Power Loss'!$B$33/'Power Loss'!$B$31/1000</f>
        <v>4.5886139233466371E-5</v>
      </c>
      <c r="I30" s="4"/>
      <c r="J30" s="4"/>
      <c r="K30" s="4"/>
    </row>
    <row r="31" spans="1:11" s="33" customFormat="1" ht="13" customHeight="1">
      <c r="A31" s="145">
        <f>Imin+(Imax-Imin)*0.5</f>
        <v>1.0004999999999999</v>
      </c>
      <c r="B31" s="147">
        <f t="shared" si="4"/>
        <v>0.4332133624896829</v>
      </c>
      <c r="C31" s="148">
        <f t="shared" si="5"/>
        <v>88.400824328928053</v>
      </c>
      <c r="D31" s="105">
        <f>F62^2*Ron_u/'Power Loss'!$B$54/1000+Vin*(A31-0.5*E62)*'Power Loss'!$B$52*10^(-9)*B62*10^(3)/2+Vin*(A31+0.5*E62)*'Power Loss'!$B$53*10^(-9)*Fs*10^(3)/2+Vin*B62*10^3*'Power Loss'!$B$48*10^(-9)*'Power Loss'!$B$54+0.5*'Power Loss'!$B$51*10^(-9)*Vin^2*B62*10^3*'Power Loss'!$B$54</f>
        <v>0.23122513223983102</v>
      </c>
      <c r="E31" s="105">
        <f>G62^2*'Power Loss'!$B$63/1000/'Power Loss'!$B$71+'Power Loss'!$B$64*B62*10^(-6)*((A31+0.5*E62)*'Power Loss'!$B$69+(A31-0.5*E62)*'Power Loss'!$B$70)+0.5*'Power Loss'!$B$65*Vin* B62*10^(-6)*'Power Loss'!$B$71+'Power Loss'!$B$68*10^(-9)*'Power Loss'!$B$71*Vin^2*B62*1000/2</f>
        <v>0.14229134225869006</v>
      </c>
      <c r="F31" s="105">
        <f>B62*'Power Loss'!$B$79*'Power Loss'!$B$49*10^(-6)*'Power Loss'!$B$54+B62*'Power Loss'!$B$80*'Power Loss'!$B$66*10^(-6)*'Power Loss'!$B$71+'Power Loss'!$B$80*'Power Loss'!$B$81*0.001</f>
        <v>3.2199999999999999E-2</v>
      </c>
      <c r="G31" s="105">
        <f t="shared" si="3"/>
        <v>2.7450667851372148E-2</v>
      </c>
      <c r="H31" s="105">
        <f>(0.5*E62/SQRT(3))^2*'Power Loss'!$B$33/'Power Loss'!$B$31/1000</f>
        <v>4.6220139789669797E-5</v>
      </c>
      <c r="I31" s="4"/>
      <c r="J31" s="4"/>
      <c r="K31" s="4"/>
    </row>
    <row r="32" spans="1:11" s="33" customFormat="1" ht="13" customHeight="1">
      <c r="A32" s="145">
        <f>Imin+(Imax-Imin)*0.55</f>
        <v>1.1004499999999999</v>
      </c>
      <c r="B32" s="147">
        <f t="shared" si="4"/>
        <v>0.48349432275028553</v>
      </c>
      <c r="C32" s="148">
        <f t="shared" si="5"/>
        <v>88.250382691421706</v>
      </c>
      <c r="D32" s="105">
        <f>F63^2*Ron_u/'Power Loss'!$B$54/1000+Vin*(A32-0.5*E63)*'Power Loss'!$B$52*10^(-9)*B63*10^(3)/2+Vin*(A32+0.5*E63)*'Power Loss'!$B$53*10^(-9)*Fs*10^(3)/2+Vin*B63*10^3*'Power Loss'!$B$48*10^(-9)*'Power Loss'!$B$54+0.5*'Power Loss'!$B$51*10^(-9)*Vin^2*B63*10^3*'Power Loss'!$B$54</f>
        <v>0.25775698728553353</v>
      </c>
      <c r="E32" s="105">
        <f>G63^2*'Power Loss'!$B$63/1000/'Power Loss'!$B$71+'Power Loss'!$B$64*B63*10^(-6)*((A32+0.5*E63)*'Power Loss'!$B$69+(A32-0.5*E63)*'Power Loss'!$B$70)+0.5*'Power Loss'!$B$65*Vin* B63*10^(-6)*'Power Loss'!$B$71+'Power Loss'!$B$68*10^(-9)*'Power Loss'!$B$71*Vin^2*B63*1000/2</f>
        <v>0.16077131394285221</v>
      </c>
      <c r="F32" s="105">
        <f>B63*'Power Loss'!$B$79*'Power Loss'!$B$49*10^(-6)*'Power Loss'!$B$54+B63*'Power Loss'!$B$80*'Power Loss'!$B$66*10^(-6)*'Power Loss'!$B$71+'Power Loss'!$B$80*'Power Loss'!$B$81*0.001</f>
        <v>3.2199999999999999E-2</v>
      </c>
      <c r="G32" s="105">
        <f t="shared" si="3"/>
        <v>3.2719465828298301E-2</v>
      </c>
      <c r="H32" s="105">
        <f>(0.5*E63/SQRT(3))^2*'Power Loss'!$B$33/'Power Loss'!$B$31/1000</f>
        <v>4.6555693601479417E-5</v>
      </c>
      <c r="I32" s="4"/>
      <c r="J32" s="4"/>
      <c r="K32" s="4"/>
    </row>
    <row r="33" spans="1:23" s="33" customFormat="1" ht="13" customHeight="1">
      <c r="A33" s="145">
        <f>Imin+(Imax-Imin)*0.6</f>
        <v>1.2003999999999999</v>
      </c>
      <c r="B33" s="147">
        <f t="shared" si="4"/>
        <v>0.53627829959708606</v>
      </c>
      <c r="C33" s="148">
        <f t="shared" si="5"/>
        <v>88.076340662857149</v>
      </c>
      <c r="D33" s="105">
        <f>F64^2*Ron_u/'Power Loss'!$B$54/1000+Vin*(A33-0.5*E64)*'Power Loss'!$B$52*10^(-9)*B64*10^(3)/2+Vin*(A33+0.5*E64)*'Power Loss'!$B$53*10^(-9)*Fs*10^(3)/2+Vin*B64*10^3*'Power Loss'!$B$48*10^(-9)*'Power Loss'!$B$54+0.5*'Power Loss'!$B$51*10^(-9)*Vin^2*B64*10^3*'Power Loss'!$B$54</f>
        <v>0.28517044136651853</v>
      </c>
      <c r="E33" s="105">
        <f>G64^2*'Power Loss'!$B$63/1000/'Power Loss'!$B$71+'Power Loss'!$B$64*B64*10^(-6)*((A33+0.5*E64)*'Power Loss'!$B$69+(A33-0.5*E64)*'Power Loss'!$B$70)+0.5*'Power Loss'!$B$65*Vin* B64*10^(-6)*'Power Loss'!$B$71+'Power Loss'!$B$68*10^(-9)*'Power Loss'!$B$71*Vin^2*B64*1000/2</f>
        <v>0.18037310129693329</v>
      </c>
      <c r="F33" s="105">
        <f>B64*'Power Loss'!$B$79*'Power Loss'!$B$49*10^(-6)*'Power Loss'!$B$54+B64*'Power Loss'!$B$80*'Power Loss'!$B$66*10^(-6)*'Power Loss'!$B$71+'Power Loss'!$B$80*'Power Loss'!$B$81*0.001</f>
        <v>3.2199999999999999E-2</v>
      </c>
      <c r="G33" s="105">
        <f t="shared" si="3"/>
        <v>3.8487864128735422E-2</v>
      </c>
      <c r="H33" s="105">
        <f>(0.5*E64/SQRT(3))^2*'Power Loss'!$B$33/'Power Loss'!$B$31/1000</f>
        <v>4.6892804898809466E-5</v>
      </c>
      <c r="I33" s="4"/>
      <c r="J33" s="4"/>
      <c r="K33" s="4"/>
    </row>
    <row r="34" spans="1:23" s="33" customFormat="1" ht="13" customHeight="1">
      <c r="A34" s="145">
        <f>Imin+(Imax-Imin)*0.65</f>
        <v>1.3003499999999999</v>
      </c>
      <c r="B34" s="147">
        <f t="shared" si="4"/>
        <v>0.59156912175833021</v>
      </c>
      <c r="C34" s="148">
        <f t="shared" si="5"/>
        <v>87.884445096494645</v>
      </c>
      <c r="D34" s="105">
        <f>F65^2*Ron_u/'Power Loss'!$B$54/1000+Vin*(A34-0.5*E65)*'Power Loss'!$B$52*10^(-9)*B65*10^(3)/2+Vin*(A34+0.5*E65)*'Power Loss'!$B$53*10^(-9)*Fs*10^(3)/2+Vin*B65*10^3*'Power Loss'!$B$48*10^(-9)*'Power Loss'!$B$54+0.5*'Power Loss'!$B$51*10^(-9)*Vin^2*B65*10^3*'Power Loss'!$B$54</f>
        <v>0.31347445074475894</v>
      </c>
      <c r="E34" s="105">
        <f>G65^2*'Power Loss'!$B$63/1000/'Power Loss'!$B$71+'Power Loss'!$B$64*B65*10^(-6)*((A34+0.5*E65)*'Power Loss'!$B$69+(A34-0.5*E65)*'Power Loss'!$B$70)+0.5*'Power Loss'!$B$65*Vin* B65*10^(-6)*'Power Loss'!$B$71+'Power Loss'!$B$68*10^(-9)*'Power Loss'!$B$71*Vin^2*B65*1000/2</f>
        <v>0.20109157645236578</v>
      </c>
      <c r="F34" s="105">
        <f>B65*'Power Loss'!$B$79*'Power Loss'!$B$49*10^(-6)*'Power Loss'!$B$54+B65*'Power Loss'!$B$80*'Power Loss'!$B$66*10^(-6)*'Power Loss'!$B$71+'Power Loss'!$B$80*'Power Loss'!$B$81*0.001</f>
        <v>3.2199999999999999E-2</v>
      </c>
      <c r="G34" s="105">
        <f t="shared" si="3"/>
        <v>4.4755863083281486E-2</v>
      </c>
      <c r="H34" s="105">
        <f>(0.5*E65/SQRT(3))^2*'Power Loss'!$B$33/'Power Loss'!$B$31/1000</f>
        <v>4.7231477923986352E-5</v>
      </c>
      <c r="I34" s="4"/>
      <c r="J34" s="4"/>
      <c r="K34" s="4"/>
    </row>
    <row r="35" spans="1:23" s="33" customFormat="1" ht="13" customHeight="1">
      <c r="A35" s="145">
        <f>Imin+(Imax-Imin)*0.7</f>
        <v>1.4002999999999999</v>
      </c>
      <c r="B35" s="147">
        <f t="shared" si="4"/>
        <v>0.6493706257751054</v>
      </c>
      <c r="C35" s="148">
        <f t="shared" si="5"/>
        <v>87.678819878106466</v>
      </c>
      <c r="D35" s="105">
        <f>F66^2*Ron_u/'Power Loss'!$B$54/1000+Vin*(A35-0.5*E66)*'Power Loss'!$B$52*10^(-9)*B66*10^(3)/2+Vin*(A35+0.5*E66)*'Power Loss'!$B$53*10^(-9)*Fs*10^(3)/2+Vin*B66*10^3*'Power Loss'!$B$48*10^(-9)*'Power Loss'!$B$54+0.5*'Power Loss'!$B$51*10^(-9)*Vin^2*B66*10^3*'Power Loss'!$B$54</f>
        <v>0.34267798995730842</v>
      </c>
      <c r="E35" s="105">
        <f>G66^2*'Power Loss'!$B$63/1000/'Power Loss'!$B$71+'Power Loss'!$B$64*B66*10^(-6)*((A35+0.5*E66)*'Power Loss'!$B$69+(A35-0.5*E66)*'Power Loss'!$B$70)+0.5*'Power Loss'!$B$65*Vin* B66*10^(-6)*'Power Loss'!$B$71+'Power Loss'!$B$68*10^(-9)*'Power Loss'!$B$71*Vin^2*B66*1000/2</f>
        <v>0.22292160107732722</v>
      </c>
      <c r="F35" s="105">
        <f>B66*'Power Loss'!$B$79*'Power Loss'!$B$49*10^(-6)*'Power Loss'!$B$54+B66*'Power Loss'!$B$80*'Power Loss'!$B$66*10^(-6)*'Power Loss'!$B$71+'Power Loss'!$B$80*'Power Loss'!$B$81*0.001</f>
        <v>3.2199999999999999E-2</v>
      </c>
      <c r="G35" s="105">
        <f t="shared" si="3"/>
        <v>5.1523463023537913E-2</v>
      </c>
      <c r="H35" s="105">
        <f>(0.5*E66/SQRT(3))^2*'Power Loss'!$B$33/'Power Loss'!$B$31/1000</f>
        <v>4.7571716931789857E-5</v>
      </c>
      <c r="I35" s="4"/>
      <c r="J35" s="4"/>
      <c r="K35" s="4"/>
    </row>
    <row r="36" spans="1:23" s="33" customFormat="1" ht="13" customHeight="1">
      <c r="A36" s="145">
        <f>Imin+(Imax-Imin)*0.75</f>
        <v>1.5002499999999999</v>
      </c>
      <c r="B36" s="147">
        <f t="shared" si="4"/>
        <v>0.70968665602127867</v>
      </c>
      <c r="C36" s="148">
        <f t="shared" si="5"/>
        <v>87.462499873728532</v>
      </c>
      <c r="D36" s="105">
        <f>F67^2*Ron_u/'Power Loss'!$B$54/1000+Vin*(A36-0.5*E67)*'Power Loss'!$B$52*10^(-9)*B67*10^(3)/2+Vin*(A36+0.5*E67)*'Power Loss'!$B$53*10^(-9)*Fs*10^(3)/2+Vin*B67*10^3*'Power Loss'!$B$48*10^(-9)*'Power Loss'!$B$54+0.5*'Power Loss'!$B$51*10^(-9)*Vin^2*B67*10^3*'Power Loss'!$B$54</f>
        <v>0.37279005186293779</v>
      </c>
      <c r="E36" s="105">
        <f>G67^2*'Power Loss'!$B$63/1000/'Power Loss'!$B$71+'Power Loss'!$B$64*B67*10^(-6)*((A36+0.5*E67)*'Power Loss'!$B$69+(A36-0.5*E67)*'Power Loss'!$B$70)+0.5*'Power Loss'!$B$65*Vin* B67*10^(-6)*'Power Loss'!$B$71+'Power Loss'!$B$68*10^(-9)*'Power Loss'!$B$71*Vin^2*B67*1000/2</f>
        <v>0.24585802635003801</v>
      </c>
      <c r="F36" s="105">
        <f>B67*'Power Loss'!$B$79*'Power Loss'!$B$49*10^(-6)*'Power Loss'!$B$54+B67*'Power Loss'!$B$80*'Power Loss'!$B$66*10^(-6)*'Power Loss'!$B$71+'Power Loss'!$B$80*'Power Loss'!$B$81*0.001</f>
        <v>3.2199999999999999E-2</v>
      </c>
      <c r="G36" s="105">
        <f t="shared" si="3"/>
        <v>5.8790664282113381E-2</v>
      </c>
      <c r="H36" s="105">
        <f>(0.5*E67/SQRT(3))^2*'Power Loss'!$B$33/'Power Loss'!$B$31/1000</f>
        <v>4.7913526189494802E-5</v>
      </c>
      <c r="I36" s="4"/>
      <c r="J36" s="4"/>
      <c r="K36" s="4"/>
    </row>
    <row r="37" spans="1:23" s="33" customFormat="1" ht="13" customHeight="1">
      <c r="A37" s="145">
        <f>Imin+(Imax-Imin)*0.8</f>
        <v>1.6002000000000001</v>
      </c>
      <c r="B37" s="147">
        <f t="shared" si="4"/>
        <v>0.77252106472349824</v>
      </c>
      <c r="C37" s="148">
        <f t="shared" si="5"/>
        <v>87.237767110163489</v>
      </c>
      <c r="D37" s="105">
        <f>F68^2*Ron_u/'Power Loss'!$B$54/1000+Vin*(A37-0.5*E68)*'Power Loss'!$B$52*10^(-9)*B68*10^(3)/2+Vin*(A37+0.5*E68)*'Power Loss'!$B$53*10^(-9)*Fs*10^(3)/2+Vin*B68*10^3*'Power Loss'!$B$48*10^(-9)*'Power Loss'!$B$54+0.5*'Power Loss'!$B$51*10^(-9)*Vin^2*B68*10^3*'Power Loss'!$B$54</f>
        <v>0.4038196476889151</v>
      </c>
      <c r="E37" s="105">
        <f>G68^2*'Power Loss'!$B$63/1000/'Power Loss'!$B$71+'Power Loss'!$B$64*B68*10^(-6)*((A37+0.5*E68)*'Power Loss'!$B$69+(A37-0.5*E68)*'Power Loss'!$B$70)+0.5*'Power Loss'!$B$65*Vin* B68*10^(-6)*'Power Loss'!$B$71+'Power Loss'!$B$68*10^(-9)*'Power Loss'!$B$71*Vin^2*B68*1000/2</f>
        <v>0.26989569293197857</v>
      </c>
      <c r="F37" s="105">
        <f>B68*'Power Loss'!$B$79*'Power Loss'!$B$49*10^(-6)*'Power Loss'!$B$54+B68*'Power Loss'!$B$80*'Power Loss'!$B$66*10^(-6)*'Power Loss'!$B$71+'Power Loss'!$B$80*'Power Loss'!$B$81*0.001</f>
        <v>3.2199999999999999E-2</v>
      </c>
      <c r="G37" s="105">
        <f t="shared" si="3"/>
        <v>6.6557467192627701E-2</v>
      </c>
      <c r="H37" s="105">
        <f>(0.5*E68/SQRT(3))^2*'Power Loss'!$B$33/'Power Loss'!$B$31/1000</f>
        <v>4.8256909976912439E-5</v>
      </c>
      <c r="I37" s="4"/>
      <c r="J37" s="4"/>
      <c r="K37" s="4"/>
    </row>
    <row r="38" spans="1:23" s="33" customFormat="1" ht="13" customHeight="1">
      <c r="A38" s="145">
        <f>Imin+(Imax-Imin)*0.85</f>
        <v>1.7001499999999998</v>
      </c>
      <c r="B38" s="147">
        <f t="shared" si="4"/>
        <v>0.83787771198125405</v>
      </c>
      <c r="C38" s="148">
        <f t="shared" si="5"/>
        <v>87.006369677973879</v>
      </c>
      <c r="D38" s="105">
        <f>F69^2*Ron_u/'Power Loss'!$B$54/1000+Vin*(A38-0.5*E69)*'Power Loss'!$B$52*10^(-9)*B69*10^(3)/2+Vin*(A38+0.5*E69)*'Power Loss'!$B$53*10^(-9)*Fs*10^(3)/2+Vin*B69*10^3*'Power Loss'!$B$48*10^(-9)*'Power Loss'!$B$54+0.5*'Power Loss'!$B$51*10^(-9)*Vin^2*B69*10^3*'Power Loss'!$B$54</f>
        <v>0.4357758070779279</v>
      </c>
      <c r="E38" s="105">
        <f>G69^2*'Power Loss'!$B$63/1000/'Power Loss'!$B$71+'Power Loss'!$B$64*B69*10^(-6)*((A38+0.5*E69)*'Power Loss'!$B$69+(A38-0.5*E69)*'Power Loss'!$B$70)+0.5*'Power Loss'!$B$65*Vin* B69*10^(-6)*'Power Loss'!$B$71+'Power Loss'!$B$68*10^(-9)*'Power Loss'!$B$71*Vin^2*B69*1000/2</f>
        <v>0.29502943094102396</v>
      </c>
      <c r="F38" s="105">
        <f>B69*'Power Loss'!$B$79*'Power Loss'!$B$49*10^(-6)*'Power Loss'!$B$54+B69*'Power Loss'!$B$80*'Power Loss'!$B$66*10^(-6)*'Power Loss'!$B$71+'Power Loss'!$B$80*'Power Loss'!$B$81*0.001</f>
        <v>3.2199999999999999E-2</v>
      </c>
      <c r="G38" s="105">
        <f t="shared" si="3"/>
        <v>7.4823872089715707E-2</v>
      </c>
      <c r="H38" s="105">
        <f>(0.5*E69/SQRT(3))^2*'Power Loss'!$B$33/'Power Loss'!$B$31/1000</f>
        <v>4.8601872586432544E-5</v>
      </c>
      <c r="I38" s="4"/>
      <c r="J38" s="4"/>
      <c r="K38" s="4"/>
    </row>
    <row r="39" spans="1:23" s="33" customFormat="1" ht="13" customHeight="1">
      <c r="A39" s="145">
        <f>Imin+(Imax-Imin)*0.9</f>
        <v>1.8001</v>
      </c>
      <c r="B39" s="147">
        <f>SUM(D39:H39)</f>
        <v>0.90576046578700198</v>
      </c>
      <c r="C39" s="148">
        <f>Vout*A39/(Vout*A39+B39)*100</f>
        <v>86.769668465330767</v>
      </c>
      <c r="D39" s="105">
        <f>F70^2*Ron_u/'Power Loss'!$B$54/1000+Vin*(A39-0.5*E70)*'Power Loss'!$B$52*10^(-9)*B70*10^(3)/2+Vin*(A39+0.5*E70)*'Power Loss'!$B$53*10^(-9)*Fs*10^(3)/2+Vin*B70*10^3*'Power Loss'!$B$48*10^(-9)*'Power Loss'!$B$54+0.5*'Power Loss'!$B$51*10^(-9)*Vin^2*B70*10^3*'Power Loss'!$B$54</f>
        <v>0.46866757813515147</v>
      </c>
      <c r="E39" s="105">
        <f>G70^2*'Power Loss'!$B$63/1000/'Power Loss'!$B$71+'Power Loss'!$B$64*B70*10^(-6)*((A39+0.5*E70)*'Power Loss'!$B$69+(A39-0.5*E70)*'Power Loss'!$B$70)+0.5*'Power Loss'!$B$65*Vin* B70*10^(-6)*'Power Loss'!$B$71+'Power Loss'!$B$68*10^(-9)*'Power Loss'!$B$71*Vin^2*B70*1000/2</f>
        <v>0.32125405992449629</v>
      </c>
      <c r="F39" s="105">
        <f>B70*'Power Loss'!$B$79*'Power Loss'!$B$49*10^(-6)*'Power Loss'!$B$54+B70*'Power Loss'!$B$80*'Power Loss'!$B$66*10^(-6)*'Power Loss'!$B$71+'Power Loss'!$B$80*'Power Loss'!$B$81*0.001</f>
        <v>3.2199999999999999E-2</v>
      </c>
      <c r="G39" s="105">
        <f t="shared" si="3"/>
        <v>8.3589879309031112E-2</v>
      </c>
      <c r="H39" s="105">
        <f>(0.5*E70/SQRT(3))^2*'Power Loss'!$B$33/'Power Loss'!$B$31/1000</f>
        <v>4.8948418323064929E-5</v>
      </c>
      <c r="I39" s="4"/>
      <c r="J39" s="4"/>
      <c r="K39" s="4"/>
    </row>
    <row r="40" spans="1:23" ht="15" customHeight="1">
      <c r="A40" s="145">
        <f>Imin+(Imax-Imin)*0.95</f>
        <v>1.9000499999999998</v>
      </c>
      <c r="B40" s="147">
        <f>SUM(D40:H40)</f>
        <v>0.97617320204634817</v>
      </c>
      <c r="C40" s="148">
        <f>Vout*A40/(Vout*A40+B40)*100</f>
        <v>86.528738035292378</v>
      </c>
      <c r="D40" s="105">
        <f>F71^2*Ron_u/'Power Loss'!$B$54/1000+Vin*(A40-0.5*E71)*'Power Loss'!$B$52*10^(-9)*B71*10^(3)/2+Vin*(A40+0.5*E71)*'Power Loss'!$B$53*10^(-9)*Fs*10^(3)/2+Vin*B71*10^3*'Power Loss'!$B$48*10^(-9)*'Power Loss'!$B$54+0.5*'Power Loss'!$B$51*10^(-9)*Vin^2*B71*10^3*'Power Loss'!$B$54</f>
        <v>0.50250402747545919</v>
      </c>
      <c r="E40" s="105">
        <f>G71^2*'Power Loss'!$B$63/1000/'Power Loss'!$B$71+'Power Loss'!$B$64*B71*10^(-6)*((A40+0.5*E71)*'Power Loss'!$B$69+(A40-0.5*E71)*'Power Loss'!$B$70)+0.5*'Power Loss'!$B$65*Vin* B71*10^(-6)*'Power Loss'!$B$71+'Power Loss'!$B$68*10^(-9)*'Power Loss'!$B$71*Vin^2*B71*1000/2</f>
        <v>0.34856438883213414</v>
      </c>
      <c r="F40" s="105">
        <f>B71*'Power Loss'!$B$79*'Power Loss'!$B$49*10^(-6)*'Power Loss'!$B$54+B71*'Power Loss'!$B$80*'Power Loss'!$B$66*10^(-6)*'Power Loss'!$B$71+'Power Loss'!$B$80*'Power Loss'!$B$81*0.001</f>
        <v>3.2199999999999999E-2</v>
      </c>
      <c r="G40" s="105">
        <f t="shared" si="3"/>
        <v>9.2855489187250367E-2</v>
      </c>
      <c r="H40" s="105">
        <f>(0.5*E71/SQRT(3))^2*'Power Loss'!$B$33/'Power Loss'!$B$31/1000</f>
        <v>4.929655150448204E-5</v>
      </c>
      <c r="I40" s="4"/>
      <c r="J40" s="4"/>
      <c r="K40" s="4"/>
    </row>
    <row r="41" spans="1:23" ht="14.25" customHeight="1">
      <c r="A41" s="145">
        <f>Imin+(Imax-Imin)*1</f>
        <v>2</v>
      </c>
      <c r="B41" s="147">
        <f>SUM(D41:H41)</f>
        <v>1.0436537467045002</v>
      </c>
      <c r="C41" s="148">
        <f>Vout*A41/(Vout*A41+B41)*100</f>
        <v>86.346140454694691</v>
      </c>
      <c r="D41" s="105">
        <f>F72^2*Ron_u/'Power Loss'!$B$54/1000+Vin*(A41-0.5*E72)*'Power Loss'!$B$52*10^(-9)*B72*10^(3)/2+Vin*(A41+0.5*E72)*'Power Loss'!$B$53*10^(-9)*Fs*10^(3)/2+Vin*B72*10^3*'Power Loss'!$B$48*10^(-9)*'Power Loss'!$B$54+0.5*'Power Loss'!$B$51*10^(-9)*Vin^2*B72*10^3*'Power Loss'!$B$54</f>
        <v>0.52507328572078626</v>
      </c>
      <c r="E41" s="105">
        <f>G72^2*'Power Loss'!$B$63/1000/'Power Loss'!$B$71+'Power Loss'!$B$64*B72*10^(-6)*((A41+0.5*E72)*'Power Loss'!$B$69+(A41-0.5*E72)*'Power Loss'!$B$70)+0.5*'Power Loss'!$B$65*Vin* B72*10^(-6)*'Power Loss'!$B$71+'Power Loss'!$B$68*10^(-9)*'Power Loss'!$B$71*Vin^2*B72*1000/2</f>
        <v>0.38411537247527239</v>
      </c>
      <c r="F41" s="105">
        <f>B72*'Power Loss'!$B$79*'Power Loss'!$B$49*10^(-6)*'Power Loss'!$B$54+B72*'Power Loss'!$B$80*'Power Loss'!$B$66*10^(-6)*'Power Loss'!$B$71+'Power Loss'!$B$80*'Power Loss'!$B$81*0.001</f>
        <v>3.2199999999999999E-2</v>
      </c>
      <c r="G41" s="105">
        <f t="shared" si="3"/>
        <v>0.10222246104845005</v>
      </c>
      <c r="H41" s="105">
        <f>(0.5*E72/SQRT(3))^2*'Power Loss'!$B$33/'Power Loss'!$B$31/1000</f>
        <v>4.2627459991349478E-5</v>
      </c>
    </row>
    <row r="42" spans="1:23" ht="13" customHeight="1">
      <c r="A42" s="149"/>
      <c r="B42" s="149"/>
      <c r="C42" s="149"/>
      <c r="D42" s="149"/>
      <c r="E42" s="149"/>
      <c r="F42" s="149"/>
      <c r="G42" s="149"/>
      <c r="H42" s="19"/>
      <c r="I42" s="122"/>
      <c r="J42" s="122"/>
      <c r="K42" s="122"/>
      <c r="L42" s="122"/>
      <c r="M42" s="122"/>
      <c r="N42" s="122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3" customHeight="1">
      <c r="A43" s="149" t="s">
        <v>261</v>
      </c>
      <c r="B43" s="149" t="s">
        <v>262</v>
      </c>
      <c r="C43" s="149" t="s">
        <v>263</v>
      </c>
      <c r="D43" s="149" t="s">
        <v>116</v>
      </c>
      <c r="E43" s="149" t="s">
        <v>117</v>
      </c>
      <c r="F43" s="149" t="s">
        <v>118</v>
      </c>
      <c r="G43" s="149" t="s">
        <v>119</v>
      </c>
      <c r="H43" s="19"/>
      <c r="I43" s="108"/>
      <c r="J43" s="108"/>
      <c r="K43" s="108"/>
      <c r="L43" s="108"/>
      <c r="M43" s="122"/>
      <c r="N43" s="122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3" customHeight="1">
      <c r="A44" s="149">
        <f>IF(OR('Power Loss'!$B$17="AP63201",'Power Loss'!$B$17="AP63301"), 0, IF(A13&gt;$E$9, 0, 2/((Vin-Vout)*Vout/(2*Vin*Lout*0.000001*($E$9-A13)))))</f>
        <v>1.8068129571577843E-6</v>
      </c>
      <c r="B44" s="146">
        <f t="shared" ref="B44:B72" si="6">1/(1000/(Fs*1000)+A44*1000)</f>
        <v>368.20154513835456</v>
      </c>
      <c r="C44" s="145">
        <f>Imin</f>
        <v>1E-3</v>
      </c>
      <c r="D44" s="149">
        <f t="shared" ref="D44:D53" si="7">Vout/Vin*(1+(Ron_l+DCR)/1000*A13/Vout)/(1-A13*(Ron_u-Ron_l)/1000/Vin)</f>
        <v>0.27501026034550841</v>
      </c>
      <c r="E44" s="149">
        <f t="shared" ref="E44:E54" si="8">(Vin-Vout)/Lout/10^(-6)*D44/Fs/10^3</f>
        <v>0.31986487500079186</v>
      </c>
      <c r="F44" s="149">
        <f>A13*SQRT(D44)*SQRT(1+1/3*(E44/2/A13)^2)</f>
        <v>4.84256930054325E-2</v>
      </c>
      <c r="G44" s="149">
        <f>A13*SQRT(1-D44)*SQRT(1+1/3*(E44/2/A13)^2)</f>
        <v>7.8626207114525684E-2</v>
      </c>
      <c r="H44" s="19"/>
      <c r="I44" s="108"/>
      <c r="J44" s="123" t="s">
        <v>120</v>
      </c>
      <c r="K44" s="108">
        <v>1</v>
      </c>
      <c r="L44" s="108" t="s">
        <v>5</v>
      </c>
      <c r="M44" s="122"/>
      <c r="N44" s="122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3" customHeight="1">
      <c r="A45" s="149">
        <f>IF(OR('Power Loss'!$B$17="AP63201",'Power Loss'!$B$17="AP63301"), 0, IF(A14&gt;$E$9, 0, 2/((Vin-Vout)*Vout/(2*Vin*Lout*0.000001*($E$9-A14)))))</f>
        <v>1.7840866039707415E-6</v>
      </c>
      <c r="B45" s="146">
        <f t="shared" si="6"/>
        <v>371.30861042396822</v>
      </c>
      <c r="C45" s="145">
        <f>Imin+(Imax-Imin)*0.001</f>
        <v>2.9990000000000004E-3</v>
      </c>
      <c r="D45" s="149">
        <f t="shared" si="7"/>
        <v>0.27503077108772606</v>
      </c>
      <c r="E45" s="149">
        <f t="shared" si="8"/>
        <v>0.31988873107797017</v>
      </c>
      <c r="F45" s="149">
        <f t="shared" ref="F45:F72" si="9">A14*SQRT(D45)*SQRT(1+1/3*(E45/2/A14)^2)</f>
        <v>4.8453803056182361E-2</v>
      </c>
      <c r="G45" s="149">
        <f t="shared" ref="G45:G72" si="10">A14*SQRT(1-D45)*SQRT(1+1/3*(E45/2/A14)^2)</f>
        <v>7.8667801500670237E-2</v>
      </c>
      <c r="H45" s="19"/>
      <c r="I45" s="108"/>
      <c r="J45" s="123" t="s">
        <v>121</v>
      </c>
      <c r="K45" s="108">
        <v>5</v>
      </c>
      <c r="L45" s="108" t="s">
        <v>122</v>
      </c>
      <c r="M45" s="122"/>
      <c r="N45" s="122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3" customHeight="1">
      <c r="A46" s="149">
        <f>IF(OR('Power Loss'!$B$17="AP63201",'Power Loss'!$B$17="AP63301"), 0, IF(A15&gt;$E$9, 0, 2/((Vin-Vout)*Vout/(2*Vin*Lout*0.000001*($E$9-A15)))))</f>
        <v>1.7613602507836988E-6</v>
      </c>
      <c r="B46" s="146">
        <f t="shared" si="6"/>
        <v>374.46855985449122</v>
      </c>
      <c r="C46" s="145">
        <f>Imin+(Imax-Imin)*0.002</f>
        <v>4.9980000000000007E-3</v>
      </c>
      <c r="D46" s="149">
        <f t="shared" si="7"/>
        <v>0.27505128224527975</v>
      </c>
      <c r="E46" s="149">
        <f t="shared" si="8"/>
        <v>0.31991258763822644</v>
      </c>
      <c r="F46" s="149">
        <f t="shared" si="9"/>
        <v>4.850456623223609E-2</v>
      </c>
      <c r="G46" s="149">
        <f t="shared" si="10"/>
        <v>7.8746168389779117E-2</v>
      </c>
      <c r="H46" s="19"/>
      <c r="I46" s="108"/>
      <c r="J46" s="108" t="s">
        <v>86</v>
      </c>
      <c r="K46" s="108">
        <v>80</v>
      </c>
      <c r="L46" s="108" t="s">
        <v>123</v>
      </c>
      <c r="M46" s="122"/>
      <c r="N46" s="122"/>
      <c r="O46" s="19"/>
      <c r="P46" s="19"/>
      <c r="Q46" s="19"/>
      <c r="R46" s="19"/>
      <c r="S46" s="19"/>
      <c r="T46" s="19"/>
      <c r="U46" s="19"/>
      <c r="V46" s="19"/>
      <c r="W46" s="19"/>
    </row>
    <row r="47" spans="1:23" s="43" customFormat="1" ht="13" customHeight="1">
      <c r="A47" s="149">
        <f>IF(OR('Power Loss'!$B$17="AP63201",'Power Loss'!$B$17="AP63301"), 0, IF(A16&gt;$E$9, 0, 2/((Vin-Vout)*Vout/(2*Vin*Lout*0.000001*($E$9-A16)))))</f>
        <v>1.7159075444096131E-6</v>
      </c>
      <c r="B47" s="146">
        <f t="shared" si="6"/>
        <v>380.95260538781156</v>
      </c>
      <c r="C47" s="145">
        <f>Imin+(Imax-Imin)*0.004</f>
        <v>8.9960000000000005E-3</v>
      </c>
      <c r="D47" s="149">
        <f t="shared" si="7"/>
        <v>0.27509230580644556</v>
      </c>
      <c r="E47" s="149">
        <f t="shared" si="8"/>
        <v>0.31996030220803157</v>
      </c>
      <c r="F47" s="149">
        <f t="shared" si="9"/>
        <v>4.8673757034163587E-2</v>
      </c>
      <c r="G47" s="149">
        <f t="shared" si="10"/>
        <v>7.9012718224771364E-2</v>
      </c>
      <c r="H47" s="19"/>
      <c r="I47" s="122"/>
      <c r="J47" s="122"/>
      <c r="K47" s="122"/>
      <c r="L47" s="122"/>
      <c r="M47" s="122"/>
      <c r="N47" s="122"/>
      <c r="O47" s="18"/>
      <c r="P47" s="18"/>
      <c r="Q47" s="18"/>
      <c r="R47" s="18"/>
      <c r="S47" s="18"/>
      <c r="T47" s="18"/>
      <c r="U47" s="18"/>
      <c r="V47" s="18"/>
      <c r="W47" s="18"/>
    </row>
    <row r="48" spans="1:23" s="43" customFormat="1" ht="13" customHeight="1">
      <c r="A48" s="149">
        <f>IF(OR('Power Loss'!$B$17="AP63201",'Power Loss'!$B$17="AP63301"), 0, IF(A17&gt;$E$9, 0, 2/((Vin-Vout)*Vout/(2*Vin*Lout*0.000001*($E$9-A17)))))</f>
        <v>1.6704548380355275E-6</v>
      </c>
      <c r="B48" s="146">
        <f t="shared" si="6"/>
        <v>387.66515426756064</v>
      </c>
      <c r="C48" s="145">
        <f>Imin+(Imax-Imin)*0.006</f>
        <v>1.2994000000000002E-2</v>
      </c>
      <c r="D48" s="149">
        <f t="shared" si="7"/>
        <v>0.27513333102910686</v>
      </c>
      <c r="E48" s="149">
        <f t="shared" si="8"/>
        <v>0.32000801871032486</v>
      </c>
      <c r="F48" s="149">
        <f t="shared" si="9"/>
        <v>4.8932368766261725E-2</v>
      </c>
      <c r="G48" s="149">
        <f t="shared" si="10"/>
        <v>7.9424356000945176E-2</v>
      </c>
      <c r="H48" s="19"/>
      <c r="I48" s="122" t="s">
        <v>124</v>
      </c>
      <c r="J48" s="122"/>
      <c r="K48" s="122"/>
      <c r="L48" s="122"/>
      <c r="M48" s="122"/>
      <c r="N48" s="122"/>
      <c r="O48" s="18"/>
      <c r="P48" s="18"/>
      <c r="Q48" s="18"/>
      <c r="R48" s="18"/>
      <c r="S48" s="18"/>
      <c r="T48" s="18"/>
      <c r="U48" s="18"/>
      <c r="V48" s="18"/>
      <c r="W48" s="18"/>
    </row>
    <row r="49" spans="1:23" s="43" customFormat="1" ht="13" customHeight="1">
      <c r="A49" s="149">
        <f>IF(OR('Power Loss'!$B$17="AP63201",'Power Loss'!$B$17="AP63301"), 0, IF(A18&gt;$E$9, 0, 2/((Vin-Vout)*Vout/(2*Vin*Lout*0.000001*($E$9-A18)))))</f>
        <v>1.6250021316614418E-6</v>
      </c>
      <c r="B49" s="146">
        <f t="shared" si="6"/>
        <v>394.61850213009882</v>
      </c>
      <c r="C49" s="145">
        <f>Imin+(Imax-Imin)*0.008</f>
        <v>1.6992000000000004E-2</v>
      </c>
      <c r="D49" s="149">
        <f t="shared" si="7"/>
        <v>0.27517435791336464</v>
      </c>
      <c r="E49" s="149">
        <f t="shared" si="8"/>
        <v>0.32005573714522356</v>
      </c>
      <c r="F49" s="149">
        <f t="shared" si="9"/>
        <v>4.9279033555426101E-2</v>
      </c>
      <c r="G49" s="149">
        <f t="shared" si="10"/>
        <v>7.997881691927905E-2</v>
      </c>
      <c r="H49" s="19"/>
      <c r="I49" s="122" t="s">
        <v>125</v>
      </c>
      <c r="J49" s="122"/>
      <c r="K49" s="122"/>
      <c r="L49" s="122"/>
      <c r="M49" s="122"/>
      <c r="N49" s="122"/>
      <c r="O49" s="18"/>
      <c r="P49" s="18"/>
      <c r="Q49" s="18"/>
      <c r="R49" s="18"/>
      <c r="S49" s="18"/>
      <c r="T49" s="18"/>
      <c r="U49" s="18"/>
      <c r="V49" s="18"/>
      <c r="W49" s="18"/>
    </row>
    <row r="50" spans="1:23" s="43" customFormat="1" ht="13" customHeight="1">
      <c r="A50" s="149">
        <f>IF(OR('Power Loss'!$B$17="AP63201",'Power Loss'!$B$17="AP63301"), 0, IF(A19&gt;$E$9, 0, 2/((Vin-Vout)*Vout/(2*Vin*Lout*0.000001*($E$9-A19)))))</f>
        <v>1.579549425287356E-6</v>
      </c>
      <c r="B50" s="146">
        <f t="shared" si="6"/>
        <v>401.82584288533974</v>
      </c>
      <c r="C50" s="145">
        <f>Imin+(Imax-Imin)*0.01</f>
        <v>2.0990000000000002E-2</v>
      </c>
      <c r="D50" s="149">
        <f t="shared" si="7"/>
        <v>0.27521538645931981</v>
      </c>
      <c r="E50" s="149">
        <f t="shared" si="8"/>
        <v>0.32010345751284525</v>
      </c>
      <c r="F50" s="149">
        <f t="shared" si="9"/>
        <v>4.9711948909565415E-2</v>
      </c>
      <c r="G50" s="149">
        <f t="shared" si="10"/>
        <v>8.0673131803093212E-2</v>
      </c>
      <c r="H50" s="19"/>
      <c r="I50" s="106" t="s">
        <v>127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 s="43" customFormat="1" ht="13" customHeight="1">
      <c r="A51" s="149">
        <f>IF(OR('Power Loss'!$B$17="AP63201",'Power Loss'!$B$17="AP63301"), 0, IF(A20&gt;$E$9, 0, 2/((Vin-Vout)*Vout/(2*Vin*Lout*0.000001*($E$9-A20)))))</f>
        <v>1.3522858934169277E-6</v>
      </c>
      <c r="B51" s="146">
        <f t="shared" si="6"/>
        <v>442.20848064374468</v>
      </c>
      <c r="C51" s="145">
        <f>Imin+(Imax-Imin)*0.02</f>
        <v>4.0980000000000003E-2</v>
      </c>
      <c r="D51" s="149">
        <f t="shared" si="7"/>
        <v>0.27542055411809024</v>
      </c>
      <c r="E51" s="149">
        <f t="shared" si="8"/>
        <v>0.32034208834590716</v>
      </c>
      <c r="F51" s="149">
        <f t="shared" si="9"/>
        <v>5.3083080370424245E-2</v>
      </c>
      <c r="G51" s="149">
        <f t="shared" si="10"/>
        <v>8.6099563155329073E-2</v>
      </c>
      <c r="H51" s="19"/>
      <c r="I51" s="106" t="s">
        <v>128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 s="43" customFormat="1" ht="13" customHeight="1">
      <c r="A52" s="149">
        <f>IF(OR('Power Loss'!$B$17="AP63201",'Power Loss'!$B$17="AP63301"), 0, IF(A21&gt;$E$9, 0, 2/((Vin-Vout)*Vout/(2*Vin*Lout*0.000001*($E$9-A21)))))</f>
        <v>8.9775882967607084E-7</v>
      </c>
      <c r="B52" s="146">
        <f t="shared" si="6"/>
        <v>553.44945323589229</v>
      </c>
      <c r="C52" s="145">
        <f>Imin+(Imax-Imin)*0.04</f>
        <v>8.0960000000000004E-2</v>
      </c>
      <c r="D52" s="149">
        <f t="shared" si="7"/>
        <v>0.27583101412100436</v>
      </c>
      <c r="E52" s="149">
        <f t="shared" si="8"/>
        <v>0.32081949503378854</v>
      </c>
      <c r="F52" s="149">
        <f t="shared" si="9"/>
        <v>6.460471612046545E-2</v>
      </c>
      <c r="G52" s="149">
        <f t="shared" si="10"/>
        <v>0.1046797399427033</v>
      </c>
      <c r="H52" s="19"/>
      <c r="I52" s="18" t="s">
        <v>129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1:23" s="43" customFormat="1" ht="13" customHeight="1">
      <c r="A53" s="149">
        <f>IF(OR('Power Loss'!$B$17="AP63201",'Power Loss'!$B$17="AP63301"), 0, IF(A22&gt;$E$9, 0, 2/((Vin-Vout)*Vout/(2*Vin*Lout*0.000001*($E$9-A22)))))</f>
        <v>4.4323176593521398E-7</v>
      </c>
      <c r="B53" s="146">
        <f t="shared" si="6"/>
        <v>739.4684851976491</v>
      </c>
      <c r="C53" s="145">
        <f>Imin+(Imax-Imin)*0.06</f>
        <v>0.12094000000000001</v>
      </c>
      <c r="D53" s="149">
        <f t="shared" si="7"/>
        <v>0.27624164045529359</v>
      </c>
      <c r="E53" s="149">
        <f t="shared" si="8"/>
        <v>0.32129709518195915</v>
      </c>
      <c r="F53" s="149">
        <f t="shared" si="9"/>
        <v>8.0105271424883231E-2</v>
      </c>
      <c r="G53" s="149">
        <f t="shared" si="10"/>
        <v>0.12966218044458014</v>
      </c>
      <c r="H53" s="19"/>
      <c r="I53" s="18" t="s">
        <v>129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 s="43" customFormat="1" ht="13" customHeight="1">
      <c r="A54" s="149">
        <f>IF(OR('Power Loss'!$B$17="AP63201",'Power Loss'!$B$17="AP63301"), 0, IF(A23&gt;$E$9, 0, 2/((Vin-Vout)*Vout/(2*Vin*Lout*0.000001*($E$9-A23)))))</f>
        <v>0</v>
      </c>
      <c r="B54" s="146">
        <f t="shared" si="6"/>
        <v>1100</v>
      </c>
      <c r="C54" s="145">
        <f>Imin+(Imax-Imin)*0.08</f>
        <v>0.16092000000000001</v>
      </c>
      <c r="D54" s="149">
        <f t="shared" ref="D54:D72" si="11">Vout/Vin*(1+(Ron_l+DCR)/1000*A24/Vout)/(1-A24*(Ron_u-Ron_l)/1000/Vin)</f>
        <v>0.27706339252257722</v>
      </c>
      <c r="E54" s="149">
        <f t="shared" si="8"/>
        <v>0.32225287632973554</v>
      </c>
      <c r="F54" s="149">
        <f t="shared" si="9"/>
        <v>9.7838164310322162E-2</v>
      </c>
      <c r="G54" s="149">
        <f t="shared" si="10"/>
        <v>0.15804065836450251</v>
      </c>
      <c r="H54" s="19"/>
      <c r="I54" s="18" t="s">
        <v>131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3" s="43" customFormat="1" ht="13" customHeight="1">
      <c r="A55" s="149">
        <f>IF(OR('Power Loss'!$B$17="AP63201",'Power Loss'!$B$17="AP63301"), 0, IF(A24&gt;$E$9, 0, 2/((Vin-Vout)*Vout/(2*Vin*Lout*0.000001*($E$9-A24)))))</f>
        <v>0</v>
      </c>
      <c r="B55" s="146">
        <f t="shared" si="6"/>
        <v>1100</v>
      </c>
      <c r="C55" s="145">
        <f>Imin+(Imax-Imin)*0.1</f>
        <v>0.20090000000000002</v>
      </c>
      <c r="D55" s="149">
        <f t="shared" si="11"/>
        <v>0.27809152002368831</v>
      </c>
      <c r="E55" s="149">
        <f t="shared" ref="E55:E71" si="12">(Vin-Vout)/Lout/10^(-6)*D55/Fs/10^3</f>
        <v>0.3234486930756803</v>
      </c>
      <c r="F55" s="149">
        <f t="shared" si="9"/>
        <v>0.11682667383299955</v>
      </c>
      <c r="G55" s="149">
        <f t="shared" si="10"/>
        <v>0.1882301597392983</v>
      </c>
      <c r="H55" s="19"/>
      <c r="I55" s="18" t="s">
        <v>133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1:23" s="43" customFormat="1" ht="13" customHeight="1">
      <c r="A56" s="149">
        <f>IF(OR('Power Loss'!$B$17="AP63201",'Power Loss'!$B$17="AP63301"), 0, IF(A25&gt;$E$9, 0, 2/((Vin-Vout)*Vout/(2*Vin*Lout*0.000001*($E$9-A25)))))</f>
        <v>0</v>
      </c>
      <c r="B56" s="146">
        <f t="shared" si="6"/>
        <v>1100</v>
      </c>
      <c r="C56" s="145">
        <f>Imin+(Imax-Imin)*0.15</f>
        <v>0.30085000000000001</v>
      </c>
      <c r="D56" s="149">
        <f t="shared" si="11"/>
        <v>0.27912069057862526</v>
      </c>
      <c r="E56" s="149">
        <f t="shared" si="12"/>
        <v>0.32464572299920319</v>
      </c>
      <c r="F56" s="149">
        <f t="shared" si="9"/>
        <v>0.166477943102666</v>
      </c>
      <c r="G56" s="149">
        <f t="shared" si="10"/>
        <v>0.26754199810268747</v>
      </c>
      <c r="H56" s="19"/>
      <c r="I56" s="18" t="s">
        <v>135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1:23" s="43" customFormat="1" ht="13" customHeight="1">
      <c r="A57" s="149">
        <f>IF(OR('Power Loss'!$B$17="AP63201",'Power Loss'!$B$17="AP63301"), 0, IF(A26&gt;$E$9, 0, 2/((Vin-Vout)*Vout/(2*Vin*Lout*0.000001*($E$9-A26)))))</f>
        <v>0</v>
      </c>
      <c r="B57" s="146">
        <f t="shared" si="6"/>
        <v>1100</v>
      </c>
      <c r="C57" s="145">
        <f>Imin+(Imax-Imin)*0.2</f>
        <v>0.40080000000000005</v>
      </c>
      <c r="D57" s="149">
        <f t="shared" si="11"/>
        <v>0.28015090577548901</v>
      </c>
      <c r="E57" s="149">
        <f t="shared" si="12"/>
        <v>0.32584396794742709</v>
      </c>
      <c r="F57" s="149">
        <f t="shared" si="9"/>
        <v>0.21790446559662369</v>
      </c>
      <c r="G57" s="149">
        <f t="shared" si="10"/>
        <v>0.34929377534346873</v>
      </c>
      <c r="H57" s="19"/>
      <c r="I57" s="18" t="s">
        <v>137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1:23" s="43" customFormat="1" ht="13" customHeight="1">
      <c r="A58" s="149">
        <f>IF(OR('Power Loss'!$B$17="AP63201",'Power Loss'!$B$17="AP63301"), 0, IF(A27&gt;$E$9, 0, 2/((Vin-Vout)*Vout/(2*Vin*Lout*0.000001*($E$9-A27)))))</f>
        <v>0</v>
      </c>
      <c r="B58" s="146">
        <f t="shared" si="6"/>
        <v>1100</v>
      </c>
      <c r="C58" s="145">
        <f>Imin+(Imax-Imin)*0.25</f>
        <v>0.50075000000000003</v>
      </c>
      <c r="D58" s="149">
        <f t="shared" si="11"/>
        <v>0.28221447646353631</v>
      </c>
      <c r="E58" s="149">
        <f t="shared" si="12"/>
        <v>0.32824411032523609</v>
      </c>
      <c r="F58" s="149">
        <f t="shared" si="9"/>
        <v>0.27073853261068415</v>
      </c>
      <c r="G58" s="149">
        <f t="shared" si="10"/>
        <v>0.43177528004362103</v>
      </c>
      <c r="H58" s="19"/>
      <c r="I58" s="18" t="s">
        <v>139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1:23" s="43" customFormat="1" ht="13" customHeight="1">
      <c r="A59" s="149">
        <f>IF(OR('Power Loss'!$B$17="AP63201",'Power Loss'!$B$17="AP63301"), 0, IF(A28&gt;$E$9, 0, 2/((Vin-Vout)*Vout/(2*Vin*Lout*0.000001*($E$9-A28)))))</f>
        <v>0</v>
      </c>
      <c r="B59" s="146">
        <f t="shared" si="6"/>
        <v>1100</v>
      </c>
      <c r="C59" s="145">
        <f>Imin+(Imax-Imin)*0.35</f>
        <v>0.70065</v>
      </c>
      <c r="D59" s="149">
        <f t="shared" si="11"/>
        <v>0.28324783514708235</v>
      </c>
      <c r="E59" s="149">
        <f t="shared" si="12"/>
        <v>0.32944601146786318</v>
      </c>
      <c r="F59" s="149">
        <f t="shared" si="9"/>
        <v>0.37631258999597933</v>
      </c>
      <c r="G59" s="149">
        <f t="shared" si="10"/>
        <v>0.59861825341073982</v>
      </c>
      <c r="H59" s="19"/>
      <c r="I59" s="18" t="s">
        <v>141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1:23" s="43" customFormat="1" ht="13" customHeight="1">
      <c r="A60" s="149">
        <f>IF(OR('Power Loss'!$B$17="AP63201",'Power Loss'!$B$17="AP63301"), 0, IF(A29&gt;$E$9, 0, 2/((Vin-Vout)*Vout/(2*Vin*Lout*0.000001*($E$9-A29)))))</f>
        <v>0</v>
      </c>
      <c r="B60" s="146">
        <f t="shared" si="6"/>
        <v>1100</v>
      </c>
      <c r="C60" s="145">
        <f>Imin+(Imax-Imin)*0.4</f>
        <v>0.80060000000000009</v>
      </c>
      <c r="D60" s="149">
        <f t="shared" si="11"/>
        <v>0.28428224485729647</v>
      </c>
      <c r="E60" s="149">
        <f t="shared" si="12"/>
        <v>0.33064913506129401</v>
      </c>
      <c r="F60" s="149">
        <f t="shared" si="9"/>
        <v>0.42988797485669344</v>
      </c>
      <c r="G60" s="149">
        <f t="shared" si="10"/>
        <v>0.6821051433735682</v>
      </c>
      <c r="H60" s="19"/>
      <c r="I60" s="18" t="s">
        <v>143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1:23" s="43" customFormat="1" ht="13" customHeight="1">
      <c r="A61" s="149">
        <f>IF(OR('Power Loss'!$B$17="AP63201",'Power Loss'!$B$17="AP63301"), 0, IF(A30&gt;$E$9, 0, 2/((Vin-Vout)*Vout/(2*Vin*Lout*0.000001*($E$9-A30)))))</f>
        <v>0</v>
      </c>
      <c r="B61" s="146">
        <f t="shared" si="6"/>
        <v>1100</v>
      </c>
      <c r="C61" s="145">
        <f>Imin+(Imax-Imin)*0.45</f>
        <v>0.90055000000000007</v>
      </c>
      <c r="D61" s="149">
        <f t="shared" si="11"/>
        <v>0.28531770719848976</v>
      </c>
      <c r="E61" s="149">
        <f t="shared" si="12"/>
        <v>0.33185348297150546</v>
      </c>
      <c r="F61" s="149">
        <f t="shared" si="9"/>
        <v>0.48374406381594626</v>
      </c>
      <c r="G61" s="149">
        <f t="shared" si="10"/>
        <v>0.76561035198691452</v>
      </c>
      <c r="H61" s="19"/>
      <c r="I61" s="18" t="s">
        <v>145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1:23" s="43" customFormat="1" ht="13" customHeight="1">
      <c r="A62" s="149">
        <f>IF(OR('Power Loss'!$B$17="AP63201",'Power Loss'!$B$17="AP63301"), 0, IF(A31&gt;$E$9, 0, 2/((Vin-Vout)*Vout/(2*Vin*Lout*0.000001*($E$9-A31)))))</f>
        <v>0</v>
      </c>
      <c r="B62" s="146">
        <f t="shared" si="6"/>
        <v>1100</v>
      </c>
      <c r="C62" s="145">
        <f>Imin+(Imax-Imin)*0.5</f>
        <v>1.0004999999999999</v>
      </c>
      <c r="D62" s="149">
        <f t="shared" si="11"/>
        <v>0.28635422377823977</v>
      </c>
      <c r="E62" s="149">
        <f t="shared" si="12"/>
        <v>0.33305905706827355</v>
      </c>
      <c r="F62" s="149">
        <f t="shared" si="9"/>
        <v>0.53785473507356285</v>
      </c>
      <c r="G62" s="149">
        <f t="shared" si="10"/>
        <v>0.84909160984953891</v>
      </c>
      <c r="H62" s="19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1:23" s="43" customFormat="1" ht="13" customHeight="1">
      <c r="A63" s="149">
        <f>IF(OR('Power Loss'!$B$17="AP63201",'Power Loss'!$B$17="AP63301"), 0, IF(A32&gt;$E$9, 0, 2/((Vin-Vout)*Vout/(2*Vin*Lout*0.000001*($E$9-A32)))))</f>
        <v>0</v>
      </c>
      <c r="B63" s="146">
        <f t="shared" si="6"/>
        <v>1100</v>
      </c>
      <c r="C63" s="145">
        <f>Imin+(Imax-Imin)*0.55</f>
        <v>1.1004499999999999</v>
      </c>
      <c r="D63" s="149">
        <f t="shared" si="11"/>
        <v>0.28739179620739969</v>
      </c>
      <c r="E63" s="149">
        <f t="shared" si="12"/>
        <v>0.33426585922518409</v>
      </c>
      <c r="F63" s="149">
        <f t="shared" si="9"/>
        <v>0.59220316983920296</v>
      </c>
      <c r="G63" s="149">
        <f t="shared" si="10"/>
        <v>0.93252171387732086</v>
      </c>
      <c r="H63" s="19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s="43" customFormat="1" ht="13" customHeight="1">
      <c r="A64" s="149">
        <f>IF(OR('Power Loss'!$B$17="AP63201",'Power Loss'!$B$17="AP63301"), 0, IF(A33&gt;$E$9, 0, 2/((Vin-Vout)*Vout/(2*Vin*Lout*0.000001*($E$9-A33)))))</f>
        <v>0</v>
      </c>
      <c r="B64" s="146">
        <f t="shared" si="6"/>
        <v>1100</v>
      </c>
      <c r="C64" s="145">
        <f>Imin+(Imax-Imin)*0.6</f>
        <v>1.2003999999999999</v>
      </c>
      <c r="D64" s="149">
        <f t="shared" si="11"/>
        <v>0.28843042610010566</v>
      </c>
      <c r="E64" s="149">
        <f t="shared" si="12"/>
        <v>0.33547389131964162</v>
      </c>
      <c r="F64" s="149">
        <f t="shared" si="9"/>
        <v>0.64677802628233672</v>
      </c>
      <c r="G64" s="149">
        <f t="shared" si="10"/>
        <v>1.0158823286670988</v>
      </c>
      <c r="H64" s="19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1:30" s="43" customFormat="1" ht="13" customHeight="1">
      <c r="A65" s="149">
        <f>IF(OR('Power Loss'!$B$17="AP63201",'Power Loss'!$B$17="AP63301"), 0, IF(A34&gt;$E$9, 0, 2/((Vin-Vout)*Vout/(2*Vin*Lout*0.000001*($E$9-A34)))))</f>
        <v>0</v>
      </c>
      <c r="B65" s="146">
        <f t="shared" si="6"/>
        <v>1100</v>
      </c>
      <c r="C65" s="145">
        <f>Imin+(Imax-Imin)*0.65</f>
        <v>1.3003499999999999</v>
      </c>
      <c r="D65" s="149">
        <f t="shared" si="11"/>
        <v>0.28947011507378606</v>
      </c>
      <c r="E65" s="149">
        <f t="shared" si="12"/>
        <v>0.33668315523287951</v>
      </c>
      <c r="F65" s="149">
        <f t="shared" si="9"/>
        <v>0.70157135632055045</v>
      </c>
      <c r="G65" s="149">
        <f t="shared" si="10"/>
        <v>1.0991606115920185</v>
      </c>
      <c r="H65" s="19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30" s="43" customFormat="1" ht="13" customHeight="1">
      <c r="A66" s="149">
        <f>IF(OR('Power Loss'!$B$17="AP63201",'Power Loss'!$B$17="AP63301"), 0, IF(A35&gt;$E$9, 0, 2/((Vin-Vout)*Vout/(2*Vin*Lout*0.000001*($E$9-A35)))))</f>
        <v>0</v>
      </c>
      <c r="B66" s="146">
        <f t="shared" si="6"/>
        <v>1100</v>
      </c>
      <c r="C66" s="145">
        <f>Imin+(Imax-Imin)*0.7</f>
        <v>1.4002999999999999</v>
      </c>
      <c r="D66" s="149">
        <f t="shared" si="11"/>
        <v>0.2905108647491691</v>
      </c>
      <c r="E66" s="149">
        <f t="shared" si="12"/>
        <v>0.33789365284996942</v>
      </c>
      <c r="F66" s="149">
        <f t="shared" si="9"/>
        <v>0.75657740536274931</v>
      </c>
      <c r="G66" s="149">
        <f t="shared" si="10"/>
        <v>1.1823472683949194</v>
      </c>
      <c r="H66" s="19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44"/>
      <c r="Y66" s="44"/>
      <c r="Z66" s="44"/>
      <c r="AA66" s="44"/>
      <c r="AB66" s="44"/>
      <c r="AC66" s="44"/>
      <c r="AD66" s="44"/>
    </row>
    <row r="67" spans="1:30" s="43" customFormat="1" ht="13" customHeight="1">
      <c r="A67" s="149">
        <f>IF(OR('Power Loss'!$B$17="AP63201",'Power Loss'!$B$17="AP63301"), 0, IF(A36&gt;$E$9, 0, 2/((Vin-Vout)*Vout/(2*Vin*Lout*0.000001*($E$9-A36)))))</f>
        <v>0</v>
      </c>
      <c r="B67" s="146">
        <f t="shared" si="6"/>
        <v>1100</v>
      </c>
      <c r="C67" s="145">
        <f>Imin+(Imax-Imin)*0.75</f>
        <v>1.5002499999999999</v>
      </c>
      <c r="D67" s="149">
        <f t="shared" si="11"/>
        <v>0.29155267675029206</v>
      </c>
      <c r="E67" s="149">
        <f t="shared" si="12"/>
        <v>0.3391053860598317</v>
      </c>
      <c r="F67" s="149">
        <f t="shared" si="9"/>
        <v>0.81179188760444043</v>
      </c>
      <c r="G67" s="149">
        <f t="shared" si="10"/>
        <v>1.2654353792104589</v>
      </c>
      <c r="H67" s="19"/>
      <c r="I67" s="35" t="s">
        <v>130</v>
      </c>
      <c r="J67" s="35" t="s">
        <v>132</v>
      </c>
      <c r="K67" s="35" t="s">
        <v>134</v>
      </c>
      <c r="L67" s="35" t="s">
        <v>136</v>
      </c>
      <c r="M67" s="35" t="s">
        <v>138</v>
      </c>
      <c r="N67" s="35" t="s">
        <v>140</v>
      </c>
      <c r="O67" s="35" t="s">
        <v>142</v>
      </c>
      <c r="P67" s="35" t="s">
        <v>144</v>
      </c>
      <c r="Q67" s="35" t="s">
        <v>41</v>
      </c>
      <c r="R67" s="35"/>
      <c r="S67" s="35"/>
      <c r="T67" s="35"/>
      <c r="U67" s="35"/>
      <c r="V67" s="35"/>
      <c r="W67" s="35"/>
      <c r="X67" s="44"/>
      <c r="Y67" s="44"/>
      <c r="Z67" s="44"/>
      <c r="AA67" s="44"/>
      <c r="AB67" s="44"/>
      <c r="AC67" s="44"/>
      <c r="AD67" s="44"/>
    </row>
    <row r="68" spans="1:30" s="43" customFormat="1" ht="13" customHeight="1">
      <c r="A68" s="149">
        <f>IF(OR('Power Loss'!$B$17="AP63201",'Power Loss'!$B$17="AP63301"), 0, IF(A37&gt;$E$9, 0, 2/((Vin-Vout)*Vout/(2*Vin*Lout*0.000001*($E$9-A37)))))</f>
        <v>0</v>
      </c>
      <c r="B68" s="146">
        <f t="shared" si="6"/>
        <v>1100</v>
      </c>
      <c r="C68" s="145">
        <f>Imin+(Imax-Imin)*0.8</f>
        <v>1.6002000000000001</v>
      </c>
      <c r="D68" s="149">
        <f t="shared" si="11"/>
        <v>0.29259555270450904</v>
      </c>
      <c r="E68" s="149">
        <f t="shared" si="12"/>
        <v>0.34031835675524447</v>
      </c>
      <c r="F68" s="149">
        <f t="shared" si="9"/>
        <v>0.86721153084492464</v>
      </c>
      <c r="G68" s="149">
        <f t="shared" si="10"/>
        <v>1.3484196612201207</v>
      </c>
      <c r="H68" s="19"/>
      <c r="I68" s="35">
        <f>2*Ron_u*0.001*'Efficiency Summary'!B68*'Efficiency Summary'!$B$44*Vout/(3*Vin)</f>
        <v>10557.987535204224</v>
      </c>
      <c r="J68" s="107">
        <f>+B68*(Vout*(Vin-Vout)/('Efficiency Summary'!$B$44*Lout*0.000001))*'Power Loss'!$B$53*0.000000001</f>
        <v>0.1513605176470588</v>
      </c>
      <c r="K68" s="35">
        <f>+'Power Loss'!$B$50*0.000000001*Vin^2*2*'Efficiency Summary'!B68*Vout*(Vin-Vout)/(Lout*0.000001*'Power Loss'!$B$79*'Efficiency Summary'!$B$44^2)</f>
        <v>4.1632076357490841E-4</v>
      </c>
      <c r="L68" s="35">
        <f>2*Ron_l*0.001*'Efficiency Summary'!$B$46*'Efficiency Summary'!$B$44*(Vin-Vout)/(3*Vin)</f>
        <v>5425.2947206405352</v>
      </c>
      <c r="M68" s="35">
        <f>+'Power Loss'!$B$67*0.000000001*Vin^2*2*'Efficiency Summary'!B68*Vout*(Vin-Vout)/(Lout*0.000001*'Power Loss'!$B$79*'Efficiency Summary'!$B$44^2)</f>
        <v>7.2713302326515893E-4</v>
      </c>
      <c r="N68" s="35">
        <f>+$K$44*$K$45*0.000000001*2*B68*Vout*(Vin-Vout)/('Efficiency Summary'!$B$44^2*Lout*0.000001*Vin)</f>
        <v>2.8547264935767396E-5</v>
      </c>
      <c r="O68" s="35">
        <f t="shared" ref="O68" si="13">+ESR*0.001*B68*$B$44/(6*ncap)</f>
        <v>337.51808304349169</v>
      </c>
      <c r="P68" s="35">
        <f t="shared" ref="P68" si="14">+$K$46*0.000001*(1+20*B68)*Vin</f>
        <v>21.120959999999997</v>
      </c>
      <c r="Q68" s="107">
        <f>+B68*Vout*100/(Vout*'Efficiency Summary'!B68+SUM('Efficiency Summary'!G68:P68))</f>
        <v>18.174151401650104</v>
      </c>
      <c r="R68" s="35"/>
      <c r="S68" s="35"/>
      <c r="T68" s="35"/>
      <c r="U68" s="35"/>
      <c r="V68" s="35"/>
      <c r="W68" s="35"/>
      <c r="X68" s="44"/>
      <c r="Y68" s="44"/>
      <c r="Z68" s="44"/>
      <c r="AA68" s="44"/>
      <c r="AB68" s="44"/>
      <c r="AC68" s="44"/>
      <c r="AD68" s="44"/>
    </row>
    <row r="69" spans="1:30" s="43" customFormat="1" ht="13" customHeight="1">
      <c r="A69" s="149">
        <f>IF(OR('Power Loss'!$B$17="AP63201",'Power Loss'!$B$17="AP63301"), 0, IF(A38&gt;$E$9, 0, 2/((Vin-Vout)*Vout/(2*Vin*Lout*0.000001*($E$9-A38)))))</f>
        <v>0</v>
      </c>
      <c r="B69" s="146">
        <f t="shared" si="6"/>
        <v>1100</v>
      </c>
      <c r="C69" s="145">
        <f>Imin+(Imax-Imin)*0.85</f>
        <v>1.7001499999999998</v>
      </c>
      <c r="D69" s="149">
        <f t="shared" si="11"/>
        <v>0.29363949424250002</v>
      </c>
      <c r="E69" s="149">
        <f t="shared" si="12"/>
        <v>0.34153256683285432</v>
      </c>
      <c r="F69" s="149">
        <f t="shared" si="9"/>
        <v>0.92283378078984568</v>
      </c>
      <c r="G69" s="149">
        <f t="shared" si="10"/>
        <v>1.4312959896717399</v>
      </c>
      <c r="H69" s="19"/>
      <c r="I69" s="35">
        <f>2*Ron_u*0.001*'Efficiency Summary'!B69*'Efficiency Summary'!$B$44*Vout/(3*Vin)</f>
        <v>10557.987535204224</v>
      </c>
      <c r="J69" s="107">
        <f>+B69*(Vout*(Vin-Vout)/('Efficiency Summary'!$B$44*Lout*0.000001))*'Power Loss'!$B$53*0.000000001</f>
        <v>0.1513605176470588</v>
      </c>
      <c r="K69" s="35">
        <f>+'Power Loss'!$B$50*0.000000001*Vin^2*2*'Efficiency Summary'!B69*Vout*(Vin-Vout)/(Lout*0.000001*'Power Loss'!$B$79*'Efficiency Summary'!$B$44^2)</f>
        <v>4.1632076357490841E-4</v>
      </c>
      <c r="L69" s="35">
        <f>2*Ron_l*0.001*'Efficiency Summary'!$B$46*'Efficiency Summary'!$B$44*(Vin-Vout)/(3*Vin)</f>
        <v>5425.2947206405352</v>
      </c>
      <c r="M69" s="35">
        <f>+'Power Loss'!$B$67*0.000000001*Vin^2*2*'Efficiency Summary'!B69*Vout*(Vin-Vout)/(Lout*0.000001*'Power Loss'!$B$79*'Efficiency Summary'!$B$44^2)</f>
        <v>7.2713302326515893E-4</v>
      </c>
      <c r="N69" s="35">
        <f>+$K$44*$K$45*0.000000001*2*B69*Vout*(Vin-Vout)/('Efficiency Summary'!$B$44^2*Lout*0.000001*Vin)</f>
        <v>2.8547264935767396E-5</v>
      </c>
      <c r="O69" s="35">
        <f t="shared" ref="O69:O72" si="15">+ESR*0.001*B69*$B$44/(6*ncap)</f>
        <v>337.51808304349169</v>
      </c>
      <c r="P69" s="35">
        <f t="shared" ref="P69:P72" si="16">+$K$46*0.000001*(1+20*B69)*Vin</f>
        <v>21.120959999999997</v>
      </c>
      <c r="Q69" s="107">
        <f>+B69*Vout*100/(Vout*'Efficiency Summary'!B69+SUM('Efficiency Summary'!G69:P69))</f>
        <v>18.174075991403818</v>
      </c>
      <c r="R69" s="35"/>
      <c r="S69" s="35"/>
      <c r="T69" s="35"/>
      <c r="U69" s="35"/>
      <c r="V69" s="35"/>
      <c r="W69" s="35"/>
      <c r="X69" s="44"/>
      <c r="Y69" s="44"/>
      <c r="Z69" s="44"/>
      <c r="AA69" s="44"/>
      <c r="AB69" s="44"/>
      <c r="AC69" s="44"/>
      <c r="AD69" s="44"/>
    </row>
    <row r="70" spans="1:30" s="43" customFormat="1" ht="13" customHeight="1">
      <c r="A70" s="149">
        <f>IF(OR('Power Loss'!$B$17="AP63201",'Power Loss'!$B$17="AP63301"), 0, IF(A39&gt;$E$9, 0, 2/((Vin-Vout)*Vout/(2*Vin*Lout*0.000001*($E$9-A39)))))</f>
        <v>0</v>
      </c>
      <c r="B70" s="146">
        <f t="shared" si="6"/>
        <v>1100</v>
      </c>
      <c r="C70" s="145">
        <f>Imin+(Imax-Imin)*0.9</f>
        <v>1.8001</v>
      </c>
      <c r="D70" s="149">
        <f t="shared" si="11"/>
        <v>0.29468450299827853</v>
      </c>
      <c r="E70" s="149">
        <f t="shared" si="12"/>
        <v>0.3427480181931849</v>
      </c>
      <c r="F70" s="149">
        <f t="shared" si="9"/>
        <v>0.97865660328205184</v>
      </c>
      <c r="G70" s="149">
        <f t="shared" si="10"/>
        <v>1.5140610775385017</v>
      </c>
      <c r="H70" s="19"/>
      <c r="I70" s="35">
        <f>2*Ron_u*0.001*'Efficiency Summary'!B70*'Efficiency Summary'!$B$44*Vout/(3*Vin)</f>
        <v>10557.987535204224</v>
      </c>
      <c r="J70" s="107">
        <f>+B70*(Vout*(Vin-Vout)/('Efficiency Summary'!$B$44*Lout*0.000001))*'Power Loss'!$B$53*0.000000001</f>
        <v>0.1513605176470588</v>
      </c>
      <c r="K70" s="35">
        <f>+'Power Loss'!$B$50*0.000000001*Vin^2*2*'Efficiency Summary'!B70*Vout*(Vin-Vout)/(Lout*0.000001*'Power Loss'!$B$79*'Efficiency Summary'!$B$44^2)</f>
        <v>4.1632076357490841E-4</v>
      </c>
      <c r="L70" s="35">
        <f>2*Ron_l*0.001*'Efficiency Summary'!$B$46*'Efficiency Summary'!$B$44*(Vin-Vout)/(3*Vin)</f>
        <v>5425.2947206405352</v>
      </c>
      <c r="M70" s="35">
        <f>+'Power Loss'!$B$67*0.000000001*Vin^2*2*'Efficiency Summary'!B70*Vout*(Vin-Vout)/(Lout*0.000001*'Power Loss'!$B$79*'Efficiency Summary'!$B$44^2)</f>
        <v>7.2713302326515893E-4</v>
      </c>
      <c r="N70" s="35">
        <f>+$K$44*$K$45*0.000000001*2*B70*Vout*(Vin-Vout)/('Efficiency Summary'!$B$44^2*Lout*0.000001*Vin)</f>
        <v>2.8547264935767396E-5</v>
      </c>
      <c r="O70" s="35">
        <f t="shared" si="15"/>
        <v>337.51808304349169</v>
      </c>
      <c r="P70" s="35">
        <f t="shared" si="16"/>
        <v>21.120959999999997</v>
      </c>
      <c r="Q70" s="107">
        <f>+B70*Vout*100/(Vout*'Efficiency Summary'!B70+SUM('Efficiency Summary'!G70:P70))</f>
        <v>18.174000683001321</v>
      </c>
      <c r="R70" s="35"/>
      <c r="S70" s="35"/>
      <c r="T70" s="35"/>
      <c r="U70" s="35"/>
      <c r="V70" s="35"/>
      <c r="W70" s="35"/>
      <c r="X70" s="44"/>
      <c r="Y70" s="44"/>
      <c r="Z70" s="44"/>
      <c r="AA70" s="44"/>
      <c r="AB70" s="44"/>
      <c r="AC70" s="44"/>
      <c r="AD70" s="44"/>
    </row>
    <row r="71" spans="1:30" s="43" customFormat="1" ht="13" customHeight="1">
      <c r="A71" s="149">
        <f>IF(OR('Power Loss'!$B$17="AP63201",'Power Loss'!$B$17="AP63301"), 0, IF(A40&gt;$E$9, 0, 2/((Vin-Vout)*Vout/(2*Vin*Lout*0.000001*($E$9-A40)))))</f>
        <v>0</v>
      </c>
      <c r="B71" s="146">
        <f t="shared" si="6"/>
        <v>1100</v>
      </c>
      <c r="C71" s="145">
        <f>Imin+(Imax-Imin)*0.95</f>
        <v>1.9000499999999998</v>
      </c>
      <c r="D71" s="149">
        <f t="shared" si="11"/>
        <v>0.29573058060920127</v>
      </c>
      <c r="E71" s="149">
        <f t="shared" si="12"/>
        <v>0.34396471274064855</v>
      </c>
      <c r="F71" s="149">
        <f t="shared" si="9"/>
        <v>1.0346783486226765</v>
      </c>
      <c r="G71" s="149">
        <f t="shared" si="10"/>
        <v>1.5967122557594235</v>
      </c>
      <c r="H71" s="19"/>
      <c r="I71" s="35">
        <f>2*Ron_u*0.001*'Efficiency Summary'!B71*'Efficiency Summary'!$B$44*Vout/(3*Vin)</f>
        <v>10557.987535204224</v>
      </c>
      <c r="J71" s="107">
        <f>+B71*(Vout*(Vin-Vout)/('Efficiency Summary'!$B$44*Lout*0.000001))*'Power Loss'!$B$53*0.000000001</f>
        <v>0.1513605176470588</v>
      </c>
      <c r="K71" s="35">
        <f>+'Power Loss'!$B$50*0.000000001*Vin^2*2*'Efficiency Summary'!B71*Vout*(Vin-Vout)/(Lout*0.000001*'Power Loss'!$B$79*'Efficiency Summary'!$B$44^2)</f>
        <v>4.1632076357490841E-4</v>
      </c>
      <c r="L71" s="35">
        <f>2*Ron_l*0.001*'Efficiency Summary'!$B$46*'Efficiency Summary'!$B$44*(Vin-Vout)/(3*Vin)</f>
        <v>5425.2947206405352</v>
      </c>
      <c r="M71" s="35">
        <f>+'Power Loss'!$B$67*0.000000001*Vin^2*2*'Efficiency Summary'!B71*Vout*(Vin-Vout)/(Lout*0.000001*'Power Loss'!$B$79*'Efficiency Summary'!$B$44^2)</f>
        <v>7.2713302326515893E-4</v>
      </c>
      <c r="N71" s="35">
        <f>+$K$44*$K$45*0.000000001*2*B71*Vout*(Vin-Vout)/('Efficiency Summary'!$B$44^2*Lout*0.000001*Vin)</f>
        <v>2.8547264935767396E-5</v>
      </c>
      <c r="O71" s="35">
        <f t="shared" si="15"/>
        <v>337.51808304349169</v>
      </c>
      <c r="P71" s="35">
        <f t="shared" si="16"/>
        <v>21.120959999999997</v>
      </c>
      <c r="Q71" s="107">
        <f>+B71*Vout*100/(Vout*'Efficiency Summary'!B71+SUM('Efficiency Summary'!G71:P71))</f>
        <v>18.173925478868654</v>
      </c>
      <c r="R71" s="35"/>
      <c r="S71" s="35"/>
      <c r="T71" s="35"/>
      <c r="U71" s="35"/>
      <c r="V71" s="35"/>
      <c r="W71" s="35"/>
      <c r="X71" s="44"/>
      <c r="Y71" s="44"/>
      <c r="Z71" s="44"/>
      <c r="AA71" s="44"/>
      <c r="AB71" s="44"/>
      <c r="AC71" s="44"/>
      <c r="AD71" s="44"/>
    </row>
    <row r="72" spans="1:30" s="43" customFormat="1" ht="13" customHeight="1">
      <c r="A72" s="149">
        <f>IF(OR('Power Loss'!$B$17="AP63201",'Power Loss'!$B$17="AP63301"), 0, IF(A41&gt;$E$9, 0, 2/((Vin-Vout)*Vout/(2*Vin*Lout*0.000001*($E$9-A41)))))</f>
        <v>0</v>
      </c>
      <c r="B72" s="146">
        <f t="shared" si="6"/>
        <v>1100</v>
      </c>
      <c r="C72" s="145">
        <f>Imin+(Imax-Imin)*1</f>
        <v>2</v>
      </c>
      <c r="D72" s="149">
        <f t="shared" si="11"/>
        <v>0.27499999999999997</v>
      </c>
      <c r="E72" s="149">
        <f>(Vin-Vout)/Lout/10^(-6)*D72/Fs/10^3</f>
        <v>0.31985294117647056</v>
      </c>
      <c r="F72" s="149">
        <f t="shared" si="9"/>
        <v>1.0499259546746731</v>
      </c>
      <c r="G72" s="149">
        <f t="shared" si="10"/>
        <v>1.7047524693335234</v>
      </c>
      <c r="H72" s="19"/>
      <c r="I72" s="35">
        <f>2*Ron_u*0.001*'Efficiency Summary'!B72*'Efficiency Summary'!$B$44*Vout/(3*Vin)</f>
        <v>10557.987535204224</v>
      </c>
      <c r="J72" s="107">
        <f>+B72*(Vout*(Vin-Vout)/('Efficiency Summary'!$B$44*Lout*0.000001))*'Power Loss'!$B$53*0.000000001</f>
        <v>0.1513605176470588</v>
      </c>
      <c r="K72" s="35">
        <f>+'Power Loss'!$B$50*0.000000001*Vin^2*2*'Efficiency Summary'!B72*Vout*(Vin-Vout)/(Lout*0.000001*'Power Loss'!$B$79*'Efficiency Summary'!$B$44^2)</f>
        <v>4.1632076357490841E-4</v>
      </c>
      <c r="L72" s="35">
        <f>2*Ron_l*0.001*'Efficiency Summary'!$B$46*'Efficiency Summary'!$B$44*(Vin-Vout)/(3*Vin)</f>
        <v>5425.2947206405352</v>
      </c>
      <c r="M72" s="35">
        <f>+'Power Loss'!$B$67*0.000000001*Vin^2*2*'Efficiency Summary'!B72*Vout*(Vin-Vout)/(Lout*0.000001*'Power Loss'!$B$79*'Efficiency Summary'!$B$44^2)</f>
        <v>7.2713302326515893E-4</v>
      </c>
      <c r="N72" s="35">
        <f>+$K$44*$K$45*0.000000001*2*B72*Vout*(Vin-Vout)/('Efficiency Summary'!$B$44^2*Lout*0.000001*Vin)</f>
        <v>2.8547264935767396E-5</v>
      </c>
      <c r="O72" s="35">
        <f t="shared" si="15"/>
        <v>337.51808304349169</v>
      </c>
      <c r="P72" s="35">
        <f t="shared" si="16"/>
        <v>21.120959999999997</v>
      </c>
      <c r="Q72" s="107">
        <f>+B72*Vout*100/(Vout*'Efficiency Summary'!B72+SUM('Efficiency Summary'!G72:P72))</f>
        <v>18.173827174244821</v>
      </c>
      <c r="R72" s="35"/>
      <c r="S72" s="35"/>
      <c r="T72" s="35"/>
      <c r="U72" s="35"/>
      <c r="V72" s="35"/>
      <c r="W72" s="35"/>
      <c r="X72" s="44"/>
      <c r="Y72" s="44"/>
      <c r="Z72" s="44"/>
      <c r="AA72" s="44"/>
      <c r="AB72" s="44"/>
      <c r="AC72" s="44"/>
      <c r="AD72" s="44"/>
    </row>
    <row r="73" spans="1:30" s="43" customFormat="1" ht="13" customHeight="1">
      <c r="A73" s="150"/>
      <c r="B73" s="150"/>
      <c r="C73" s="153"/>
      <c r="D73" s="153"/>
      <c r="E73" s="153"/>
      <c r="F73" s="153"/>
      <c r="G73" s="153"/>
      <c r="H73" s="107"/>
      <c r="I73" s="35"/>
      <c r="J73" s="107"/>
      <c r="K73" s="35"/>
      <c r="L73" s="35"/>
      <c r="M73" s="35"/>
      <c r="N73" s="35"/>
      <c r="O73" s="35"/>
      <c r="P73" s="35"/>
      <c r="Q73" s="107"/>
      <c r="R73" s="35"/>
      <c r="S73" s="35"/>
      <c r="T73" s="35"/>
      <c r="U73" s="35"/>
      <c r="V73" s="35"/>
      <c r="W73" s="35"/>
      <c r="X73" s="44"/>
      <c r="Y73" s="44"/>
      <c r="Z73" s="44"/>
      <c r="AA73" s="44"/>
      <c r="AB73" s="44"/>
      <c r="AC73" s="44"/>
      <c r="AD73" s="44"/>
    </row>
    <row r="74" spans="1:30" s="43" customFormat="1" ht="13" customHeight="1">
      <c r="A74" s="35"/>
      <c r="B74" s="35"/>
      <c r="C74" s="107"/>
      <c r="D74" s="107"/>
      <c r="E74" s="107"/>
      <c r="F74" s="107"/>
      <c r="G74" s="107"/>
      <c r="H74" s="107"/>
      <c r="I74" s="35"/>
      <c r="J74" s="107"/>
      <c r="K74" s="35"/>
      <c r="L74" s="35"/>
      <c r="M74" s="35"/>
      <c r="N74" s="35"/>
      <c r="O74" s="35"/>
      <c r="P74" s="35"/>
      <c r="Q74" s="107"/>
      <c r="R74" s="35"/>
      <c r="S74" s="35"/>
      <c r="T74" s="35"/>
      <c r="U74" s="35"/>
      <c r="V74" s="35"/>
      <c r="W74" s="35"/>
      <c r="X74" s="44"/>
      <c r="Y74" s="44"/>
      <c r="Z74" s="44"/>
      <c r="AA74" s="44"/>
      <c r="AB74" s="44"/>
      <c r="AC74" s="44"/>
      <c r="AD74" s="44"/>
    </row>
    <row r="75" spans="1:30" s="43" customFormat="1" ht="13" customHeight="1">
      <c r="A75" s="35"/>
      <c r="B75" s="35"/>
      <c r="C75" s="107"/>
      <c r="D75" s="107"/>
      <c r="E75" s="107"/>
      <c r="F75" s="107"/>
      <c r="G75" s="107"/>
      <c r="H75" s="107"/>
      <c r="I75" s="35"/>
      <c r="J75" s="107"/>
      <c r="K75" s="35"/>
      <c r="L75" s="35"/>
      <c r="M75" s="35"/>
      <c r="N75" s="35"/>
      <c r="O75" s="35"/>
      <c r="P75" s="35"/>
      <c r="Q75" s="107"/>
      <c r="R75" s="35"/>
      <c r="S75" s="35"/>
      <c r="T75" s="35"/>
      <c r="U75" s="35"/>
      <c r="V75" s="35"/>
      <c r="W75" s="35"/>
      <c r="X75" s="44"/>
      <c r="Y75" s="44"/>
      <c r="Z75" s="44"/>
      <c r="AA75" s="44"/>
      <c r="AB75" s="44"/>
      <c r="AC75" s="44"/>
      <c r="AD75" s="44"/>
    </row>
    <row r="76" spans="1:30" s="43" customFormat="1" ht="13" customHeight="1">
      <c r="A76" s="35"/>
      <c r="B76" s="35"/>
      <c r="C76" s="107"/>
      <c r="D76" s="107"/>
      <c r="E76" s="107"/>
      <c r="F76" s="107"/>
      <c r="G76" s="107"/>
      <c r="H76" s="107"/>
      <c r="I76" s="35"/>
      <c r="J76" s="107"/>
      <c r="K76" s="35"/>
      <c r="L76" s="35"/>
      <c r="M76" s="35"/>
      <c r="N76" s="35"/>
      <c r="O76" s="35"/>
      <c r="P76" s="35"/>
      <c r="Q76" s="107"/>
      <c r="R76" s="35"/>
      <c r="S76" s="35"/>
      <c r="T76" s="35"/>
      <c r="U76" s="35"/>
      <c r="V76" s="35"/>
      <c r="W76" s="35"/>
      <c r="X76" s="44"/>
      <c r="Y76" s="44"/>
      <c r="Z76" s="44"/>
      <c r="AA76" s="44"/>
      <c r="AB76" s="44"/>
      <c r="AC76" s="44"/>
      <c r="AD76" s="44"/>
    </row>
    <row r="77" spans="1:30" s="43" customFormat="1" ht="13" customHeight="1">
      <c r="A77" s="35"/>
      <c r="B77" s="35"/>
      <c r="C77" s="107"/>
      <c r="D77" s="107"/>
      <c r="E77" s="107"/>
      <c r="F77" s="107"/>
      <c r="G77" s="107"/>
      <c r="H77" s="107"/>
      <c r="I77" s="35"/>
      <c r="J77" s="107"/>
      <c r="K77" s="35"/>
      <c r="L77" s="35"/>
      <c r="M77" s="35"/>
      <c r="N77" s="35"/>
      <c r="O77" s="35"/>
      <c r="P77" s="35"/>
      <c r="Q77" s="107"/>
      <c r="R77" s="35"/>
      <c r="S77" s="35"/>
      <c r="T77" s="35"/>
      <c r="U77" s="35"/>
      <c r="V77" s="35"/>
      <c r="W77" s="35"/>
      <c r="X77" s="44"/>
      <c r="Y77" s="44"/>
      <c r="Z77" s="44"/>
      <c r="AA77" s="44"/>
      <c r="AB77" s="44"/>
      <c r="AC77" s="44"/>
      <c r="AD77" s="44"/>
    </row>
    <row r="78" spans="1:30" s="43" customFormat="1" ht="13" customHeight="1">
      <c r="A78" s="35"/>
      <c r="B78" s="35"/>
      <c r="C78" s="107"/>
      <c r="D78" s="107"/>
      <c r="E78" s="107"/>
      <c r="F78" s="107"/>
      <c r="G78" s="107"/>
      <c r="H78" s="107"/>
      <c r="I78" s="35"/>
      <c r="J78" s="107"/>
      <c r="K78" s="35"/>
      <c r="L78" s="35"/>
      <c r="M78" s="35"/>
      <c r="N78" s="35"/>
      <c r="O78" s="35"/>
      <c r="P78" s="35"/>
      <c r="Q78" s="107"/>
      <c r="R78" s="35"/>
      <c r="S78" s="35"/>
      <c r="T78" s="35"/>
      <c r="U78" s="35"/>
      <c r="V78" s="35"/>
      <c r="W78" s="35"/>
      <c r="X78" s="44"/>
      <c r="Y78" s="44"/>
      <c r="Z78" s="44"/>
      <c r="AA78" s="44"/>
      <c r="AB78" s="44"/>
      <c r="AC78" s="44"/>
      <c r="AD78" s="44"/>
    </row>
    <row r="79" spans="1:30" s="43" customFormat="1" ht="13" customHeight="1">
      <c r="A79" s="35"/>
      <c r="B79" s="35"/>
      <c r="C79" s="107"/>
      <c r="D79" s="107"/>
      <c r="E79" s="107"/>
      <c r="F79" s="107"/>
      <c r="G79" s="107"/>
      <c r="H79" s="107"/>
      <c r="I79" s="35"/>
      <c r="J79" s="107"/>
      <c r="K79" s="35"/>
      <c r="L79" s="35"/>
      <c r="M79" s="35"/>
      <c r="N79" s="35"/>
      <c r="O79" s="35"/>
      <c r="P79" s="35"/>
      <c r="Q79" s="107"/>
      <c r="R79" s="35"/>
      <c r="S79" s="35"/>
      <c r="T79" s="35"/>
      <c r="U79" s="35"/>
      <c r="V79" s="35"/>
      <c r="W79" s="35"/>
      <c r="X79" s="44"/>
      <c r="Y79" s="44"/>
      <c r="Z79" s="44"/>
      <c r="AA79" s="44"/>
      <c r="AB79" s="44"/>
      <c r="AC79" s="44"/>
      <c r="AD79" s="44"/>
    </row>
    <row r="80" spans="1:30" s="43" customFormat="1" ht="13" customHeight="1">
      <c r="A80" s="35"/>
      <c r="B80" s="35"/>
      <c r="C80" s="107"/>
      <c r="D80" s="107"/>
      <c r="E80" s="107"/>
      <c r="F80" s="107"/>
      <c r="G80" s="107"/>
      <c r="H80" s="107"/>
      <c r="I80" s="35"/>
      <c r="J80" s="107"/>
      <c r="K80" s="35"/>
      <c r="L80" s="35"/>
      <c r="M80" s="35"/>
      <c r="N80" s="35"/>
      <c r="O80" s="35"/>
      <c r="P80" s="35"/>
      <c r="Q80" s="107"/>
      <c r="R80" s="35"/>
      <c r="S80" s="35"/>
      <c r="T80" s="35"/>
      <c r="U80" s="35"/>
      <c r="V80" s="35"/>
      <c r="W80" s="35"/>
      <c r="X80" s="44"/>
      <c r="Y80" s="44"/>
      <c r="Z80" s="44"/>
      <c r="AA80" s="44"/>
      <c r="AB80" s="44"/>
      <c r="AC80" s="44"/>
      <c r="AD80" s="44"/>
    </row>
    <row r="81" spans="1:30" s="43" customFormat="1" ht="13" customHeight="1">
      <c r="A81" s="35"/>
      <c r="B81" s="35"/>
      <c r="C81" s="107"/>
      <c r="D81" s="107"/>
      <c r="E81" s="107"/>
      <c r="F81" s="107"/>
      <c r="G81" s="107"/>
      <c r="H81" s="107"/>
      <c r="I81" s="35"/>
      <c r="J81" s="107"/>
      <c r="K81" s="35"/>
      <c r="L81" s="35"/>
      <c r="M81" s="35"/>
      <c r="N81" s="35"/>
      <c r="O81" s="35"/>
      <c r="P81" s="35"/>
      <c r="Q81" s="107"/>
      <c r="R81" s="35"/>
      <c r="S81" s="35"/>
      <c r="T81" s="35"/>
      <c r="U81" s="35"/>
      <c r="V81" s="35"/>
      <c r="W81" s="35"/>
      <c r="X81" s="44"/>
      <c r="Y81" s="44"/>
      <c r="Z81" s="44"/>
      <c r="AA81" s="44"/>
      <c r="AB81" s="44"/>
      <c r="AC81" s="44"/>
      <c r="AD81" s="44"/>
    </row>
    <row r="82" spans="1:30" s="43" customFormat="1" ht="13" customHeight="1">
      <c r="A82" s="35"/>
      <c r="B82" s="35"/>
      <c r="C82" s="107"/>
      <c r="D82" s="107"/>
      <c r="E82" s="107"/>
      <c r="F82" s="107"/>
      <c r="G82" s="107"/>
      <c r="H82" s="107"/>
      <c r="I82" s="35"/>
      <c r="J82" s="107"/>
      <c r="K82" s="35"/>
      <c r="L82" s="35"/>
      <c r="M82" s="35"/>
      <c r="N82" s="35"/>
      <c r="O82" s="35"/>
      <c r="P82" s="35"/>
      <c r="Q82" s="107"/>
      <c r="R82" s="35"/>
      <c r="S82" s="35"/>
      <c r="T82" s="35"/>
      <c r="U82" s="35"/>
      <c r="V82" s="35"/>
      <c r="W82" s="35"/>
      <c r="X82" s="44"/>
      <c r="Y82" s="44"/>
      <c r="Z82" s="44"/>
      <c r="AA82" s="44"/>
      <c r="AB82" s="44"/>
      <c r="AC82" s="44"/>
      <c r="AD82" s="44"/>
    </row>
    <row r="83" spans="1:30" s="43" customFormat="1" ht="13" customHeight="1">
      <c r="A83" s="35"/>
      <c r="B83" s="35"/>
      <c r="C83" s="107"/>
      <c r="D83" s="107"/>
      <c r="E83" s="107"/>
      <c r="F83" s="107"/>
      <c r="G83" s="107"/>
      <c r="H83" s="107"/>
      <c r="I83" s="35"/>
      <c r="J83" s="107"/>
      <c r="K83" s="35"/>
      <c r="L83" s="35"/>
      <c r="M83" s="35"/>
      <c r="N83" s="35"/>
      <c r="O83" s="35"/>
      <c r="P83" s="35"/>
      <c r="Q83" s="107"/>
      <c r="R83" s="35"/>
      <c r="S83" s="35"/>
      <c r="T83" s="35"/>
      <c r="U83" s="35"/>
      <c r="V83" s="35"/>
      <c r="W83" s="35"/>
      <c r="X83" s="44"/>
      <c r="Y83" s="44"/>
      <c r="Z83" s="44"/>
      <c r="AA83" s="44"/>
      <c r="AB83" s="44"/>
      <c r="AC83" s="44"/>
      <c r="AD83" s="44"/>
    </row>
    <row r="84" spans="1:30" s="43" customFormat="1" ht="13" customHeight="1">
      <c r="A84" s="35"/>
      <c r="B84" s="35"/>
      <c r="C84" s="107"/>
      <c r="D84" s="107"/>
      <c r="E84" s="107"/>
      <c r="F84" s="107"/>
      <c r="G84" s="107"/>
      <c r="H84" s="107"/>
      <c r="I84" s="35"/>
      <c r="J84" s="107"/>
      <c r="K84" s="35"/>
      <c r="L84" s="35"/>
      <c r="M84" s="35"/>
      <c r="N84" s="35"/>
      <c r="O84" s="35"/>
      <c r="P84" s="35"/>
      <c r="Q84" s="107"/>
      <c r="R84" s="35"/>
      <c r="S84" s="35"/>
      <c r="T84" s="35"/>
      <c r="U84" s="35"/>
      <c r="V84" s="35"/>
      <c r="W84" s="35"/>
      <c r="X84" s="44"/>
      <c r="Y84" s="44"/>
      <c r="Z84" s="44"/>
      <c r="AA84" s="44"/>
      <c r="AB84" s="44"/>
      <c r="AC84" s="44"/>
      <c r="AD84" s="44"/>
    </row>
    <row r="85" spans="1:30" s="43" customFormat="1" ht="13" customHeight="1">
      <c r="A85" s="35"/>
      <c r="B85" s="35"/>
      <c r="C85" s="107"/>
      <c r="D85" s="107"/>
      <c r="E85" s="107"/>
      <c r="F85" s="107"/>
      <c r="G85" s="107"/>
      <c r="H85" s="107"/>
      <c r="I85" s="35"/>
      <c r="J85" s="107"/>
      <c r="K85" s="35"/>
      <c r="L85" s="35"/>
      <c r="M85" s="35"/>
      <c r="N85" s="35"/>
      <c r="O85" s="35"/>
      <c r="P85" s="35"/>
      <c r="Q85" s="107"/>
      <c r="R85" s="35"/>
      <c r="S85" s="35"/>
      <c r="T85" s="35"/>
      <c r="U85" s="35"/>
      <c r="V85" s="35"/>
      <c r="W85" s="35"/>
      <c r="X85" s="44"/>
      <c r="Y85" s="44"/>
      <c r="Z85" s="44"/>
      <c r="AA85" s="44"/>
      <c r="AB85" s="44"/>
      <c r="AC85" s="44"/>
      <c r="AD85" s="44"/>
    </row>
    <row r="86" spans="1:30" s="43" customFormat="1" ht="13" customHeight="1">
      <c r="A86" s="35"/>
      <c r="B86" s="35"/>
      <c r="C86" s="107"/>
      <c r="D86" s="107"/>
      <c r="E86" s="107"/>
      <c r="F86" s="107"/>
      <c r="G86" s="107"/>
      <c r="H86" s="107"/>
      <c r="I86" s="35"/>
      <c r="J86" s="107"/>
      <c r="K86" s="35"/>
      <c r="L86" s="35"/>
      <c r="M86" s="35"/>
      <c r="N86" s="35"/>
      <c r="O86" s="35"/>
      <c r="P86" s="35"/>
      <c r="Q86" s="107"/>
      <c r="R86" s="35"/>
      <c r="S86" s="35"/>
      <c r="T86" s="35"/>
      <c r="U86" s="35"/>
      <c r="V86" s="35"/>
      <c r="W86" s="35"/>
      <c r="X86" s="44"/>
      <c r="Y86" s="44"/>
      <c r="Z86" s="44"/>
      <c r="AA86" s="44"/>
      <c r="AB86" s="44"/>
      <c r="AC86" s="44"/>
      <c r="AD86" s="44"/>
    </row>
    <row r="87" spans="1:30" s="43" customFormat="1" ht="13" customHeight="1">
      <c r="A87" s="35"/>
      <c r="B87" s="35"/>
      <c r="C87" s="107"/>
      <c r="D87" s="107"/>
      <c r="E87" s="107"/>
      <c r="F87" s="107"/>
      <c r="G87" s="107"/>
      <c r="H87" s="107"/>
      <c r="I87" s="35"/>
      <c r="J87" s="107"/>
      <c r="K87" s="35"/>
      <c r="L87" s="35"/>
      <c r="M87" s="35"/>
      <c r="N87" s="35"/>
      <c r="O87" s="35"/>
      <c r="P87" s="35"/>
      <c r="Q87" s="107"/>
      <c r="R87" s="35"/>
      <c r="S87" s="35"/>
      <c r="T87" s="35"/>
      <c r="U87" s="35"/>
      <c r="V87" s="35"/>
      <c r="W87" s="35"/>
      <c r="X87" s="44"/>
      <c r="Y87" s="44"/>
      <c r="Z87" s="44"/>
      <c r="AA87" s="44"/>
      <c r="AB87" s="44"/>
      <c r="AC87" s="44"/>
      <c r="AD87" s="44"/>
    </row>
    <row r="88" spans="1:30" s="43" customFormat="1" ht="13" customHeight="1">
      <c r="A88" s="35"/>
      <c r="B88" s="35"/>
      <c r="C88" s="107"/>
      <c r="D88" s="107"/>
      <c r="E88" s="107"/>
      <c r="F88" s="107"/>
      <c r="G88" s="107"/>
      <c r="H88" s="107"/>
      <c r="I88" s="35"/>
      <c r="J88" s="107"/>
      <c r="K88" s="35"/>
      <c r="L88" s="35"/>
      <c r="M88" s="35"/>
      <c r="N88" s="35"/>
      <c r="O88" s="35"/>
      <c r="P88" s="35"/>
      <c r="Q88" s="107"/>
      <c r="R88" s="35"/>
      <c r="S88" s="35"/>
      <c r="T88" s="35"/>
      <c r="U88" s="35"/>
      <c r="V88" s="35"/>
      <c r="W88" s="35"/>
      <c r="X88" s="44"/>
      <c r="Y88" s="44"/>
      <c r="Z88" s="44"/>
      <c r="AA88" s="44"/>
      <c r="AB88" s="44"/>
      <c r="AC88" s="44"/>
      <c r="AD88" s="44"/>
    </row>
    <row r="89" spans="1:30" s="43" customFormat="1" ht="13" customHeight="1">
      <c r="A89" s="35"/>
      <c r="B89" s="35"/>
      <c r="C89" s="107"/>
      <c r="D89" s="107"/>
      <c r="E89" s="107"/>
      <c r="F89" s="107"/>
      <c r="G89" s="107"/>
      <c r="H89" s="107"/>
      <c r="I89" s="35"/>
      <c r="J89" s="107"/>
      <c r="K89" s="35"/>
      <c r="L89" s="35"/>
      <c r="M89" s="35"/>
      <c r="N89" s="35"/>
      <c r="O89" s="35"/>
      <c r="P89" s="35"/>
      <c r="Q89" s="107"/>
      <c r="R89" s="35"/>
      <c r="S89" s="35"/>
      <c r="T89" s="35"/>
      <c r="U89" s="35"/>
      <c r="V89" s="35"/>
      <c r="W89" s="35"/>
      <c r="X89" s="44"/>
      <c r="Y89" s="44"/>
      <c r="Z89" s="44"/>
      <c r="AA89" s="44"/>
      <c r="AB89" s="44"/>
      <c r="AC89" s="44"/>
      <c r="AD89" s="44"/>
    </row>
    <row r="90" spans="1:30" s="43" customFormat="1" ht="13" customHeight="1">
      <c r="A90" s="35"/>
      <c r="B90" s="35"/>
      <c r="C90" s="107"/>
      <c r="D90" s="107"/>
      <c r="E90" s="107"/>
      <c r="F90" s="107"/>
      <c r="G90" s="107"/>
      <c r="H90" s="107"/>
      <c r="I90" s="35"/>
      <c r="J90" s="107"/>
      <c r="K90" s="35"/>
      <c r="L90" s="35"/>
      <c r="M90" s="35"/>
      <c r="N90" s="35"/>
      <c r="O90" s="35"/>
      <c r="P90" s="35"/>
      <c r="Q90" s="107"/>
      <c r="R90" s="35"/>
      <c r="S90" s="35"/>
      <c r="T90" s="35"/>
      <c r="U90" s="35"/>
      <c r="V90" s="35"/>
      <c r="W90" s="35"/>
      <c r="X90" s="44"/>
      <c r="Y90" s="44"/>
      <c r="Z90" s="44"/>
      <c r="AA90" s="44"/>
      <c r="AB90" s="44"/>
      <c r="AC90" s="44"/>
      <c r="AD90" s="44"/>
    </row>
    <row r="91" spans="1:30" s="43" customFormat="1" ht="13" customHeight="1">
      <c r="A91" s="35"/>
      <c r="B91" s="35"/>
      <c r="C91" s="107"/>
      <c r="D91" s="107"/>
      <c r="E91" s="107"/>
      <c r="F91" s="107"/>
      <c r="G91" s="107"/>
      <c r="H91" s="107"/>
      <c r="I91" s="35"/>
      <c r="J91" s="107"/>
      <c r="K91" s="35"/>
      <c r="L91" s="35"/>
      <c r="M91" s="35"/>
      <c r="N91" s="35"/>
      <c r="O91" s="35"/>
      <c r="P91" s="35"/>
      <c r="Q91" s="107"/>
      <c r="R91" s="35"/>
      <c r="S91" s="35"/>
      <c r="T91" s="35"/>
      <c r="U91" s="35"/>
      <c r="V91" s="35"/>
      <c r="W91" s="35"/>
      <c r="X91" s="44"/>
      <c r="Y91" s="44"/>
      <c r="Z91" s="44"/>
      <c r="AA91" s="44"/>
      <c r="AB91" s="44"/>
      <c r="AC91" s="44"/>
      <c r="AD91" s="44"/>
    </row>
    <row r="92" spans="1:30" s="43" customFormat="1" ht="13" customHeight="1">
      <c r="A92" s="35"/>
      <c r="B92" s="35"/>
      <c r="C92" s="107"/>
      <c r="D92" s="107"/>
      <c r="E92" s="107"/>
      <c r="F92" s="107"/>
      <c r="G92" s="107"/>
      <c r="H92" s="107"/>
      <c r="I92" s="35"/>
      <c r="J92" s="107"/>
      <c r="K92" s="35"/>
      <c r="L92" s="35"/>
      <c r="M92" s="35"/>
      <c r="N92" s="35"/>
      <c r="O92" s="35"/>
      <c r="P92" s="35"/>
      <c r="Q92" s="107"/>
      <c r="R92" s="35"/>
      <c r="S92" s="35"/>
      <c r="T92" s="35"/>
      <c r="U92" s="35"/>
      <c r="V92" s="35"/>
      <c r="W92" s="35"/>
      <c r="X92" s="44"/>
      <c r="Y92" s="44"/>
      <c r="Z92" s="44"/>
      <c r="AA92" s="44"/>
      <c r="AB92" s="44"/>
      <c r="AC92" s="44"/>
      <c r="AD92" s="44"/>
    </row>
    <row r="93" spans="1:30" s="43" customFormat="1" ht="13" customHeight="1">
      <c r="A93" s="35"/>
      <c r="B93" s="35"/>
      <c r="C93" s="107"/>
      <c r="D93" s="107"/>
      <c r="E93" s="107"/>
      <c r="F93" s="107"/>
      <c r="G93" s="107"/>
      <c r="H93" s="107"/>
      <c r="I93" s="35"/>
      <c r="J93" s="107"/>
      <c r="K93" s="35"/>
      <c r="L93" s="35"/>
      <c r="M93" s="35"/>
      <c r="N93" s="35"/>
      <c r="O93" s="35"/>
      <c r="P93" s="35"/>
      <c r="Q93" s="107"/>
      <c r="R93" s="35"/>
      <c r="S93" s="35"/>
      <c r="T93" s="35"/>
      <c r="U93" s="35"/>
      <c r="V93" s="35"/>
      <c r="W93" s="35"/>
      <c r="X93" s="44"/>
      <c r="Y93" s="44"/>
      <c r="Z93" s="44"/>
      <c r="AA93" s="44"/>
      <c r="AB93" s="44"/>
      <c r="AC93" s="44"/>
      <c r="AD93" s="44"/>
    </row>
    <row r="94" spans="1:30" s="43" customFormat="1" ht="13" customHeight="1">
      <c r="A94" s="35"/>
      <c r="B94" s="35"/>
      <c r="C94" s="107"/>
      <c r="D94" s="107"/>
      <c r="E94" s="107"/>
      <c r="F94" s="107"/>
      <c r="G94" s="107"/>
      <c r="H94" s="107"/>
      <c r="I94" s="35"/>
      <c r="J94" s="107"/>
      <c r="K94" s="35"/>
      <c r="L94" s="35"/>
      <c r="M94" s="35"/>
      <c r="N94" s="35"/>
      <c r="O94" s="35"/>
      <c r="P94" s="35"/>
      <c r="Q94" s="107"/>
      <c r="R94" s="35"/>
      <c r="S94" s="35"/>
      <c r="T94" s="35"/>
      <c r="U94" s="35"/>
      <c r="V94" s="35"/>
      <c r="W94" s="35"/>
      <c r="X94" s="44"/>
      <c r="Y94" s="44"/>
      <c r="Z94" s="44"/>
      <c r="AA94" s="44"/>
      <c r="AB94" s="44"/>
      <c r="AC94" s="44"/>
      <c r="AD94" s="44"/>
    </row>
    <row r="95" spans="1:30" s="43" customFormat="1" ht="13" customHeight="1">
      <c r="A95" s="35"/>
      <c r="B95" s="35"/>
      <c r="C95" s="107"/>
      <c r="D95" s="107"/>
      <c r="E95" s="107"/>
      <c r="F95" s="107"/>
      <c r="G95" s="107"/>
      <c r="H95" s="107"/>
      <c r="I95" s="35"/>
      <c r="J95" s="107"/>
      <c r="K95" s="35"/>
      <c r="L95" s="35"/>
      <c r="M95" s="35"/>
      <c r="N95" s="35"/>
      <c r="O95" s="35"/>
      <c r="P95" s="35"/>
      <c r="Q95" s="107"/>
      <c r="R95" s="35"/>
      <c r="S95" s="35"/>
      <c r="T95" s="35"/>
      <c r="U95" s="35"/>
      <c r="V95" s="35"/>
      <c r="W95" s="35"/>
      <c r="X95" s="44"/>
      <c r="Y95" s="44"/>
      <c r="Z95" s="44"/>
      <c r="AA95" s="44"/>
      <c r="AB95" s="44"/>
      <c r="AC95" s="44"/>
      <c r="AD95" s="44"/>
    </row>
    <row r="96" spans="1:30" s="43" customFormat="1" ht="13" customHeight="1">
      <c r="A96" s="35"/>
      <c r="B96" s="35"/>
      <c r="C96" s="107"/>
      <c r="D96" s="107"/>
      <c r="E96" s="107"/>
      <c r="F96" s="107"/>
      <c r="G96" s="107"/>
      <c r="H96" s="107"/>
      <c r="I96" s="35"/>
      <c r="J96" s="107"/>
      <c r="K96" s="35"/>
      <c r="L96" s="35"/>
      <c r="M96" s="35"/>
      <c r="N96" s="35"/>
      <c r="O96" s="35"/>
      <c r="P96" s="35"/>
      <c r="Q96" s="107"/>
      <c r="R96" s="35"/>
      <c r="S96" s="35"/>
      <c r="T96" s="35"/>
      <c r="U96" s="35"/>
      <c r="V96" s="35"/>
      <c r="W96" s="35"/>
      <c r="X96" s="44"/>
      <c r="Y96" s="44"/>
      <c r="Z96" s="44"/>
      <c r="AA96" s="44"/>
      <c r="AB96" s="44"/>
      <c r="AC96" s="44"/>
      <c r="AD96" s="44"/>
    </row>
    <row r="97" spans="1:30" s="43" customFormat="1" ht="13" customHeight="1">
      <c r="A97" s="35"/>
      <c r="B97" s="35"/>
      <c r="C97" s="107"/>
      <c r="D97" s="107"/>
      <c r="E97" s="107"/>
      <c r="F97" s="107"/>
      <c r="G97" s="107"/>
      <c r="H97" s="107"/>
      <c r="I97" s="35"/>
      <c r="J97" s="107"/>
      <c r="K97" s="35"/>
      <c r="L97" s="35"/>
      <c r="M97" s="35"/>
      <c r="N97" s="35"/>
      <c r="O97" s="35"/>
      <c r="P97" s="35"/>
      <c r="Q97" s="107"/>
      <c r="R97" s="35"/>
      <c r="S97" s="35"/>
      <c r="T97" s="35"/>
      <c r="U97" s="35"/>
      <c r="V97" s="35"/>
      <c r="W97" s="35"/>
      <c r="X97" s="44"/>
      <c r="Y97" s="44"/>
      <c r="Z97" s="44"/>
      <c r="AA97" s="44"/>
      <c r="AB97" s="44"/>
      <c r="AC97" s="44"/>
      <c r="AD97" s="44"/>
    </row>
    <row r="98" spans="1:30" s="43" customFormat="1" ht="13" customHeight="1">
      <c r="A98" s="35"/>
      <c r="B98" s="35"/>
      <c r="C98" s="107"/>
      <c r="D98" s="107"/>
      <c r="E98" s="107"/>
      <c r="F98" s="107"/>
      <c r="G98" s="107"/>
      <c r="H98" s="107"/>
      <c r="I98" s="35"/>
      <c r="J98" s="107"/>
      <c r="K98" s="35"/>
      <c r="L98" s="35"/>
      <c r="M98" s="35"/>
      <c r="N98" s="35"/>
      <c r="O98" s="35"/>
      <c r="P98" s="35"/>
      <c r="Q98" s="107"/>
      <c r="R98" s="35"/>
      <c r="S98" s="35"/>
      <c r="T98" s="35"/>
      <c r="U98" s="35"/>
      <c r="V98" s="35"/>
      <c r="W98" s="35"/>
      <c r="X98" s="44"/>
      <c r="Y98" s="44"/>
      <c r="Z98" s="44"/>
      <c r="AA98" s="44"/>
      <c r="AB98" s="44"/>
      <c r="AC98" s="44"/>
      <c r="AD98" s="44"/>
    </row>
    <row r="99" spans="1:30" s="43" customFormat="1" ht="13" customHeight="1">
      <c r="A99" s="35"/>
      <c r="B99" s="35"/>
      <c r="C99" s="107"/>
      <c r="D99" s="107"/>
      <c r="E99" s="107"/>
      <c r="F99" s="107"/>
      <c r="G99" s="107"/>
      <c r="H99" s="107"/>
      <c r="I99" s="35"/>
      <c r="J99" s="107"/>
      <c r="K99" s="35"/>
      <c r="L99" s="35"/>
      <c r="M99" s="35"/>
      <c r="N99" s="35"/>
      <c r="O99" s="35"/>
      <c r="P99" s="35"/>
      <c r="Q99" s="107"/>
      <c r="R99" s="35"/>
      <c r="S99" s="35"/>
      <c r="T99" s="35"/>
      <c r="U99" s="35"/>
      <c r="V99" s="35"/>
      <c r="W99" s="35"/>
      <c r="X99" s="44"/>
      <c r="Y99" s="44"/>
      <c r="Z99" s="44"/>
      <c r="AA99" s="44"/>
      <c r="AB99" s="44"/>
      <c r="AC99" s="44"/>
      <c r="AD99" s="44"/>
    </row>
    <row r="100" spans="1:30" s="43" customFormat="1" ht="13" customHeight="1">
      <c r="A100" s="35"/>
      <c r="B100" s="35"/>
      <c r="C100" s="107"/>
      <c r="D100" s="107"/>
      <c r="E100" s="107"/>
      <c r="F100" s="107"/>
      <c r="G100" s="107"/>
      <c r="H100" s="107"/>
      <c r="I100" s="35"/>
      <c r="J100" s="107"/>
      <c r="K100" s="35"/>
      <c r="L100" s="35"/>
      <c r="M100" s="35"/>
      <c r="N100" s="35"/>
      <c r="O100" s="35"/>
      <c r="P100" s="35"/>
      <c r="Q100" s="107"/>
      <c r="R100" s="35"/>
      <c r="S100" s="35"/>
      <c r="T100" s="35"/>
      <c r="U100" s="35"/>
      <c r="V100" s="35"/>
      <c r="W100" s="35"/>
      <c r="X100" s="44"/>
      <c r="Y100" s="44"/>
      <c r="Z100" s="44"/>
      <c r="AA100" s="44"/>
      <c r="AB100" s="44"/>
      <c r="AC100" s="44"/>
      <c r="AD100" s="44"/>
    </row>
    <row r="101" spans="1:30" s="43" customFormat="1" ht="13" customHeight="1">
      <c r="A101" s="35"/>
      <c r="B101" s="35"/>
      <c r="C101" s="107"/>
      <c r="D101" s="107"/>
      <c r="E101" s="107"/>
      <c r="F101" s="107"/>
      <c r="G101" s="107"/>
      <c r="H101" s="107"/>
      <c r="I101" s="35"/>
      <c r="J101" s="107"/>
      <c r="K101" s="35"/>
      <c r="L101" s="35"/>
      <c r="M101" s="35"/>
      <c r="N101" s="35"/>
      <c r="O101" s="35"/>
      <c r="P101" s="35"/>
      <c r="Q101" s="107"/>
      <c r="R101" s="35"/>
      <c r="S101" s="35"/>
      <c r="T101" s="35"/>
      <c r="U101" s="35"/>
      <c r="V101" s="35"/>
      <c r="W101" s="35"/>
      <c r="X101" s="44"/>
      <c r="Y101" s="44"/>
      <c r="Z101" s="44"/>
      <c r="AA101" s="44"/>
      <c r="AB101" s="44"/>
      <c r="AC101" s="44"/>
      <c r="AD101" s="44"/>
    </row>
    <row r="102" spans="1:30" s="43" customFormat="1" ht="13" customHeight="1">
      <c r="A102" s="35"/>
      <c r="B102" s="35"/>
      <c r="C102" s="107"/>
      <c r="D102" s="107"/>
      <c r="E102" s="107"/>
      <c r="F102" s="107"/>
      <c r="G102" s="107"/>
      <c r="H102" s="107"/>
      <c r="I102" s="35"/>
      <c r="J102" s="107"/>
      <c r="K102" s="35"/>
      <c r="L102" s="35"/>
      <c r="M102" s="35"/>
      <c r="N102" s="35"/>
      <c r="O102" s="35"/>
      <c r="P102" s="35"/>
      <c r="Q102" s="107"/>
      <c r="R102" s="35"/>
      <c r="S102" s="35"/>
      <c r="T102" s="35"/>
      <c r="U102" s="35"/>
      <c r="V102" s="35"/>
      <c r="W102" s="35"/>
      <c r="X102" s="44"/>
      <c r="Y102" s="44"/>
      <c r="Z102" s="44"/>
      <c r="AA102" s="44"/>
      <c r="AB102" s="44"/>
      <c r="AC102" s="44"/>
      <c r="AD102" s="44"/>
    </row>
    <row r="103" spans="1:30" s="43" customFormat="1" ht="13" customHeight="1">
      <c r="A103" s="35"/>
      <c r="B103" s="35"/>
      <c r="C103" s="107"/>
      <c r="D103" s="107"/>
      <c r="E103" s="107"/>
      <c r="F103" s="107"/>
      <c r="G103" s="107"/>
      <c r="H103" s="107"/>
      <c r="I103" s="35"/>
      <c r="J103" s="107"/>
      <c r="K103" s="35"/>
      <c r="L103" s="35"/>
      <c r="M103" s="35"/>
      <c r="N103" s="35"/>
      <c r="O103" s="35"/>
      <c r="P103" s="35"/>
      <c r="Q103" s="107"/>
      <c r="R103" s="35"/>
      <c r="S103" s="35"/>
      <c r="T103" s="35"/>
      <c r="U103" s="35"/>
      <c r="V103" s="35"/>
      <c r="W103" s="35"/>
      <c r="X103" s="44"/>
      <c r="Y103" s="44"/>
      <c r="Z103" s="44"/>
      <c r="AA103" s="44"/>
      <c r="AB103" s="44"/>
      <c r="AC103" s="44"/>
      <c r="AD103" s="44"/>
    </row>
    <row r="104" spans="1:30" s="43" customFormat="1" ht="13" customHeight="1">
      <c r="A104" s="35"/>
      <c r="B104" s="35"/>
      <c r="C104" s="107"/>
      <c r="D104" s="107"/>
      <c r="E104" s="107"/>
      <c r="F104" s="107"/>
      <c r="G104" s="107"/>
      <c r="H104" s="107"/>
      <c r="I104" s="35"/>
      <c r="J104" s="107"/>
      <c r="K104" s="35"/>
      <c r="L104" s="35"/>
      <c r="M104" s="35"/>
      <c r="N104" s="35"/>
      <c r="O104" s="35"/>
      <c r="P104" s="35"/>
      <c r="Q104" s="107"/>
      <c r="R104" s="35"/>
      <c r="S104" s="35"/>
      <c r="T104" s="35"/>
      <c r="U104" s="35"/>
      <c r="V104" s="35"/>
      <c r="W104" s="35"/>
      <c r="X104" s="44"/>
      <c r="Y104" s="44"/>
      <c r="Z104" s="44"/>
      <c r="AA104" s="44"/>
      <c r="AB104" s="44"/>
      <c r="AC104" s="44"/>
      <c r="AD104" s="44"/>
    </row>
    <row r="105" spans="1:30" s="43" customFormat="1" ht="13" customHeight="1">
      <c r="A105" s="35"/>
      <c r="B105" s="35"/>
      <c r="C105" s="107"/>
      <c r="D105" s="107"/>
      <c r="E105" s="107"/>
      <c r="F105" s="107"/>
      <c r="G105" s="107"/>
      <c r="H105" s="107"/>
      <c r="I105" s="35"/>
      <c r="J105" s="107"/>
      <c r="K105" s="35"/>
      <c r="L105" s="35"/>
      <c r="M105" s="35"/>
      <c r="N105" s="35"/>
      <c r="O105" s="35"/>
      <c r="P105" s="35"/>
      <c r="Q105" s="107"/>
      <c r="R105" s="35"/>
      <c r="S105" s="35"/>
      <c r="T105" s="35"/>
      <c r="U105" s="35"/>
      <c r="V105" s="35"/>
      <c r="W105" s="35"/>
      <c r="X105" s="44"/>
      <c r="Y105" s="44"/>
      <c r="Z105" s="44"/>
      <c r="AA105" s="44"/>
      <c r="AB105" s="44"/>
      <c r="AC105" s="44"/>
      <c r="AD105" s="44"/>
    </row>
    <row r="106" spans="1:30" s="43" customFormat="1" ht="13" customHeight="1">
      <c r="A106" s="35"/>
      <c r="B106" s="35"/>
      <c r="C106" s="107"/>
      <c r="D106" s="107"/>
      <c r="E106" s="107"/>
      <c r="F106" s="107"/>
      <c r="G106" s="107"/>
      <c r="H106" s="107"/>
      <c r="I106" s="35"/>
      <c r="J106" s="107"/>
      <c r="K106" s="35"/>
      <c r="L106" s="35"/>
      <c r="M106" s="35"/>
      <c r="N106" s="35"/>
      <c r="O106" s="35"/>
      <c r="P106" s="35"/>
      <c r="Q106" s="107"/>
      <c r="R106" s="35"/>
      <c r="S106" s="35"/>
      <c r="T106" s="35"/>
      <c r="U106" s="35"/>
      <c r="V106" s="35"/>
      <c r="W106" s="35"/>
      <c r="X106" s="44"/>
      <c r="Y106" s="44"/>
      <c r="Z106" s="44"/>
      <c r="AA106" s="44"/>
      <c r="AB106" s="44"/>
      <c r="AC106" s="44"/>
      <c r="AD106" s="44"/>
    </row>
    <row r="107" spans="1:30" s="43" customFormat="1" ht="13" customHeight="1">
      <c r="A107" s="35"/>
      <c r="B107" s="35"/>
      <c r="C107" s="107"/>
      <c r="D107" s="107"/>
      <c r="E107" s="107"/>
      <c r="F107" s="107"/>
      <c r="G107" s="107"/>
      <c r="H107" s="107"/>
      <c r="I107" s="35"/>
      <c r="J107" s="107"/>
      <c r="K107" s="35"/>
      <c r="L107" s="35"/>
      <c r="M107" s="35"/>
      <c r="N107" s="35"/>
      <c r="O107" s="35"/>
      <c r="P107" s="35"/>
      <c r="Q107" s="107"/>
      <c r="R107" s="35"/>
      <c r="S107" s="35"/>
      <c r="T107" s="35"/>
      <c r="U107" s="35"/>
      <c r="V107" s="35"/>
      <c r="W107" s="35"/>
      <c r="X107" s="44"/>
      <c r="Y107" s="44"/>
      <c r="Z107" s="44"/>
      <c r="AA107" s="44"/>
      <c r="AB107" s="44"/>
      <c r="AC107" s="44"/>
      <c r="AD107" s="44"/>
    </row>
    <row r="108" spans="1:30" s="43" customFormat="1" ht="13" customHeight="1">
      <c r="A108" s="35"/>
      <c r="B108" s="35"/>
      <c r="C108" s="107"/>
      <c r="D108" s="107"/>
      <c r="E108" s="107"/>
      <c r="F108" s="107"/>
      <c r="G108" s="107"/>
      <c r="H108" s="107"/>
      <c r="I108" s="35"/>
      <c r="J108" s="107"/>
      <c r="K108" s="35"/>
      <c r="L108" s="35"/>
      <c r="M108" s="35"/>
      <c r="N108" s="35"/>
      <c r="O108" s="35"/>
      <c r="P108" s="35"/>
      <c r="Q108" s="107"/>
      <c r="R108" s="35"/>
      <c r="S108" s="35"/>
      <c r="T108" s="35"/>
      <c r="U108" s="35"/>
      <c r="V108" s="35"/>
      <c r="W108" s="35"/>
      <c r="X108" s="44"/>
      <c r="Y108" s="44"/>
      <c r="Z108" s="44"/>
      <c r="AA108" s="44"/>
      <c r="AB108" s="44"/>
      <c r="AC108" s="44"/>
      <c r="AD108" s="44"/>
    </row>
    <row r="109" spans="1:30" s="43" customFormat="1" ht="13" customHeight="1">
      <c r="A109" s="18"/>
      <c r="B109" s="18"/>
      <c r="C109" s="103"/>
      <c r="D109" s="103"/>
      <c r="E109" s="103"/>
      <c r="F109" s="107"/>
      <c r="G109" s="107"/>
      <c r="H109" s="107"/>
      <c r="I109" s="35"/>
      <c r="J109" s="107"/>
      <c r="K109" s="35"/>
      <c r="L109" s="35"/>
      <c r="M109" s="35"/>
      <c r="N109" s="35"/>
      <c r="O109" s="35"/>
      <c r="P109" s="35"/>
      <c r="Q109" s="107"/>
      <c r="R109" s="18"/>
      <c r="S109" s="18"/>
      <c r="T109" s="18"/>
      <c r="U109" s="18"/>
      <c r="V109" s="18"/>
      <c r="W109" s="18"/>
    </row>
    <row r="110" spans="1:30" s="43" customFormat="1" ht="13" customHeight="1">
      <c r="A110" s="18"/>
      <c r="B110" s="18"/>
      <c r="C110" s="103"/>
      <c r="D110" s="103"/>
      <c r="E110" s="103"/>
      <c r="F110" s="107"/>
      <c r="G110" s="107"/>
      <c r="H110" s="107"/>
      <c r="I110" s="35"/>
      <c r="J110" s="107"/>
      <c r="K110" s="35"/>
      <c r="L110" s="35"/>
      <c r="M110" s="35"/>
      <c r="N110" s="35"/>
      <c r="O110" s="35"/>
      <c r="P110" s="35"/>
      <c r="Q110" s="107"/>
      <c r="R110" s="18"/>
      <c r="S110" s="18"/>
      <c r="T110" s="18"/>
      <c r="U110" s="18"/>
      <c r="V110" s="18"/>
      <c r="W110" s="18"/>
    </row>
    <row r="111" spans="1:30" s="43" customFormat="1" ht="13" customHeight="1">
      <c r="A111" s="18"/>
      <c r="B111" s="18"/>
      <c r="C111" s="103"/>
      <c r="D111" s="103"/>
      <c r="E111" s="103"/>
      <c r="F111" s="107"/>
      <c r="G111" s="107"/>
      <c r="H111" s="107"/>
      <c r="I111" s="35"/>
      <c r="J111" s="107"/>
      <c r="K111" s="35"/>
      <c r="L111" s="35"/>
      <c r="M111" s="35"/>
      <c r="N111" s="35"/>
      <c r="O111" s="35"/>
      <c r="P111" s="35"/>
      <c r="Q111" s="107"/>
      <c r="R111" s="18"/>
      <c r="S111" s="18"/>
      <c r="T111" s="18"/>
      <c r="U111" s="18"/>
      <c r="V111" s="18"/>
      <c r="W111" s="18"/>
    </row>
    <row r="112" spans="1:30" s="43" customFormat="1" ht="13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</row>
    <row r="113" spans="1:18" s="43" customFormat="1" ht="13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</row>
    <row r="114" spans="1:18" s="43" customFormat="1" ht="13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</row>
    <row r="115" spans="1:18" ht="13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</row>
    <row r="116" spans="1:18" ht="13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</row>
    <row r="117" spans="1:18" ht="13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</row>
    <row r="118" spans="1:18" ht="13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</row>
  </sheetData>
  <sheetProtection password="C6F9" sheet="1" objects="1" scenarios="1" selectLockedCells="1"/>
  <pageMargins left="0.7" right="0.7" top="0.75" bottom="0.75" header="0.3" footer="0.3"/>
  <pageSetup orientation="portrait" verticalDpi="598" r:id="rId1"/>
  <ignoredErrors>
    <ignoredError sqref="B1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01"/>
  <sheetViews>
    <sheetView topLeftCell="A8" zoomScaleNormal="100" workbookViewId="0">
      <selection activeCell="K28" sqref="K28"/>
    </sheetView>
  </sheetViews>
  <sheetFormatPr defaultRowHeight="14.5"/>
  <cols>
    <col min="2" max="2" width="12" bestFit="1" customWidth="1"/>
    <col min="3" max="3" width="16.7265625" bestFit="1" customWidth="1"/>
    <col min="4" max="4" width="11.453125" customWidth="1"/>
    <col min="5" max="5" width="18.26953125" customWidth="1"/>
    <col min="6" max="6" width="11.453125" customWidth="1"/>
    <col min="7" max="7" width="10.1796875" customWidth="1"/>
    <col min="8" max="8" width="12.7265625" customWidth="1"/>
    <col min="9" max="9" width="11.54296875" customWidth="1"/>
    <col min="10" max="10" width="12" bestFit="1" customWidth="1"/>
    <col min="11" max="11" width="14" customWidth="1"/>
    <col min="12" max="12" width="11.54296875" customWidth="1"/>
    <col min="13" max="13" width="11.453125" customWidth="1"/>
    <col min="14" max="14" width="12.54296875" customWidth="1"/>
    <col min="15" max="15" width="11.26953125" customWidth="1"/>
    <col min="16" max="16" width="34.54296875" customWidth="1"/>
    <col min="17" max="17" width="11" bestFit="1" customWidth="1"/>
    <col min="19" max="19" width="14.26953125" customWidth="1"/>
    <col min="22" max="22" width="39.453125" customWidth="1"/>
    <col min="24" max="24" width="22.26953125" customWidth="1"/>
    <col min="28" max="28" width="21.26953125" customWidth="1"/>
    <col min="32" max="32" width="20.26953125" customWidth="1"/>
    <col min="36" max="36" width="34.453125" customWidth="1"/>
    <col min="37" max="37" width="26.54296875" customWidth="1"/>
    <col min="38" max="38" width="16.453125" customWidth="1"/>
    <col min="39" max="40" width="20.1796875" customWidth="1"/>
    <col min="41" max="41" width="37.1796875" customWidth="1"/>
    <col min="42" max="42" width="27" customWidth="1"/>
    <col min="43" max="43" width="12.1796875" customWidth="1"/>
    <col min="44" max="44" width="12.453125" bestFit="1" customWidth="1"/>
    <col min="47" max="47" width="34.81640625" customWidth="1"/>
    <col min="52" max="52" width="9.453125" customWidth="1"/>
    <col min="261" max="261" width="12" bestFit="1" customWidth="1"/>
    <col min="262" max="262" width="16.7265625" bestFit="1" customWidth="1"/>
    <col min="263" max="263" width="11.453125" customWidth="1"/>
    <col min="264" max="264" width="16.7265625" customWidth="1"/>
    <col min="265" max="265" width="11.453125" customWidth="1"/>
    <col min="266" max="266" width="10.1796875" customWidth="1"/>
    <col min="267" max="267" width="12.7265625" customWidth="1"/>
    <col min="268" max="268" width="11.54296875" customWidth="1"/>
    <col min="269" max="269" width="12" bestFit="1" customWidth="1"/>
    <col min="270" max="270" width="14" customWidth="1"/>
    <col min="271" max="271" width="11.54296875" customWidth="1"/>
    <col min="272" max="272" width="12.7265625" customWidth="1"/>
    <col min="273" max="273" width="12.54296875" customWidth="1"/>
    <col min="274" max="274" width="11.26953125" customWidth="1"/>
    <col min="275" max="275" width="34.54296875" customWidth="1"/>
    <col min="276" max="276" width="11" bestFit="1" customWidth="1"/>
    <col min="278" max="278" width="14.26953125" customWidth="1"/>
    <col min="281" max="281" width="39.453125" customWidth="1"/>
    <col min="283" max="283" width="22.26953125" customWidth="1"/>
    <col min="287" max="287" width="21.26953125" customWidth="1"/>
    <col min="291" max="291" width="20.26953125" customWidth="1"/>
    <col min="295" max="295" width="34.453125" customWidth="1"/>
    <col min="296" max="296" width="26.54296875" customWidth="1"/>
    <col min="297" max="297" width="16.453125" customWidth="1"/>
    <col min="298" max="299" width="20.1796875" customWidth="1"/>
    <col min="300" max="300" width="37.1796875" customWidth="1"/>
    <col min="301" max="301" width="27" customWidth="1"/>
    <col min="302" max="302" width="12.1796875" customWidth="1"/>
    <col min="303" max="303" width="12.453125" bestFit="1" customWidth="1"/>
    <col min="306" max="306" width="34.81640625" customWidth="1"/>
    <col min="311" max="311" width="9.453125" customWidth="1"/>
    <col min="517" max="517" width="12" bestFit="1" customWidth="1"/>
    <col min="518" max="518" width="16.7265625" bestFit="1" customWidth="1"/>
    <col min="519" max="519" width="11.453125" customWidth="1"/>
    <col min="520" max="520" width="16.7265625" customWidth="1"/>
    <col min="521" max="521" width="11.453125" customWidth="1"/>
    <col min="522" max="522" width="10.1796875" customWidth="1"/>
    <col min="523" max="523" width="12.7265625" customWidth="1"/>
    <col min="524" max="524" width="11.54296875" customWidth="1"/>
    <col min="525" max="525" width="12" bestFit="1" customWidth="1"/>
    <col min="526" max="526" width="14" customWidth="1"/>
    <col min="527" max="527" width="11.54296875" customWidth="1"/>
    <col min="528" max="528" width="12.7265625" customWidth="1"/>
    <col min="529" max="529" width="12.54296875" customWidth="1"/>
    <col min="530" max="530" width="11.26953125" customWidth="1"/>
    <col min="531" max="531" width="34.54296875" customWidth="1"/>
    <col min="532" max="532" width="11" bestFit="1" customWidth="1"/>
    <col min="534" max="534" width="14.26953125" customWidth="1"/>
    <col min="537" max="537" width="39.453125" customWidth="1"/>
    <col min="539" max="539" width="22.26953125" customWidth="1"/>
    <col min="543" max="543" width="21.26953125" customWidth="1"/>
    <col min="547" max="547" width="20.26953125" customWidth="1"/>
    <col min="551" max="551" width="34.453125" customWidth="1"/>
    <col min="552" max="552" width="26.54296875" customWidth="1"/>
    <col min="553" max="553" width="16.453125" customWidth="1"/>
    <col min="554" max="555" width="20.1796875" customWidth="1"/>
    <col min="556" max="556" width="37.1796875" customWidth="1"/>
    <col min="557" max="557" width="27" customWidth="1"/>
    <col min="558" max="558" width="12.1796875" customWidth="1"/>
    <col min="559" max="559" width="12.453125" bestFit="1" customWidth="1"/>
    <col min="562" max="562" width="34.81640625" customWidth="1"/>
    <col min="567" max="567" width="9.453125" customWidth="1"/>
    <col min="773" max="773" width="12" bestFit="1" customWidth="1"/>
    <col min="774" max="774" width="16.7265625" bestFit="1" customWidth="1"/>
    <col min="775" max="775" width="11.453125" customWidth="1"/>
    <col min="776" max="776" width="16.7265625" customWidth="1"/>
    <col min="777" max="777" width="11.453125" customWidth="1"/>
    <col min="778" max="778" width="10.1796875" customWidth="1"/>
    <col min="779" max="779" width="12.7265625" customWidth="1"/>
    <col min="780" max="780" width="11.54296875" customWidth="1"/>
    <col min="781" max="781" width="12" bestFit="1" customWidth="1"/>
    <col min="782" max="782" width="14" customWidth="1"/>
    <col min="783" max="783" width="11.54296875" customWidth="1"/>
    <col min="784" max="784" width="12.7265625" customWidth="1"/>
    <col min="785" max="785" width="12.54296875" customWidth="1"/>
    <col min="786" max="786" width="11.26953125" customWidth="1"/>
    <col min="787" max="787" width="34.54296875" customWidth="1"/>
    <col min="788" max="788" width="11" bestFit="1" customWidth="1"/>
    <col min="790" max="790" width="14.26953125" customWidth="1"/>
    <col min="793" max="793" width="39.453125" customWidth="1"/>
    <col min="795" max="795" width="22.26953125" customWidth="1"/>
    <col min="799" max="799" width="21.26953125" customWidth="1"/>
    <col min="803" max="803" width="20.26953125" customWidth="1"/>
    <col min="807" max="807" width="34.453125" customWidth="1"/>
    <col min="808" max="808" width="26.54296875" customWidth="1"/>
    <col min="809" max="809" width="16.453125" customWidth="1"/>
    <col min="810" max="811" width="20.1796875" customWidth="1"/>
    <col min="812" max="812" width="37.1796875" customWidth="1"/>
    <col min="813" max="813" width="27" customWidth="1"/>
    <col min="814" max="814" width="12.1796875" customWidth="1"/>
    <col min="815" max="815" width="12.453125" bestFit="1" customWidth="1"/>
    <col min="818" max="818" width="34.81640625" customWidth="1"/>
    <col min="823" max="823" width="9.453125" customWidth="1"/>
    <col min="1029" max="1029" width="12" bestFit="1" customWidth="1"/>
    <col min="1030" max="1030" width="16.7265625" bestFit="1" customWidth="1"/>
    <col min="1031" max="1031" width="11.453125" customWidth="1"/>
    <col min="1032" max="1032" width="16.7265625" customWidth="1"/>
    <col min="1033" max="1033" width="11.453125" customWidth="1"/>
    <col min="1034" max="1034" width="10.1796875" customWidth="1"/>
    <col min="1035" max="1035" width="12.7265625" customWidth="1"/>
    <col min="1036" max="1036" width="11.54296875" customWidth="1"/>
    <col min="1037" max="1037" width="12" bestFit="1" customWidth="1"/>
    <col min="1038" max="1038" width="14" customWidth="1"/>
    <col min="1039" max="1039" width="11.54296875" customWidth="1"/>
    <col min="1040" max="1040" width="12.7265625" customWidth="1"/>
    <col min="1041" max="1041" width="12.54296875" customWidth="1"/>
    <col min="1042" max="1042" width="11.26953125" customWidth="1"/>
    <col min="1043" max="1043" width="34.54296875" customWidth="1"/>
    <col min="1044" max="1044" width="11" bestFit="1" customWidth="1"/>
    <col min="1046" max="1046" width="14.26953125" customWidth="1"/>
    <col min="1049" max="1049" width="39.453125" customWidth="1"/>
    <col min="1051" max="1051" width="22.26953125" customWidth="1"/>
    <col min="1055" max="1055" width="21.26953125" customWidth="1"/>
    <col min="1059" max="1059" width="20.26953125" customWidth="1"/>
    <col min="1063" max="1063" width="34.453125" customWidth="1"/>
    <col min="1064" max="1064" width="26.54296875" customWidth="1"/>
    <col min="1065" max="1065" width="16.453125" customWidth="1"/>
    <col min="1066" max="1067" width="20.1796875" customWidth="1"/>
    <col min="1068" max="1068" width="37.1796875" customWidth="1"/>
    <col min="1069" max="1069" width="27" customWidth="1"/>
    <col min="1070" max="1070" width="12.1796875" customWidth="1"/>
    <col min="1071" max="1071" width="12.453125" bestFit="1" customWidth="1"/>
    <col min="1074" max="1074" width="34.81640625" customWidth="1"/>
    <col min="1079" max="1079" width="9.453125" customWidth="1"/>
    <col min="1285" max="1285" width="12" bestFit="1" customWidth="1"/>
    <col min="1286" max="1286" width="16.7265625" bestFit="1" customWidth="1"/>
    <col min="1287" max="1287" width="11.453125" customWidth="1"/>
    <col min="1288" max="1288" width="16.7265625" customWidth="1"/>
    <col min="1289" max="1289" width="11.453125" customWidth="1"/>
    <col min="1290" max="1290" width="10.1796875" customWidth="1"/>
    <col min="1291" max="1291" width="12.7265625" customWidth="1"/>
    <col min="1292" max="1292" width="11.54296875" customWidth="1"/>
    <col min="1293" max="1293" width="12" bestFit="1" customWidth="1"/>
    <col min="1294" max="1294" width="14" customWidth="1"/>
    <col min="1295" max="1295" width="11.54296875" customWidth="1"/>
    <col min="1296" max="1296" width="12.7265625" customWidth="1"/>
    <col min="1297" max="1297" width="12.54296875" customWidth="1"/>
    <col min="1298" max="1298" width="11.26953125" customWidth="1"/>
    <col min="1299" max="1299" width="34.54296875" customWidth="1"/>
    <col min="1300" max="1300" width="11" bestFit="1" customWidth="1"/>
    <col min="1302" max="1302" width="14.26953125" customWidth="1"/>
    <col min="1305" max="1305" width="39.453125" customWidth="1"/>
    <col min="1307" max="1307" width="22.26953125" customWidth="1"/>
    <col min="1311" max="1311" width="21.26953125" customWidth="1"/>
    <col min="1315" max="1315" width="20.26953125" customWidth="1"/>
    <col min="1319" max="1319" width="34.453125" customWidth="1"/>
    <col min="1320" max="1320" width="26.54296875" customWidth="1"/>
    <col min="1321" max="1321" width="16.453125" customWidth="1"/>
    <col min="1322" max="1323" width="20.1796875" customWidth="1"/>
    <col min="1324" max="1324" width="37.1796875" customWidth="1"/>
    <col min="1325" max="1325" width="27" customWidth="1"/>
    <col min="1326" max="1326" width="12.1796875" customWidth="1"/>
    <col min="1327" max="1327" width="12.453125" bestFit="1" customWidth="1"/>
    <col min="1330" max="1330" width="34.81640625" customWidth="1"/>
    <col min="1335" max="1335" width="9.453125" customWidth="1"/>
    <col min="1541" max="1541" width="12" bestFit="1" customWidth="1"/>
    <col min="1542" max="1542" width="16.7265625" bestFit="1" customWidth="1"/>
    <col min="1543" max="1543" width="11.453125" customWidth="1"/>
    <col min="1544" max="1544" width="16.7265625" customWidth="1"/>
    <col min="1545" max="1545" width="11.453125" customWidth="1"/>
    <col min="1546" max="1546" width="10.1796875" customWidth="1"/>
    <col min="1547" max="1547" width="12.7265625" customWidth="1"/>
    <col min="1548" max="1548" width="11.54296875" customWidth="1"/>
    <col min="1549" max="1549" width="12" bestFit="1" customWidth="1"/>
    <col min="1550" max="1550" width="14" customWidth="1"/>
    <col min="1551" max="1551" width="11.54296875" customWidth="1"/>
    <col min="1552" max="1552" width="12.7265625" customWidth="1"/>
    <col min="1553" max="1553" width="12.54296875" customWidth="1"/>
    <col min="1554" max="1554" width="11.26953125" customWidth="1"/>
    <col min="1555" max="1555" width="34.54296875" customWidth="1"/>
    <col min="1556" max="1556" width="11" bestFit="1" customWidth="1"/>
    <col min="1558" max="1558" width="14.26953125" customWidth="1"/>
    <col min="1561" max="1561" width="39.453125" customWidth="1"/>
    <col min="1563" max="1563" width="22.26953125" customWidth="1"/>
    <col min="1567" max="1567" width="21.26953125" customWidth="1"/>
    <col min="1571" max="1571" width="20.26953125" customWidth="1"/>
    <col min="1575" max="1575" width="34.453125" customWidth="1"/>
    <col min="1576" max="1576" width="26.54296875" customWidth="1"/>
    <col min="1577" max="1577" width="16.453125" customWidth="1"/>
    <col min="1578" max="1579" width="20.1796875" customWidth="1"/>
    <col min="1580" max="1580" width="37.1796875" customWidth="1"/>
    <col min="1581" max="1581" width="27" customWidth="1"/>
    <col min="1582" max="1582" width="12.1796875" customWidth="1"/>
    <col min="1583" max="1583" width="12.453125" bestFit="1" customWidth="1"/>
    <col min="1586" max="1586" width="34.81640625" customWidth="1"/>
    <col min="1591" max="1591" width="9.453125" customWidth="1"/>
    <col min="1797" max="1797" width="12" bestFit="1" customWidth="1"/>
    <col min="1798" max="1798" width="16.7265625" bestFit="1" customWidth="1"/>
    <col min="1799" max="1799" width="11.453125" customWidth="1"/>
    <col min="1800" max="1800" width="16.7265625" customWidth="1"/>
    <col min="1801" max="1801" width="11.453125" customWidth="1"/>
    <col min="1802" max="1802" width="10.1796875" customWidth="1"/>
    <col min="1803" max="1803" width="12.7265625" customWidth="1"/>
    <col min="1804" max="1804" width="11.54296875" customWidth="1"/>
    <col min="1805" max="1805" width="12" bestFit="1" customWidth="1"/>
    <col min="1806" max="1806" width="14" customWidth="1"/>
    <col min="1807" max="1807" width="11.54296875" customWidth="1"/>
    <col min="1808" max="1808" width="12.7265625" customWidth="1"/>
    <col min="1809" max="1809" width="12.54296875" customWidth="1"/>
    <col min="1810" max="1810" width="11.26953125" customWidth="1"/>
    <col min="1811" max="1811" width="34.54296875" customWidth="1"/>
    <col min="1812" max="1812" width="11" bestFit="1" customWidth="1"/>
    <col min="1814" max="1814" width="14.26953125" customWidth="1"/>
    <col min="1817" max="1817" width="39.453125" customWidth="1"/>
    <col min="1819" max="1819" width="22.26953125" customWidth="1"/>
    <col min="1823" max="1823" width="21.26953125" customWidth="1"/>
    <col min="1827" max="1827" width="20.26953125" customWidth="1"/>
    <col min="1831" max="1831" width="34.453125" customWidth="1"/>
    <col min="1832" max="1832" width="26.54296875" customWidth="1"/>
    <col min="1833" max="1833" width="16.453125" customWidth="1"/>
    <col min="1834" max="1835" width="20.1796875" customWidth="1"/>
    <col min="1836" max="1836" width="37.1796875" customWidth="1"/>
    <col min="1837" max="1837" width="27" customWidth="1"/>
    <col min="1838" max="1838" width="12.1796875" customWidth="1"/>
    <col min="1839" max="1839" width="12.453125" bestFit="1" customWidth="1"/>
    <col min="1842" max="1842" width="34.81640625" customWidth="1"/>
    <col min="1847" max="1847" width="9.453125" customWidth="1"/>
    <col min="2053" max="2053" width="12" bestFit="1" customWidth="1"/>
    <col min="2054" max="2054" width="16.7265625" bestFit="1" customWidth="1"/>
    <col min="2055" max="2055" width="11.453125" customWidth="1"/>
    <col min="2056" max="2056" width="16.7265625" customWidth="1"/>
    <col min="2057" max="2057" width="11.453125" customWidth="1"/>
    <col min="2058" max="2058" width="10.1796875" customWidth="1"/>
    <col min="2059" max="2059" width="12.7265625" customWidth="1"/>
    <col min="2060" max="2060" width="11.54296875" customWidth="1"/>
    <col min="2061" max="2061" width="12" bestFit="1" customWidth="1"/>
    <col min="2062" max="2062" width="14" customWidth="1"/>
    <col min="2063" max="2063" width="11.54296875" customWidth="1"/>
    <col min="2064" max="2064" width="12.7265625" customWidth="1"/>
    <col min="2065" max="2065" width="12.54296875" customWidth="1"/>
    <col min="2066" max="2066" width="11.26953125" customWidth="1"/>
    <col min="2067" max="2067" width="34.54296875" customWidth="1"/>
    <col min="2068" max="2068" width="11" bestFit="1" customWidth="1"/>
    <col min="2070" max="2070" width="14.26953125" customWidth="1"/>
    <col min="2073" max="2073" width="39.453125" customWidth="1"/>
    <col min="2075" max="2075" width="22.26953125" customWidth="1"/>
    <col min="2079" max="2079" width="21.26953125" customWidth="1"/>
    <col min="2083" max="2083" width="20.26953125" customWidth="1"/>
    <col min="2087" max="2087" width="34.453125" customWidth="1"/>
    <col min="2088" max="2088" width="26.54296875" customWidth="1"/>
    <col min="2089" max="2089" width="16.453125" customWidth="1"/>
    <col min="2090" max="2091" width="20.1796875" customWidth="1"/>
    <col min="2092" max="2092" width="37.1796875" customWidth="1"/>
    <col min="2093" max="2093" width="27" customWidth="1"/>
    <col min="2094" max="2094" width="12.1796875" customWidth="1"/>
    <col min="2095" max="2095" width="12.453125" bestFit="1" customWidth="1"/>
    <col min="2098" max="2098" width="34.81640625" customWidth="1"/>
    <col min="2103" max="2103" width="9.453125" customWidth="1"/>
    <col min="2309" max="2309" width="12" bestFit="1" customWidth="1"/>
    <col min="2310" max="2310" width="16.7265625" bestFit="1" customWidth="1"/>
    <col min="2311" max="2311" width="11.453125" customWidth="1"/>
    <col min="2312" max="2312" width="16.7265625" customWidth="1"/>
    <col min="2313" max="2313" width="11.453125" customWidth="1"/>
    <col min="2314" max="2314" width="10.1796875" customWidth="1"/>
    <col min="2315" max="2315" width="12.7265625" customWidth="1"/>
    <col min="2316" max="2316" width="11.54296875" customWidth="1"/>
    <col min="2317" max="2317" width="12" bestFit="1" customWidth="1"/>
    <col min="2318" max="2318" width="14" customWidth="1"/>
    <col min="2319" max="2319" width="11.54296875" customWidth="1"/>
    <col min="2320" max="2320" width="12.7265625" customWidth="1"/>
    <col min="2321" max="2321" width="12.54296875" customWidth="1"/>
    <col min="2322" max="2322" width="11.26953125" customWidth="1"/>
    <col min="2323" max="2323" width="34.54296875" customWidth="1"/>
    <col min="2324" max="2324" width="11" bestFit="1" customWidth="1"/>
    <col min="2326" max="2326" width="14.26953125" customWidth="1"/>
    <col min="2329" max="2329" width="39.453125" customWidth="1"/>
    <col min="2331" max="2331" width="22.26953125" customWidth="1"/>
    <col min="2335" max="2335" width="21.26953125" customWidth="1"/>
    <col min="2339" max="2339" width="20.26953125" customWidth="1"/>
    <col min="2343" max="2343" width="34.453125" customWidth="1"/>
    <col min="2344" max="2344" width="26.54296875" customWidth="1"/>
    <col min="2345" max="2345" width="16.453125" customWidth="1"/>
    <col min="2346" max="2347" width="20.1796875" customWidth="1"/>
    <col min="2348" max="2348" width="37.1796875" customWidth="1"/>
    <col min="2349" max="2349" width="27" customWidth="1"/>
    <col min="2350" max="2350" width="12.1796875" customWidth="1"/>
    <col min="2351" max="2351" width="12.453125" bestFit="1" customWidth="1"/>
    <col min="2354" max="2354" width="34.81640625" customWidth="1"/>
    <col min="2359" max="2359" width="9.453125" customWidth="1"/>
    <col min="2565" max="2565" width="12" bestFit="1" customWidth="1"/>
    <col min="2566" max="2566" width="16.7265625" bestFit="1" customWidth="1"/>
    <col min="2567" max="2567" width="11.453125" customWidth="1"/>
    <col min="2568" max="2568" width="16.7265625" customWidth="1"/>
    <col min="2569" max="2569" width="11.453125" customWidth="1"/>
    <col min="2570" max="2570" width="10.1796875" customWidth="1"/>
    <col min="2571" max="2571" width="12.7265625" customWidth="1"/>
    <col min="2572" max="2572" width="11.54296875" customWidth="1"/>
    <col min="2573" max="2573" width="12" bestFit="1" customWidth="1"/>
    <col min="2574" max="2574" width="14" customWidth="1"/>
    <col min="2575" max="2575" width="11.54296875" customWidth="1"/>
    <col min="2576" max="2576" width="12.7265625" customWidth="1"/>
    <col min="2577" max="2577" width="12.54296875" customWidth="1"/>
    <col min="2578" max="2578" width="11.26953125" customWidth="1"/>
    <col min="2579" max="2579" width="34.54296875" customWidth="1"/>
    <col min="2580" max="2580" width="11" bestFit="1" customWidth="1"/>
    <col min="2582" max="2582" width="14.26953125" customWidth="1"/>
    <col min="2585" max="2585" width="39.453125" customWidth="1"/>
    <col min="2587" max="2587" width="22.26953125" customWidth="1"/>
    <col min="2591" max="2591" width="21.26953125" customWidth="1"/>
    <col min="2595" max="2595" width="20.26953125" customWidth="1"/>
    <col min="2599" max="2599" width="34.453125" customWidth="1"/>
    <col min="2600" max="2600" width="26.54296875" customWidth="1"/>
    <col min="2601" max="2601" width="16.453125" customWidth="1"/>
    <col min="2602" max="2603" width="20.1796875" customWidth="1"/>
    <col min="2604" max="2604" width="37.1796875" customWidth="1"/>
    <col min="2605" max="2605" width="27" customWidth="1"/>
    <col min="2606" max="2606" width="12.1796875" customWidth="1"/>
    <col min="2607" max="2607" width="12.453125" bestFit="1" customWidth="1"/>
    <col min="2610" max="2610" width="34.81640625" customWidth="1"/>
    <col min="2615" max="2615" width="9.453125" customWidth="1"/>
    <col min="2821" max="2821" width="12" bestFit="1" customWidth="1"/>
    <col min="2822" max="2822" width="16.7265625" bestFit="1" customWidth="1"/>
    <col min="2823" max="2823" width="11.453125" customWidth="1"/>
    <col min="2824" max="2824" width="16.7265625" customWidth="1"/>
    <col min="2825" max="2825" width="11.453125" customWidth="1"/>
    <col min="2826" max="2826" width="10.1796875" customWidth="1"/>
    <col min="2827" max="2827" width="12.7265625" customWidth="1"/>
    <col min="2828" max="2828" width="11.54296875" customWidth="1"/>
    <col min="2829" max="2829" width="12" bestFit="1" customWidth="1"/>
    <col min="2830" max="2830" width="14" customWidth="1"/>
    <col min="2831" max="2831" width="11.54296875" customWidth="1"/>
    <col min="2832" max="2832" width="12.7265625" customWidth="1"/>
    <col min="2833" max="2833" width="12.54296875" customWidth="1"/>
    <col min="2834" max="2834" width="11.26953125" customWidth="1"/>
    <col min="2835" max="2835" width="34.54296875" customWidth="1"/>
    <col min="2836" max="2836" width="11" bestFit="1" customWidth="1"/>
    <col min="2838" max="2838" width="14.26953125" customWidth="1"/>
    <col min="2841" max="2841" width="39.453125" customWidth="1"/>
    <col min="2843" max="2843" width="22.26953125" customWidth="1"/>
    <col min="2847" max="2847" width="21.26953125" customWidth="1"/>
    <col min="2851" max="2851" width="20.26953125" customWidth="1"/>
    <col min="2855" max="2855" width="34.453125" customWidth="1"/>
    <col min="2856" max="2856" width="26.54296875" customWidth="1"/>
    <col min="2857" max="2857" width="16.453125" customWidth="1"/>
    <col min="2858" max="2859" width="20.1796875" customWidth="1"/>
    <col min="2860" max="2860" width="37.1796875" customWidth="1"/>
    <col min="2861" max="2861" width="27" customWidth="1"/>
    <col min="2862" max="2862" width="12.1796875" customWidth="1"/>
    <col min="2863" max="2863" width="12.453125" bestFit="1" customWidth="1"/>
    <col min="2866" max="2866" width="34.81640625" customWidth="1"/>
    <col min="2871" max="2871" width="9.453125" customWidth="1"/>
    <col min="3077" max="3077" width="12" bestFit="1" customWidth="1"/>
    <col min="3078" max="3078" width="16.7265625" bestFit="1" customWidth="1"/>
    <col min="3079" max="3079" width="11.453125" customWidth="1"/>
    <col min="3080" max="3080" width="16.7265625" customWidth="1"/>
    <col min="3081" max="3081" width="11.453125" customWidth="1"/>
    <col min="3082" max="3082" width="10.1796875" customWidth="1"/>
    <col min="3083" max="3083" width="12.7265625" customWidth="1"/>
    <col min="3084" max="3084" width="11.54296875" customWidth="1"/>
    <col min="3085" max="3085" width="12" bestFit="1" customWidth="1"/>
    <col min="3086" max="3086" width="14" customWidth="1"/>
    <col min="3087" max="3087" width="11.54296875" customWidth="1"/>
    <col min="3088" max="3088" width="12.7265625" customWidth="1"/>
    <col min="3089" max="3089" width="12.54296875" customWidth="1"/>
    <col min="3090" max="3090" width="11.26953125" customWidth="1"/>
    <col min="3091" max="3091" width="34.54296875" customWidth="1"/>
    <col min="3092" max="3092" width="11" bestFit="1" customWidth="1"/>
    <col min="3094" max="3094" width="14.26953125" customWidth="1"/>
    <col min="3097" max="3097" width="39.453125" customWidth="1"/>
    <col min="3099" max="3099" width="22.26953125" customWidth="1"/>
    <col min="3103" max="3103" width="21.26953125" customWidth="1"/>
    <col min="3107" max="3107" width="20.26953125" customWidth="1"/>
    <col min="3111" max="3111" width="34.453125" customWidth="1"/>
    <col min="3112" max="3112" width="26.54296875" customWidth="1"/>
    <col min="3113" max="3113" width="16.453125" customWidth="1"/>
    <col min="3114" max="3115" width="20.1796875" customWidth="1"/>
    <col min="3116" max="3116" width="37.1796875" customWidth="1"/>
    <col min="3117" max="3117" width="27" customWidth="1"/>
    <col min="3118" max="3118" width="12.1796875" customWidth="1"/>
    <col min="3119" max="3119" width="12.453125" bestFit="1" customWidth="1"/>
    <col min="3122" max="3122" width="34.81640625" customWidth="1"/>
    <col min="3127" max="3127" width="9.453125" customWidth="1"/>
    <col min="3333" max="3333" width="12" bestFit="1" customWidth="1"/>
    <col min="3334" max="3334" width="16.7265625" bestFit="1" customWidth="1"/>
    <col min="3335" max="3335" width="11.453125" customWidth="1"/>
    <col min="3336" max="3336" width="16.7265625" customWidth="1"/>
    <col min="3337" max="3337" width="11.453125" customWidth="1"/>
    <col min="3338" max="3338" width="10.1796875" customWidth="1"/>
    <col min="3339" max="3339" width="12.7265625" customWidth="1"/>
    <col min="3340" max="3340" width="11.54296875" customWidth="1"/>
    <col min="3341" max="3341" width="12" bestFit="1" customWidth="1"/>
    <col min="3342" max="3342" width="14" customWidth="1"/>
    <col min="3343" max="3343" width="11.54296875" customWidth="1"/>
    <col min="3344" max="3344" width="12.7265625" customWidth="1"/>
    <col min="3345" max="3345" width="12.54296875" customWidth="1"/>
    <col min="3346" max="3346" width="11.26953125" customWidth="1"/>
    <col min="3347" max="3347" width="34.54296875" customWidth="1"/>
    <col min="3348" max="3348" width="11" bestFit="1" customWidth="1"/>
    <col min="3350" max="3350" width="14.26953125" customWidth="1"/>
    <col min="3353" max="3353" width="39.453125" customWidth="1"/>
    <col min="3355" max="3355" width="22.26953125" customWidth="1"/>
    <col min="3359" max="3359" width="21.26953125" customWidth="1"/>
    <col min="3363" max="3363" width="20.26953125" customWidth="1"/>
    <col min="3367" max="3367" width="34.453125" customWidth="1"/>
    <col min="3368" max="3368" width="26.54296875" customWidth="1"/>
    <col min="3369" max="3369" width="16.453125" customWidth="1"/>
    <col min="3370" max="3371" width="20.1796875" customWidth="1"/>
    <col min="3372" max="3372" width="37.1796875" customWidth="1"/>
    <col min="3373" max="3373" width="27" customWidth="1"/>
    <col min="3374" max="3374" width="12.1796875" customWidth="1"/>
    <col min="3375" max="3375" width="12.453125" bestFit="1" customWidth="1"/>
    <col min="3378" max="3378" width="34.81640625" customWidth="1"/>
    <col min="3383" max="3383" width="9.453125" customWidth="1"/>
    <col min="3589" max="3589" width="12" bestFit="1" customWidth="1"/>
    <col min="3590" max="3590" width="16.7265625" bestFit="1" customWidth="1"/>
    <col min="3591" max="3591" width="11.453125" customWidth="1"/>
    <col min="3592" max="3592" width="16.7265625" customWidth="1"/>
    <col min="3593" max="3593" width="11.453125" customWidth="1"/>
    <col min="3594" max="3594" width="10.1796875" customWidth="1"/>
    <col min="3595" max="3595" width="12.7265625" customWidth="1"/>
    <col min="3596" max="3596" width="11.54296875" customWidth="1"/>
    <col min="3597" max="3597" width="12" bestFit="1" customWidth="1"/>
    <col min="3598" max="3598" width="14" customWidth="1"/>
    <col min="3599" max="3599" width="11.54296875" customWidth="1"/>
    <col min="3600" max="3600" width="12.7265625" customWidth="1"/>
    <col min="3601" max="3601" width="12.54296875" customWidth="1"/>
    <col min="3602" max="3602" width="11.26953125" customWidth="1"/>
    <col min="3603" max="3603" width="34.54296875" customWidth="1"/>
    <col min="3604" max="3604" width="11" bestFit="1" customWidth="1"/>
    <col min="3606" max="3606" width="14.26953125" customWidth="1"/>
    <col min="3609" max="3609" width="39.453125" customWidth="1"/>
    <col min="3611" max="3611" width="22.26953125" customWidth="1"/>
    <col min="3615" max="3615" width="21.26953125" customWidth="1"/>
    <col min="3619" max="3619" width="20.26953125" customWidth="1"/>
    <col min="3623" max="3623" width="34.453125" customWidth="1"/>
    <col min="3624" max="3624" width="26.54296875" customWidth="1"/>
    <col min="3625" max="3625" width="16.453125" customWidth="1"/>
    <col min="3626" max="3627" width="20.1796875" customWidth="1"/>
    <col min="3628" max="3628" width="37.1796875" customWidth="1"/>
    <col min="3629" max="3629" width="27" customWidth="1"/>
    <col min="3630" max="3630" width="12.1796875" customWidth="1"/>
    <col min="3631" max="3631" width="12.453125" bestFit="1" customWidth="1"/>
    <col min="3634" max="3634" width="34.81640625" customWidth="1"/>
    <col min="3639" max="3639" width="9.453125" customWidth="1"/>
    <col min="3845" max="3845" width="12" bestFit="1" customWidth="1"/>
    <col min="3846" max="3846" width="16.7265625" bestFit="1" customWidth="1"/>
    <col min="3847" max="3847" width="11.453125" customWidth="1"/>
    <col min="3848" max="3848" width="16.7265625" customWidth="1"/>
    <col min="3849" max="3849" width="11.453125" customWidth="1"/>
    <col min="3850" max="3850" width="10.1796875" customWidth="1"/>
    <col min="3851" max="3851" width="12.7265625" customWidth="1"/>
    <col min="3852" max="3852" width="11.54296875" customWidth="1"/>
    <col min="3853" max="3853" width="12" bestFit="1" customWidth="1"/>
    <col min="3854" max="3854" width="14" customWidth="1"/>
    <col min="3855" max="3855" width="11.54296875" customWidth="1"/>
    <col min="3856" max="3856" width="12.7265625" customWidth="1"/>
    <col min="3857" max="3857" width="12.54296875" customWidth="1"/>
    <col min="3858" max="3858" width="11.26953125" customWidth="1"/>
    <col min="3859" max="3859" width="34.54296875" customWidth="1"/>
    <col min="3860" max="3860" width="11" bestFit="1" customWidth="1"/>
    <col min="3862" max="3862" width="14.26953125" customWidth="1"/>
    <col min="3865" max="3865" width="39.453125" customWidth="1"/>
    <col min="3867" max="3867" width="22.26953125" customWidth="1"/>
    <col min="3871" max="3871" width="21.26953125" customWidth="1"/>
    <col min="3875" max="3875" width="20.26953125" customWidth="1"/>
    <col min="3879" max="3879" width="34.453125" customWidth="1"/>
    <col min="3880" max="3880" width="26.54296875" customWidth="1"/>
    <col min="3881" max="3881" width="16.453125" customWidth="1"/>
    <col min="3882" max="3883" width="20.1796875" customWidth="1"/>
    <col min="3884" max="3884" width="37.1796875" customWidth="1"/>
    <col min="3885" max="3885" width="27" customWidth="1"/>
    <col min="3886" max="3886" width="12.1796875" customWidth="1"/>
    <col min="3887" max="3887" width="12.453125" bestFit="1" customWidth="1"/>
    <col min="3890" max="3890" width="34.81640625" customWidth="1"/>
    <col min="3895" max="3895" width="9.453125" customWidth="1"/>
    <col min="4101" max="4101" width="12" bestFit="1" customWidth="1"/>
    <col min="4102" max="4102" width="16.7265625" bestFit="1" customWidth="1"/>
    <col min="4103" max="4103" width="11.453125" customWidth="1"/>
    <col min="4104" max="4104" width="16.7265625" customWidth="1"/>
    <col min="4105" max="4105" width="11.453125" customWidth="1"/>
    <col min="4106" max="4106" width="10.1796875" customWidth="1"/>
    <col min="4107" max="4107" width="12.7265625" customWidth="1"/>
    <col min="4108" max="4108" width="11.54296875" customWidth="1"/>
    <col min="4109" max="4109" width="12" bestFit="1" customWidth="1"/>
    <col min="4110" max="4110" width="14" customWidth="1"/>
    <col min="4111" max="4111" width="11.54296875" customWidth="1"/>
    <col min="4112" max="4112" width="12.7265625" customWidth="1"/>
    <col min="4113" max="4113" width="12.54296875" customWidth="1"/>
    <col min="4114" max="4114" width="11.26953125" customWidth="1"/>
    <col min="4115" max="4115" width="34.54296875" customWidth="1"/>
    <col min="4116" max="4116" width="11" bestFit="1" customWidth="1"/>
    <col min="4118" max="4118" width="14.26953125" customWidth="1"/>
    <col min="4121" max="4121" width="39.453125" customWidth="1"/>
    <col min="4123" max="4123" width="22.26953125" customWidth="1"/>
    <col min="4127" max="4127" width="21.26953125" customWidth="1"/>
    <col min="4131" max="4131" width="20.26953125" customWidth="1"/>
    <col min="4135" max="4135" width="34.453125" customWidth="1"/>
    <col min="4136" max="4136" width="26.54296875" customWidth="1"/>
    <col min="4137" max="4137" width="16.453125" customWidth="1"/>
    <col min="4138" max="4139" width="20.1796875" customWidth="1"/>
    <col min="4140" max="4140" width="37.1796875" customWidth="1"/>
    <col min="4141" max="4141" width="27" customWidth="1"/>
    <col min="4142" max="4142" width="12.1796875" customWidth="1"/>
    <col min="4143" max="4143" width="12.453125" bestFit="1" customWidth="1"/>
    <col min="4146" max="4146" width="34.81640625" customWidth="1"/>
    <col min="4151" max="4151" width="9.453125" customWidth="1"/>
    <col min="4357" max="4357" width="12" bestFit="1" customWidth="1"/>
    <col min="4358" max="4358" width="16.7265625" bestFit="1" customWidth="1"/>
    <col min="4359" max="4359" width="11.453125" customWidth="1"/>
    <col min="4360" max="4360" width="16.7265625" customWidth="1"/>
    <col min="4361" max="4361" width="11.453125" customWidth="1"/>
    <col min="4362" max="4362" width="10.1796875" customWidth="1"/>
    <col min="4363" max="4363" width="12.7265625" customWidth="1"/>
    <col min="4364" max="4364" width="11.54296875" customWidth="1"/>
    <col min="4365" max="4365" width="12" bestFit="1" customWidth="1"/>
    <col min="4366" max="4366" width="14" customWidth="1"/>
    <col min="4367" max="4367" width="11.54296875" customWidth="1"/>
    <col min="4368" max="4368" width="12.7265625" customWidth="1"/>
    <col min="4369" max="4369" width="12.54296875" customWidth="1"/>
    <col min="4370" max="4370" width="11.26953125" customWidth="1"/>
    <col min="4371" max="4371" width="34.54296875" customWidth="1"/>
    <col min="4372" max="4372" width="11" bestFit="1" customWidth="1"/>
    <col min="4374" max="4374" width="14.26953125" customWidth="1"/>
    <col min="4377" max="4377" width="39.453125" customWidth="1"/>
    <col min="4379" max="4379" width="22.26953125" customWidth="1"/>
    <col min="4383" max="4383" width="21.26953125" customWidth="1"/>
    <col min="4387" max="4387" width="20.26953125" customWidth="1"/>
    <col min="4391" max="4391" width="34.453125" customWidth="1"/>
    <col min="4392" max="4392" width="26.54296875" customWidth="1"/>
    <col min="4393" max="4393" width="16.453125" customWidth="1"/>
    <col min="4394" max="4395" width="20.1796875" customWidth="1"/>
    <col min="4396" max="4396" width="37.1796875" customWidth="1"/>
    <col min="4397" max="4397" width="27" customWidth="1"/>
    <col min="4398" max="4398" width="12.1796875" customWidth="1"/>
    <col min="4399" max="4399" width="12.453125" bestFit="1" customWidth="1"/>
    <col min="4402" max="4402" width="34.81640625" customWidth="1"/>
    <col min="4407" max="4407" width="9.453125" customWidth="1"/>
    <col min="4613" max="4613" width="12" bestFit="1" customWidth="1"/>
    <col min="4614" max="4614" width="16.7265625" bestFit="1" customWidth="1"/>
    <col min="4615" max="4615" width="11.453125" customWidth="1"/>
    <col min="4616" max="4616" width="16.7265625" customWidth="1"/>
    <col min="4617" max="4617" width="11.453125" customWidth="1"/>
    <col min="4618" max="4618" width="10.1796875" customWidth="1"/>
    <col min="4619" max="4619" width="12.7265625" customWidth="1"/>
    <col min="4620" max="4620" width="11.54296875" customWidth="1"/>
    <col min="4621" max="4621" width="12" bestFit="1" customWidth="1"/>
    <col min="4622" max="4622" width="14" customWidth="1"/>
    <col min="4623" max="4623" width="11.54296875" customWidth="1"/>
    <col min="4624" max="4624" width="12.7265625" customWidth="1"/>
    <col min="4625" max="4625" width="12.54296875" customWidth="1"/>
    <col min="4626" max="4626" width="11.26953125" customWidth="1"/>
    <col min="4627" max="4627" width="34.54296875" customWidth="1"/>
    <col min="4628" max="4628" width="11" bestFit="1" customWidth="1"/>
    <col min="4630" max="4630" width="14.26953125" customWidth="1"/>
    <col min="4633" max="4633" width="39.453125" customWidth="1"/>
    <col min="4635" max="4635" width="22.26953125" customWidth="1"/>
    <col min="4639" max="4639" width="21.26953125" customWidth="1"/>
    <col min="4643" max="4643" width="20.26953125" customWidth="1"/>
    <col min="4647" max="4647" width="34.453125" customWidth="1"/>
    <col min="4648" max="4648" width="26.54296875" customWidth="1"/>
    <col min="4649" max="4649" width="16.453125" customWidth="1"/>
    <col min="4650" max="4651" width="20.1796875" customWidth="1"/>
    <col min="4652" max="4652" width="37.1796875" customWidth="1"/>
    <col min="4653" max="4653" width="27" customWidth="1"/>
    <col min="4654" max="4654" width="12.1796875" customWidth="1"/>
    <col min="4655" max="4655" width="12.453125" bestFit="1" customWidth="1"/>
    <col min="4658" max="4658" width="34.81640625" customWidth="1"/>
    <col min="4663" max="4663" width="9.453125" customWidth="1"/>
    <col min="4869" max="4869" width="12" bestFit="1" customWidth="1"/>
    <col min="4870" max="4870" width="16.7265625" bestFit="1" customWidth="1"/>
    <col min="4871" max="4871" width="11.453125" customWidth="1"/>
    <col min="4872" max="4872" width="16.7265625" customWidth="1"/>
    <col min="4873" max="4873" width="11.453125" customWidth="1"/>
    <col min="4874" max="4874" width="10.1796875" customWidth="1"/>
    <col min="4875" max="4875" width="12.7265625" customWidth="1"/>
    <col min="4876" max="4876" width="11.54296875" customWidth="1"/>
    <col min="4877" max="4877" width="12" bestFit="1" customWidth="1"/>
    <col min="4878" max="4878" width="14" customWidth="1"/>
    <col min="4879" max="4879" width="11.54296875" customWidth="1"/>
    <col min="4880" max="4880" width="12.7265625" customWidth="1"/>
    <col min="4881" max="4881" width="12.54296875" customWidth="1"/>
    <col min="4882" max="4882" width="11.26953125" customWidth="1"/>
    <col min="4883" max="4883" width="34.54296875" customWidth="1"/>
    <col min="4884" max="4884" width="11" bestFit="1" customWidth="1"/>
    <col min="4886" max="4886" width="14.26953125" customWidth="1"/>
    <col min="4889" max="4889" width="39.453125" customWidth="1"/>
    <col min="4891" max="4891" width="22.26953125" customWidth="1"/>
    <col min="4895" max="4895" width="21.26953125" customWidth="1"/>
    <col min="4899" max="4899" width="20.26953125" customWidth="1"/>
    <col min="4903" max="4903" width="34.453125" customWidth="1"/>
    <col min="4904" max="4904" width="26.54296875" customWidth="1"/>
    <col min="4905" max="4905" width="16.453125" customWidth="1"/>
    <col min="4906" max="4907" width="20.1796875" customWidth="1"/>
    <col min="4908" max="4908" width="37.1796875" customWidth="1"/>
    <col min="4909" max="4909" width="27" customWidth="1"/>
    <col min="4910" max="4910" width="12.1796875" customWidth="1"/>
    <col min="4911" max="4911" width="12.453125" bestFit="1" customWidth="1"/>
    <col min="4914" max="4914" width="34.81640625" customWidth="1"/>
    <col min="4919" max="4919" width="9.453125" customWidth="1"/>
    <col min="5125" max="5125" width="12" bestFit="1" customWidth="1"/>
    <col min="5126" max="5126" width="16.7265625" bestFit="1" customWidth="1"/>
    <col min="5127" max="5127" width="11.453125" customWidth="1"/>
    <col min="5128" max="5128" width="16.7265625" customWidth="1"/>
    <col min="5129" max="5129" width="11.453125" customWidth="1"/>
    <col min="5130" max="5130" width="10.1796875" customWidth="1"/>
    <col min="5131" max="5131" width="12.7265625" customWidth="1"/>
    <col min="5132" max="5132" width="11.54296875" customWidth="1"/>
    <col min="5133" max="5133" width="12" bestFit="1" customWidth="1"/>
    <col min="5134" max="5134" width="14" customWidth="1"/>
    <col min="5135" max="5135" width="11.54296875" customWidth="1"/>
    <col min="5136" max="5136" width="12.7265625" customWidth="1"/>
    <col min="5137" max="5137" width="12.54296875" customWidth="1"/>
    <col min="5138" max="5138" width="11.26953125" customWidth="1"/>
    <col min="5139" max="5139" width="34.54296875" customWidth="1"/>
    <col min="5140" max="5140" width="11" bestFit="1" customWidth="1"/>
    <col min="5142" max="5142" width="14.26953125" customWidth="1"/>
    <col min="5145" max="5145" width="39.453125" customWidth="1"/>
    <col min="5147" max="5147" width="22.26953125" customWidth="1"/>
    <col min="5151" max="5151" width="21.26953125" customWidth="1"/>
    <col min="5155" max="5155" width="20.26953125" customWidth="1"/>
    <col min="5159" max="5159" width="34.453125" customWidth="1"/>
    <col min="5160" max="5160" width="26.54296875" customWidth="1"/>
    <col min="5161" max="5161" width="16.453125" customWidth="1"/>
    <col min="5162" max="5163" width="20.1796875" customWidth="1"/>
    <col min="5164" max="5164" width="37.1796875" customWidth="1"/>
    <col min="5165" max="5165" width="27" customWidth="1"/>
    <col min="5166" max="5166" width="12.1796875" customWidth="1"/>
    <col min="5167" max="5167" width="12.453125" bestFit="1" customWidth="1"/>
    <col min="5170" max="5170" width="34.81640625" customWidth="1"/>
    <col min="5175" max="5175" width="9.453125" customWidth="1"/>
    <col min="5381" max="5381" width="12" bestFit="1" customWidth="1"/>
    <col min="5382" max="5382" width="16.7265625" bestFit="1" customWidth="1"/>
    <col min="5383" max="5383" width="11.453125" customWidth="1"/>
    <col min="5384" max="5384" width="16.7265625" customWidth="1"/>
    <col min="5385" max="5385" width="11.453125" customWidth="1"/>
    <col min="5386" max="5386" width="10.1796875" customWidth="1"/>
    <col min="5387" max="5387" width="12.7265625" customWidth="1"/>
    <col min="5388" max="5388" width="11.54296875" customWidth="1"/>
    <col min="5389" max="5389" width="12" bestFit="1" customWidth="1"/>
    <col min="5390" max="5390" width="14" customWidth="1"/>
    <col min="5391" max="5391" width="11.54296875" customWidth="1"/>
    <col min="5392" max="5392" width="12.7265625" customWidth="1"/>
    <col min="5393" max="5393" width="12.54296875" customWidth="1"/>
    <col min="5394" max="5394" width="11.26953125" customWidth="1"/>
    <col min="5395" max="5395" width="34.54296875" customWidth="1"/>
    <col min="5396" max="5396" width="11" bestFit="1" customWidth="1"/>
    <col min="5398" max="5398" width="14.26953125" customWidth="1"/>
    <col min="5401" max="5401" width="39.453125" customWidth="1"/>
    <col min="5403" max="5403" width="22.26953125" customWidth="1"/>
    <col min="5407" max="5407" width="21.26953125" customWidth="1"/>
    <col min="5411" max="5411" width="20.26953125" customWidth="1"/>
    <col min="5415" max="5415" width="34.453125" customWidth="1"/>
    <col min="5416" max="5416" width="26.54296875" customWidth="1"/>
    <col min="5417" max="5417" width="16.453125" customWidth="1"/>
    <col min="5418" max="5419" width="20.1796875" customWidth="1"/>
    <col min="5420" max="5420" width="37.1796875" customWidth="1"/>
    <col min="5421" max="5421" width="27" customWidth="1"/>
    <col min="5422" max="5422" width="12.1796875" customWidth="1"/>
    <col min="5423" max="5423" width="12.453125" bestFit="1" customWidth="1"/>
    <col min="5426" max="5426" width="34.81640625" customWidth="1"/>
    <col min="5431" max="5431" width="9.453125" customWidth="1"/>
    <col min="5637" max="5637" width="12" bestFit="1" customWidth="1"/>
    <col min="5638" max="5638" width="16.7265625" bestFit="1" customWidth="1"/>
    <col min="5639" max="5639" width="11.453125" customWidth="1"/>
    <col min="5640" max="5640" width="16.7265625" customWidth="1"/>
    <col min="5641" max="5641" width="11.453125" customWidth="1"/>
    <col min="5642" max="5642" width="10.1796875" customWidth="1"/>
    <col min="5643" max="5643" width="12.7265625" customWidth="1"/>
    <col min="5644" max="5644" width="11.54296875" customWidth="1"/>
    <col min="5645" max="5645" width="12" bestFit="1" customWidth="1"/>
    <col min="5646" max="5646" width="14" customWidth="1"/>
    <col min="5647" max="5647" width="11.54296875" customWidth="1"/>
    <col min="5648" max="5648" width="12.7265625" customWidth="1"/>
    <col min="5649" max="5649" width="12.54296875" customWidth="1"/>
    <col min="5650" max="5650" width="11.26953125" customWidth="1"/>
    <col min="5651" max="5651" width="34.54296875" customWidth="1"/>
    <col min="5652" max="5652" width="11" bestFit="1" customWidth="1"/>
    <col min="5654" max="5654" width="14.26953125" customWidth="1"/>
    <col min="5657" max="5657" width="39.453125" customWidth="1"/>
    <col min="5659" max="5659" width="22.26953125" customWidth="1"/>
    <col min="5663" max="5663" width="21.26953125" customWidth="1"/>
    <col min="5667" max="5667" width="20.26953125" customWidth="1"/>
    <col min="5671" max="5671" width="34.453125" customWidth="1"/>
    <col min="5672" max="5672" width="26.54296875" customWidth="1"/>
    <col min="5673" max="5673" width="16.453125" customWidth="1"/>
    <col min="5674" max="5675" width="20.1796875" customWidth="1"/>
    <col min="5676" max="5676" width="37.1796875" customWidth="1"/>
    <col min="5677" max="5677" width="27" customWidth="1"/>
    <col min="5678" max="5678" width="12.1796875" customWidth="1"/>
    <col min="5679" max="5679" width="12.453125" bestFit="1" customWidth="1"/>
    <col min="5682" max="5682" width="34.81640625" customWidth="1"/>
    <col min="5687" max="5687" width="9.453125" customWidth="1"/>
    <col min="5893" max="5893" width="12" bestFit="1" customWidth="1"/>
    <col min="5894" max="5894" width="16.7265625" bestFit="1" customWidth="1"/>
    <col min="5895" max="5895" width="11.453125" customWidth="1"/>
    <col min="5896" max="5896" width="16.7265625" customWidth="1"/>
    <col min="5897" max="5897" width="11.453125" customWidth="1"/>
    <col min="5898" max="5898" width="10.1796875" customWidth="1"/>
    <col min="5899" max="5899" width="12.7265625" customWidth="1"/>
    <col min="5900" max="5900" width="11.54296875" customWidth="1"/>
    <col min="5901" max="5901" width="12" bestFit="1" customWidth="1"/>
    <col min="5902" max="5902" width="14" customWidth="1"/>
    <col min="5903" max="5903" width="11.54296875" customWidth="1"/>
    <col min="5904" max="5904" width="12.7265625" customWidth="1"/>
    <col min="5905" max="5905" width="12.54296875" customWidth="1"/>
    <col min="5906" max="5906" width="11.26953125" customWidth="1"/>
    <col min="5907" max="5907" width="34.54296875" customWidth="1"/>
    <col min="5908" max="5908" width="11" bestFit="1" customWidth="1"/>
    <col min="5910" max="5910" width="14.26953125" customWidth="1"/>
    <col min="5913" max="5913" width="39.453125" customWidth="1"/>
    <col min="5915" max="5915" width="22.26953125" customWidth="1"/>
    <col min="5919" max="5919" width="21.26953125" customWidth="1"/>
    <col min="5923" max="5923" width="20.26953125" customWidth="1"/>
    <col min="5927" max="5927" width="34.453125" customWidth="1"/>
    <col min="5928" max="5928" width="26.54296875" customWidth="1"/>
    <col min="5929" max="5929" width="16.453125" customWidth="1"/>
    <col min="5930" max="5931" width="20.1796875" customWidth="1"/>
    <col min="5932" max="5932" width="37.1796875" customWidth="1"/>
    <col min="5933" max="5933" width="27" customWidth="1"/>
    <col min="5934" max="5934" width="12.1796875" customWidth="1"/>
    <col min="5935" max="5935" width="12.453125" bestFit="1" customWidth="1"/>
    <col min="5938" max="5938" width="34.81640625" customWidth="1"/>
    <col min="5943" max="5943" width="9.453125" customWidth="1"/>
    <col min="6149" max="6149" width="12" bestFit="1" customWidth="1"/>
    <col min="6150" max="6150" width="16.7265625" bestFit="1" customWidth="1"/>
    <col min="6151" max="6151" width="11.453125" customWidth="1"/>
    <col min="6152" max="6152" width="16.7265625" customWidth="1"/>
    <col min="6153" max="6153" width="11.453125" customWidth="1"/>
    <col min="6154" max="6154" width="10.1796875" customWidth="1"/>
    <col min="6155" max="6155" width="12.7265625" customWidth="1"/>
    <col min="6156" max="6156" width="11.54296875" customWidth="1"/>
    <col min="6157" max="6157" width="12" bestFit="1" customWidth="1"/>
    <col min="6158" max="6158" width="14" customWidth="1"/>
    <col min="6159" max="6159" width="11.54296875" customWidth="1"/>
    <col min="6160" max="6160" width="12.7265625" customWidth="1"/>
    <col min="6161" max="6161" width="12.54296875" customWidth="1"/>
    <col min="6162" max="6162" width="11.26953125" customWidth="1"/>
    <col min="6163" max="6163" width="34.54296875" customWidth="1"/>
    <col min="6164" max="6164" width="11" bestFit="1" customWidth="1"/>
    <col min="6166" max="6166" width="14.26953125" customWidth="1"/>
    <col min="6169" max="6169" width="39.453125" customWidth="1"/>
    <col min="6171" max="6171" width="22.26953125" customWidth="1"/>
    <col min="6175" max="6175" width="21.26953125" customWidth="1"/>
    <col min="6179" max="6179" width="20.26953125" customWidth="1"/>
    <col min="6183" max="6183" width="34.453125" customWidth="1"/>
    <col min="6184" max="6184" width="26.54296875" customWidth="1"/>
    <col min="6185" max="6185" width="16.453125" customWidth="1"/>
    <col min="6186" max="6187" width="20.1796875" customWidth="1"/>
    <col min="6188" max="6188" width="37.1796875" customWidth="1"/>
    <col min="6189" max="6189" width="27" customWidth="1"/>
    <col min="6190" max="6190" width="12.1796875" customWidth="1"/>
    <col min="6191" max="6191" width="12.453125" bestFit="1" customWidth="1"/>
    <col min="6194" max="6194" width="34.81640625" customWidth="1"/>
    <col min="6199" max="6199" width="9.453125" customWidth="1"/>
    <col min="6405" max="6405" width="12" bestFit="1" customWidth="1"/>
    <col min="6406" max="6406" width="16.7265625" bestFit="1" customWidth="1"/>
    <col min="6407" max="6407" width="11.453125" customWidth="1"/>
    <col min="6408" max="6408" width="16.7265625" customWidth="1"/>
    <col min="6409" max="6409" width="11.453125" customWidth="1"/>
    <col min="6410" max="6410" width="10.1796875" customWidth="1"/>
    <col min="6411" max="6411" width="12.7265625" customWidth="1"/>
    <col min="6412" max="6412" width="11.54296875" customWidth="1"/>
    <col min="6413" max="6413" width="12" bestFit="1" customWidth="1"/>
    <col min="6414" max="6414" width="14" customWidth="1"/>
    <col min="6415" max="6415" width="11.54296875" customWidth="1"/>
    <col min="6416" max="6416" width="12.7265625" customWidth="1"/>
    <col min="6417" max="6417" width="12.54296875" customWidth="1"/>
    <col min="6418" max="6418" width="11.26953125" customWidth="1"/>
    <col min="6419" max="6419" width="34.54296875" customWidth="1"/>
    <col min="6420" max="6420" width="11" bestFit="1" customWidth="1"/>
    <col min="6422" max="6422" width="14.26953125" customWidth="1"/>
    <col min="6425" max="6425" width="39.453125" customWidth="1"/>
    <col min="6427" max="6427" width="22.26953125" customWidth="1"/>
    <col min="6431" max="6431" width="21.26953125" customWidth="1"/>
    <col min="6435" max="6435" width="20.26953125" customWidth="1"/>
    <col min="6439" max="6439" width="34.453125" customWidth="1"/>
    <col min="6440" max="6440" width="26.54296875" customWidth="1"/>
    <col min="6441" max="6441" width="16.453125" customWidth="1"/>
    <col min="6442" max="6443" width="20.1796875" customWidth="1"/>
    <col min="6444" max="6444" width="37.1796875" customWidth="1"/>
    <col min="6445" max="6445" width="27" customWidth="1"/>
    <col min="6446" max="6446" width="12.1796875" customWidth="1"/>
    <col min="6447" max="6447" width="12.453125" bestFit="1" customWidth="1"/>
    <col min="6450" max="6450" width="34.81640625" customWidth="1"/>
    <col min="6455" max="6455" width="9.453125" customWidth="1"/>
    <col min="6661" max="6661" width="12" bestFit="1" customWidth="1"/>
    <col min="6662" max="6662" width="16.7265625" bestFit="1" customWidth="1"/>
    <col min="6663" max="6663" width="11.453125" customWidth="1"/>
    <col min="6664" max="6664" width="16.7265625" customWidth="1"/>
    <col min="6665" max="6665" width="11.453125" customWidth="1"/>
    <col min="6666" max="6666" width="10.1796875" customWidth="1"/>
    <col min="6667" max="6667" width="12.7265625" customWidth="1"/>
    <col min="6668" max="6668" width="11.54296875" customWidth="1"/>
    <col min="6669" max="6669" width="12" bestFit="1" customWidth="1"/>
    <col min="6670" max="6670" width="14" customWidth="1"/>
    <col min="6671" max="6671" width="11.54296875" customWidth="1"/>
    <col min="6672" max="6672" width="12.7265625" customWidth="1"/>
    <col min="6673" max="6673" width="12.54296875" customWidth="1"/>
    <col min="6674" max="6674" width="11.26953125" customWidth="1"/>
    <col min="6675" max="6675" width="34.54296875" customWidth="1"/>
    <col min="6676" max="6676" width="11" bestFit="1" customWidth="1"/>
    <col min="6678" max="6678" width="14.26953125" customWidth="1"/>
    <col min="6681" max="6681" width="39.453125" customWidth="1"/>
    <col min="6683" max="6683" width="22.26953125" customWidth="1"/>
    <col min="6687" max="6687" width="21.26953125" customWidth="1"/>
    <col min="6691" max="6691" width="20.26953125" customWidth="1"/>
    <col min="6695" max="6695" width="34.453125" customWidth="1"/>
    <col min="6696" max="6696" width="26.54296875" customWidth="1"/>
    <col min="6697" max="6697" width="16.453125" customWidth="1"/>
    <col min="6698" max="6699" width="20.1796875" customWidth="1"/>
    <col min="6700" max="6700" width="37.1796875" customWidth="1"/>
    <col min="6701" max="6701" width="27" customWidth="1"/>
    <col min="6702" max="6702" width="12.1796875" customWidth="1"/>
    <col min="6703" max="6703" width="12.453125" bestFit="1" customWidth="1"/>
    <col min="6706" max="6706" width="34.81640625" customWidth="1"/>
    <col min="6711" max="6711" width="9.453125" customWidth="1"/>
    <col min="6917" max="6917" width="12" bestFit="1" customWidth="1"/>
    <col min="6918" max="6918" width="16.7265625" bestFit="1" customWidth="1"/>
    <col min="6919" max="6919" width="11.453125" customWidth="1"/>
    <col min="6920" max="6920" width="16.7265625" customWidth="1"/>
    <col min="6921" max="6921" width="11.453125" customWidth="1"/>
    <col min="6922" max="6922" width="10.1796875" customWidth="1"/>
    <col min="6923" max="6923" width="12.7265625" customWidth="1"/>
    <col min="6924" max="6924" width="11.54296875" customWidth="1"/>
    <col min="6925" max="6925" width="12" bestFit="1" customWidth="1"/>
    <col min="6926" max="6926" width="14" customWidth="1"/>
    <col min="6927" max="6927" width="11.54296875" customWidth="1"/>
    <col min="6928" max="6928" width="12.7265625" customWidth="1"/>
    <col min="6929" max="6929" width="12.54296875" customWidth="1"/>
    <col min="6930" max="6930" width="11.26953125" customWidth="1"/>
    <col min="6931" max="6931" width="34.54296875" customWidth="1"/>
    <col min="6932" max="6932" width="11" bestFit="1" customWidth="1"/>
    <col min="6934" max="6934" width="14.26953125" customWidth="1"/>
    <col min="6937" max="6937" width="39.453125" customWidth="1"/>
    <col min="6939" max="6939" width="22.26953125" customWidth="1"/>
    <col min="6943" max="6943" width="21.26953125" customWidth="1"/>
    <col min="6947" max="6947" width="20.26953125" customWidth="1"/>
    <col min="6951" max="6951" width="34.453125" customWidth="1"/>
    <col min="6952" max="6952" width="26.54296875" customWidth="1"/>
    <col min="6953" max="6953" width="16.453125" customWidth="1"/>
    <col min="6954" max="6955" width="20.1796875" customWidth="1"/>
    <col min="6956" max="6956" width="37.1796875" customWidth="1"/>
    <col min="6957" max="6957" width="27" customWidth="1"/>
    <col min="6958" max="6958" width="12.1796875" customWidth="1"/>
    <col min="6959" max="6959" width="12.453125" bestFit="1" customWidth="1"/>
    <col min="6962" max="6962" width="34.81640625" customWidth="1"/>
    <col min="6967" max="6967" width="9.453125" customWidth="1"/>
    <col min="7173" max="7173" width="12" bestFit="1" customWidth="1"/>
    <col min="7174" max="7174" width="16.7265625" bestFit="1" customWidth="1"/>
    <col min="7175" max="7175" width="11.453125" customWidth="1"/>
    <col min="7176" max="7176" width="16.7265625" customWidth="1"/>
    <col min="7177" max="7177" width="11.453125" customWidth="1"/>
    <col min="7178" max="7178" width="10.1796875" customWidth="1"/>
    <col min="7179" max="7179" width="12.7265625" customWidth="1"/>
    <col min="7180" max="7180" width="11.54296875" customWidth="1"/>
    <col min="7181" max="7181" width="12" bestFit="1" customWidth="1"/>
    <col min="7182" max="7182" width="14" customWidth="1"/>
    <col min="7183" max="7183" width="11.54296875" customWidth="1"/>
    <col min="7184" max="7184" width="12.7265625" customWidth="1"/>
    <col min="7185" max="7185" width="12.54296875" customWidth="1"/>
    <col min="7186" max="7186" width="11.26953125" customWidth="1"/>
    <col min="7187" max="7187" width="34.54296875" customWidth="1"/>
    <col min="7188" max="7188" width="11" bestFit="1" customWidth="1"/>
    <col min="7190" max="7190" width="14.26953125" customWidth="1"/>
    <col min="7193" max="7193" width="39.453125" customWidth="1"/>
    <col min="7195" max="7195" width="22.26953125" customWidth="1"/>
    <col min="7199" max="7199" width="21.26953125" customWidth="1"/>
    <col min="7203" max="7203" width="20.26953125" customWidth="1"/>
    <col min="7207" max="7207" width="34.453125" customWidth="1"/>
    <col min="7208" max="7208" width="26.54296875" customWidth="1"/>
    <col min="7209" max="7209" width="16.453125" customWidth="1"/>
    <col min="7210" max="7211" width="20.1796875" customWidth="1"/>
    <col min="7212" max="7212" width="37.1796875" customWidth="1"/>
    <col min="7213" max="7213" width="27" customWidth="1"/>
    <col min="7214" max="7214" width="12.1796875" customWidth="1"/>
    <col min="7215" max="7215" width="12.453125" bestFit="1" customWidth="1"/>
    <col min="7218" max="7218" width="34.81640625" customWidth="1"/>
    <col min="7223" max="7223" width="9.453125" customWidth="1"/>
    <col min="7429" max="7429" width="12" bestFit="1" customWidth="1"/>
    <col min="7430" max="7430" width="16.7265625" bestFit="1" customWidth="1"/>
    <col min="7431" max="7431" width="11.453125" customWidth="1"/>
    <col min="7432" max="7432" width="16.7265625" customWidth="1"/>
    <col min="7433" max="7433" width="11.453125" customWidth="1"/>
    <col min="7434" max="7434" width="10.1796875" customWidth="1"/>
    <col min="7435" max="7435" width="12.7265625" customWidth="1"/>
    <col min="7436" max="7436" width="11.54296875" customWidth="1"/>
    <col min="7437" max="7437" width="12" bestFit="1" customWidth="1"/>
    <col min="7438" max="7438" width="14" customWidth="1"/>
    <col min="7439" max="7439" width="11.54296875" customWidth="1"/>
    <col min="7440" max="7440" width="12.7265625" customWidth="1"/>
    <col min="7441" max="7441" width="12.54296875" customWidth="1"/>
    <col min="7442" max="7442" width="11.26953125" customWidth="1"/>
    <col min="7443" max="7443" width="34.54296875" customWidth="1"/>
    <col min="7444" max="7444" width="11" bestFit="1" customWidth="1"/>
    <col min="7446" max="7446" width="14.26953125" customWidth="1"/>
    <col min="7449" max="7449" width="39.453125" customWidth="1"/>
    <col min="7451" max="7451" width="22.26953125" customWidth="1"/>
    <col min="7455" max="7455" width="21.26953125" customWidth="1"/>
    <col min="7459" max="7459" width="20.26953125" customWidth="1"/>
    <col min="7463" max="7463" width="34.453125" customWidth="1"/>
    <col min="7464" max="7464" width="26.54296875" customWidth="1"/>
    <col min="7465" max="7465" width="16.453125" customWidth="1"/>
    <col min="7466" max="7467" width="20.1796875" customWidth="1"/>
    <col min="7468" max="7468" width="37.1796875" customWidth="1"/>
    <col min="7469" max="7469" width="27" customWidth="1"/>
    <col min="7470" max="7470" width="12.1796875" customWidth="1"/>
    <col min="7471" max="7471" width="12.453125" bestFit="1" customWidth="1"/>
    <col min="7474" max="7474" width="34.81640625" customWidth="1"/>
    <col min="7479" max="7479" width="9.453125" customWidth="1"/>
    <col min="7685" max="7685" width="12" bestFit="1" customWidth="1"/>
    <col min="7686" max="7686" width="16.7265625" bestFit="1" customWidth="1"/>
    <col min="7687" max="7687" width="11.453125" customWidth="1"/>
    <col min="7688" max="7688" width="16.7265625" customWidth="1"/>
    <col min="7689" max="7689" width="11.453125" customWidth="1"/>
    <col min="7690" max="7690" width="10.1796875" customWidth="1"/>
    <col min="7691" max="7691" width="12.7265625" customWidth="1"/>
    <col min="7692" max="7692" width="11.54296875" customWidth="1"/>
    <col min="7693" max="7693" width="12" bestFit="1" customWidth="1"/>
    <col min="7694" max="7694" width="14" customWidth="1"/>
    <col min="7695" max="7695" width="11.54296875" customWidth="1"/>
    <col min="7696" max="7696" width="12.7265625" customWidth="1"/>
    <col min="7697" max="7697" width="12.54296875" customWidth="1"/>
    <col min="7698" max="7698" width="11.26953125" customWidth="1"/>
    <col min="7699" max="7699" width="34.54296875" customWidth="1"/>
    <col min="7700" max="7700" width="11" bestFit="1" customWidth="1"/>
    <col min="7702" max="7702" width="14.26953125" customWidth="1"/>
    <col min="7705" max="7705" width="39.453125" customWidth="1"/>
    <col min="7707" max="7707" width="22.26953125" customWidth="1"/>
    <col min="7711" max="7711" width="21.26953125" customWidth="1"/>
    <col min="7715" max="7715" width="20.26953125" customWidth="1"/>
    <col min="7719" max="7719" width="34.453125" customWidth="1"/>
    <col min="7720" max="7720" width="26.54296875" customWidth="1"/>
    <col min="7721" max="7721" width="16.453125" customWidth="1"/>
    <col min="7722" max="7723" width="20.1796875" customWidth="1"/>
    <col min="7724" max="7724" width="37.1796875" customWidth="1"/>
    <col min="7725" max="7725" width="27" customWidth="1"/>
    <col min="7726" max="7726" width="12.1796875" customWidth="1"/>
    <col min="7727" max="7727" width="12.453125" bestFit="1" customWidth="1"/>
    <col min="7730" max="7730" width="34.81640625" customWidth="1"/>
    <col min="7735" max="7735" width="9.453125" customWidth="1"/>
    <col min="7941" max="7941" width="12" bestFit="1" customWidth="1"/>
    <col min="7942" max="7942" width="16.7265625" bestFit="1" customWidth="1"/>
    <col min="7943" max="7943" width="11.453125" customWidth="1"/>
    <col min="7944" max="7944" width="16.7265625" customWidth="1"/>
    <col min="7945" max="7945" width="11.453125" customWidth="1"/>
    <col min="7946" max="7946" width="10.1796875" customWidth="1"/>
    <col min="7947" max="7947" width="12.7265625" customWidth="1"/>
    <col min="7948" max="7948" width="11.54296875" customWidth="1"/>
    <col min="7949" max="7949" width="12" bestFit="1" customWidth="1"/>
    <col min="7950" max="7950" width="14" customWidth="1"/>
    <col min="7951" max="7951" width="11.54296875" customWidth="1"/>
    <col min="7952" max="7952" width="12.7265625" customWidth="1"/>
    <col min="7953" max="7953" width="12.54296875" customWidth="1"/>
    <col min="7954" max="7954" width="11.26953125" customWidth="1"/>
    <col min="7955" max="7955" width="34.54296875" customWidth="1"/>
    <col min="7956" max="7956" width="11" bestFit="1" customWidth="1"/>
    <col min="7958" max="7958" width="14.26953125" customWidth="1"/>
    <col min="7961" max="7961" width="39.453125" customWidth="1"/>
    <col min="7963" max="7963" width="22.26953125" customWidth="1"/>
    <col min="7967" max="7967" width="21.26953125" customWidth="1"/>
    <col min="7971" max="7971" width="20.26953125" customWidth="1"/>
    <col min="7975" max="7975" width="34.453125" customWidth="1"/>
    <col min="7976" max="7976" width="26.54296875" customWidth="1"/>
    <col min="7977" max="7977" width="16.453125" customWidth="1"/>
    <col min="7978" max="7979" width="20.1796875" customWidth="1"/>
    <col min="7980" max="7980" width="37.1796875" customWidth="1"/>
    <col min="7981" max="7981" width="27" customWidth="1"/>
    <col min="7982" max="7982" width="12.1796875" customWidth="1"/>
    <col min="7983" max="7983" width="12.453125" bestFit="1" customWidth="1"/>
    <col min="7986" max="7986" width="34.81640625" customWidth="1"/>
    <col min="7991" max="7991" width="9.453125" customWidth="1"/>
    <col min="8197" max="8197" width="12" bestFit="1" customWidth="1"/>
    <col min="8198" max="8198" width="16.7265625" bestFit="1" customWidth="1"/>
    <col min="8199" max="8199" width="11.453125" customWidth="1"/>
    <col min="8200" max="8200" width="16.7265625" customWidth="1"/>
    <col min="8201" max="8201" width="11.453125" customWidth="1"/>
    <col min="8202" max="8202" width="10.1796875" customWidth="1"/>
    <col min="8203" max="8203" width="12.7265625" customWidth="1"/>
    <col min="8204" max="8204" width="11.54296875" customWidth="1"/>
    <col min="8205" max="8205" width="12" bestFit="1" customWidth="1"/>
    <col min="8206" max="8206" width="14" customWidth="1"/>
    <col min="8207" max="8207" width="11.54296875" customWidth="1"/>
    <col min="8208" max="8208" width="12.7265625" customWidth="1"/>
    <col min="8209" max="8209" width="12.54296875" customWidth="1"/>
    <col min="8210" max="8210" width="11.26953125" customWidth="1"/>
    <col min="8211" max="8211" width="34.54296875" customWidth="1"/>
    <col min="8212" max="8212" width="11" bestFit="1" customWidth="1"/>
    <col min="8214" max="8214" width="14.26953125" customWidth="1"/>
    <col min="8217" max="8217" width="39.453125" customWidth="1"/>
    <col min="8219" max="8219" width="22.26953125" customWidth="1"/>
    <col min="8223" max="8223" width="21.26953125" customWidth="1"/>
    <col min="8227" max="8227" width="20.26953125" customWidth="1"/>
    <col min="8231" max="8231" width="34.453125" customWidth="1"/>
    <col min="8232" max="8232" width="26.54296875" customWidth="1"/>
    <col min="8233" max="8233" width="16.453125" customWidth="1"/>
    <col min="8234" max="8235" width="20.1796875" customWidth="1"/>
    <col min="8236" max="8236" width="37.1796875" customWidth="1"/>
    <col min="8237" max="8237" width="27" customWidth="1"/>
    <col min="8238" max="8238" width="12.1796875" customWidth="1"/>
    <col min="8239" max="8239" width="12.453125" bestFit="1" customWidth="1"/>
    <col min="8242" max="8242" width="34.81640625" customWidth="1"/>
    <col min="8247" max="8247" width="9.453125" customWidth="1"/>
    <col min="8453" max="8453" width="12" bestFit="1" customWidth="1"/>
    <col min="8454" max="8454" width="16.7265625" bestFit="1" customWidth="1"/>
    <col min="8455" max="8455" width="11.453125" customWidth="1"/>
    <col min="8456" max="8456" width="16.7265625" customWidth="1"/>
    <col min="8457" max="8457" width="11.453125" customWidth="1"/>
    <col min="8458" max="8458" width="10.1796875" customWidth="1"/>
    <col min="8459" max="8459" width="12.7265625" customWidth="1"/>
    <col min="8460" max="8460" width="11.54296875" customWidth="1"/>
    <col min="8461" max="8461" width="12" bestFit="1" customWidth="1"/>
    <col min="8462" max="8462" width="14" customWidth="1"/>
    <col min="8463" max="8463" width="11.54296875" customWidth="1"/>
    <col min="8464" max="8464" width="12.7265625" customWidth="1"/>
    <col min="8465" max="8465" width="12.54296875" customWidth="1"/>
    <col min="8466" max="8466" width="11.26953125" customWidth="1"/>
    <col min="8467" max="8467" width="34.54296875" customWidth="1"/>
    <col min="8468" max="8468" width="11" bestFit="1" customWidth="1"/>
    <col min="8470" max="8470" width="14.26953125" customWidth="1"/>
    <col min="8473" max="8473" width="39.453125" customWidth="1"/>
    <col min="8475" max="8475" width="22.26953125" customWidth="1"/>
    <col min="8479" max="8479" width="21.26953125" customWidth="1"/>
    <col min="8483" max="8483" width="20.26953125" customWidth="1"/>
    <col min="8487" max="8487" width="34.453125" customWidth="1"/>
    <col min="8488" max="8488" width="26.54296875" customWidth="1"/>
    <col min="8489" max="8489" width="16.453125" customWidth="1"/>
    <col min="8490" max="8491" width="20.1796875" customWidth="1"/>
    <col min="8492" max="8492" width="37.1796875" customWidth="1"/>
    <col min="8493" max="8493" width="27" customWidth="1"/>
    <col min="8494" max="8494" width="12.1796875" customWidth="1"/>
    <col min="8495" max="8495" width="12.453125" bestFit="1" customWidth="1"/>
    <col min="8498" max="8498" width="34.81640625" customWidth="1"/>
    <col min="8503" max="8503" width="9.453125" customWidth="1"/>
    <col min="8709" max="8709" width="12" bestFit="1" customWidth="1"/>
    <col min="8710" max="8710" width="16.7265625" bestFit="1" customWidth="1"/>
    <col min="8711" max="8711" width="11.453125" customWidth="1"/>
    <col min="8712" max="8712" width="16.7265625" customWidth="1"/>
    <col min="8713" max="8713" width="11.453125" customWidth="1"/>
    <col min="8714" max="8714" width="10.1796875" customWidth="1"/>
    <col min="8715" max="8715" width="12.7265625" customWidth="1"/>
    <col min="8716" max="8716" width="11.54296875" customWidth="1"/>
    <col min="8717" max="8717" width="12" bestFit="1" customWidth="1"/>
    <col min="8718" max="8718" width="14" customWidth="1"/>
    <col min="8719" max="8719" width="11.54296875" customWidth="1"/>
    <col min="8720" max="8720" width="12.7265625" customWidth="1"/>
    <col min="8721" max="8721" width="12.54296875" customWidth="1"/>
    <col min="8722" max="8722" width="11.26953125" customWidth="1"/>
    <col min="8723" max="8723" width="34.54296875" customWidth="1"/>
    <col min="8724" max="8724" width="11" bestFit="1" customWidth="1"/>
    <col min="8726" max="8726" width="14.26953125" customWidth="1"/>
    <col min="8729" max="8729" width="39.453125" customWidth="1"/>
    <col min="8731" max="8731" width="22.26953125" customWidth="1"/>
    <col min="8735" max="8735" width="21.26953125" customWidth="1"/>
    <col min="8739" max="8739" width="20.26953125" customWidth="1"/>
    <col min="8743" max="8743" width="34.453125" customWidth="1"/>
    <col min="8744" max="8744" width="26.54296875" customWidth="1"/>
    <col min="8745" max="8745" width="16.453125" customWidth="1"/>
    <col min="8746" max="8747" width="20.1796875" customWidth="1"/>
    <col min="8748" max="8748" width="37.1796875" customWidth="1"/>
    <col min="8749" max="8749" width="27" customWidth="1"/>
    <col min="8750" max="8750" width="12.1796875" customWidth="1"/>
    <col min="8751" max="8751" width="12.453125" bestFit="1" customWidth="1"/>
    <col min="8754" max="8754" width="34.81640625" customWidth="1"/>
    <col min="8759" max="8759" width="9.453125" customWidth="1"/>
    <col min="8965" max="8965" width="12" bestFit="1" customWidth="1"/>
    <col min="8966" max="8966" width="16.7265625" bestFit="1" customWidth="1"/>
    <col min="8967" max="8967" width="11.453125" customWidth="1"/>
    <col min="8968" max="8968" width="16.7265625" customWidth="1"/>
    <col min="8969" max="8969" width="11.453125" customWidth="1"/>
    <col min="8970" max="8970" width="10.1796875" customWidth="1"/>
    <col min="8971" max="8971" width="12.7265625" customWidth="1"/>
    <col min="8972" max="8972" width="11.54296875" customWidth="1"/>
    <col min="8973" max="8973" width="12" bestFit="1" customWidth="1"/>
    <col min="8974" max="8974" width="14" customWidth="1"/>
    <col min="8975" max="8975" width="11.54296875" customWidth="1"/>
    <col min="8976" max="8976" width="12.7265625" customWidth="1"/>
    <col min="8977" max="8977" width="12.54296875" customWidth="1"/>
    <col min="8978" max="8978" width="11.26953125" customWidth="1"/>
    <col min="8979" max="8979" width="34.54296875" customWidth="1"/>
    <col min="8980" max="8980" width="11" bestFit="1" customWidth="1"/>
    <col min="8982" max="8982" width="14.26953125" customWidth="1"/>
    <col min="8985" max="8985" width="39.453125" customWidth="1"/>
    <col min="8987" max="8987" width="22.26953125" customWidth="1"/>
    <col min="8991" max="8991" width="21.26953125" customWidth="1"/>
    <col min="8995" max="8995" width="20.26953125" customWidth="1"/>
    <col min="8999" max="8999" width="34.453125" customWidth="1"/>
    <col min="9000" max="9000" width="26.54296875" customWidth="1"/>
    <col min="9001" max="9001" width="16.453125" customWidth="1"/>
    <col min="9002" max="9003" width="20.1796875" customWidth="1"/>
    <col min="9004" max="9004" width="37.1796875" customWidth="1"/>
    <col min="9005" max="9005" width="27" customWidth="1"/>
    <col min="9006" max="9006" width="12.1796875" customWidth="1"/>
    <col min="9007" max="9007" width="12.453125" bestFit="1" customWidth="1"/>
    <col min="9010" max="9010" width="34.81640625" customWidth="1"/>
    <col min="9015" max="9015" width="9.453125" customWidth="1"/>
    <col min="9221" max="9221" width="12" bestFit="1" customWidth="1"/>
    <col min="9222" max="9222" width="16.7265625" bestFit="1" customWidth="1"/>
    <col min="9223" max="9223" width="11.453125" customWidth="1"/>
    <col min="9224" max="9224" width="16.7265625" customWidth="1"/>
    <col min="9225" max="9225" width="11.453125" customWidth="1"/>
    <col min="9226" max="9226" width="10.1796875" customWidth="1"/>
    <col min="9227" max="9227" width="12.7265625" customWidth="1"/>
    <col min="9228" max="9228" width="11.54296875" customWidth="1"/>
    <col min="9229" max="9229" width="12" bestFit="1" customWidth="1"/>
    <col min="9230" max="9230" width="14" customWidth="1"/>
    <col min="9231" max="9231" width="11.54296875" customWidth="1"/>
    <col min="9232" max="9232" width="12.7265625" customWidth="1"/>
    <col min="9233" max="9233" width="12.54296875" customWidth="1"/>
    <col min="9234" max="9234" width="11.26953125" customWidth="1"/>
    <col min="9235" max="9235" width="34.54296875" customWidth="1"/>
    <col min="9236" max="9236" width="11" bestFit="1" customWidth="1"/>
    <col min="9238" max="9238" width="14.26953125" customWidth="1"/>
    <col min="9241" max="9241" width="39.453125" customWidth="1"/>
    <col min="9243" max="9243" width="22.26953125" customWidth="1"/>
    <col min="9247" max="9247" width="21.26953125" customWidth="1"/>
    <col min="9251" max="9251" width="20.26953125" customWidth="1"/>
    <col min="9255" max="9255" width="34.453125" customWidth="1"/>
    <col min="9256" max="9256" width="26.54296875" customWidth="1"/>
    <col min="9257" max="9257" width="16.453125" customWidth="1"/>
    <col min="9258" max="9259" width="20.1796875" customWidth="1"/>
    <col min="9260" max="9260" width="37.1796875" customWidth="1"/>
    <col min="9261" max="9261" width="27" customWidth="1"/>
    <col min="9262" max="9262" width="12.1796875" customWidth="1"/>
    <col min="9263" max="9263" width="12.453125" bestFit="1" customWidth="1"/>
    <col min="9266" max="9266" width="34.81640625" customWidth="1"/>
    <col min="9271" max="9271" width="9.453125" customWidth="1"/>
    <col min="9477" max="9477" width="12" bestFit="1" customWidth="1"/>
    <col min="9478" max="9478" width="16.7265625" bestFit="1" customWidth="1"/>
    <col min="9479" max="9479" width="11.453125" customWidth="1"/>
    <col min="9480" max="9480" width="16.7265625" customWidth="1"/>
    <col min="9481" max="9481" width="11.453125" customWidth="1"/>
    <col min="9482" max="9482" width="10.1796875" customWidth="1"/>
    <col min="9483" max="9483" width="12.7265625" customWidth="1"/>
    <col min="9484" max="9484" width="11.54296875" customWidth="1"/>
    <col min="9485" max="9485" width="12" bestFit="1" customWidth="1"/>
    <col min="9486" max="9486" width="14" customWidth="1"/>
    <col min="9487" max="9487" width="11.54296875" customWidth="1"/>
    <col min="9488" max="9488" width="12.7265625" customWidth="1"/>
    <col min="9489" max="9489" width="12.54296875" customWidth="1"/>
    <col min="9490" max="9490" width="11.26953125" customWidth="1"/>
    <col min="9491" max="9491" width="34.54296875" customWidth="1"/>
    <col min="9492" max="9492" width="11" bestFit="1" customWidth="1"/>
    <col min="9494" max="9494" width="14.26953125" customWidth="1"/>
    <col min="9497" max="9497" width="39.453125" customWidth="1"/>
    <col min="9499" max="9499" width="22.26953125" customWidth="1"/>
    <col min="9503" max="9503" width="21.26953125" customWidth="1"/>
    <col min="9507" max="9507" width="20.26953125" customWidth="1"/>
    <col min="9511" max="9511" width="34.453125" customWidth="1"/>
    <col min="9512" max="9512" width="26.54296875" customWidth="1"/>
    <col min="9513" max="9513" width="16.453125" customWidth="1"/>
    <col min="9514" max="9515" width="20.1796875" customWidth="1"/>
    <col min="9516" max="9516" width="37.1796875" customWidth="1"/>
    <col min="9517" max="9517" width="27" customWidth="1"/>
    <col min="9518" max="9518" width="12.1796875" customWidth="1"/>
    <col min="9519" max="9519" width="12.453125" bestFit="1" customWidth="1"/>
    <col min="9522" max="9522" width="34.81640625" customWidth="1"/>
    <col min="9527" max="9527" width="9.453125" customWidth="1"/>
    <col min="9733" max="9733" width="12" bestFit="1" customWidth="1"/>
    <col min="9734" max="9734" width="16.7265625" bestFit="1" customWidth="1"/>
    <col min="9735" max="9735" width="11.453125" customWidth="1"/>
    <col min="9736" max="9736" width="16.7265625" customWidth="1"/>
    <col min="9737" max="9737" width="11.453125" customWidth="1"/>
    <col min="9738" max="9738" width="10.1796875" customWidth="1"/>
    <col min="9739" max="9739" width="12.7265625" customWidth="1"/>
    <col min="9740" max="9740" width="11.54296875" customWidth="1"/>
    <col min="9741" max="9741" width="12" bestFit="1" customWidth="1"/>
    <col min="9742" max="9742" width="14" customWidth="1"/>
    <col min="9743" max="9743" width="11.54296875" customWidth="1"/>
    <col min="9744" max="9744" width="12.7265625" customWidth="1"/>
    <col min="9745" max="9745" width="12.54296875" customWidth="1"/>
    <col min="9746" max="9746" width="11.26953125" customWidth="1"/>
    <col min="9747" max="9747" width="34.54296875" customWidth="1"/>
    <col min="9748" max="9748" width="11" bestFit="1" customWidth="1"/>
    <col min="9750" max="9750" width="14.26953125" customWidth="1"/>
    <col min="9753" max="9753" width="39.453125" customWidth="1"/>
    <col min="9755" max="9755" width="22.26953125" customWidth="1"/>
    <col min="9759" max="9759" width="21.26953125" customWidth="1"/>
    <col min="9763" max="9763" width="20.26953125" customWidth="1"/>
    <col min="9767" max="9767" width="34.453125" customWidth="1"/>
    <col min="9768" max="9768" width="26.54296875" customWidth="1"/>
    <col min="9769" max="9769" width="16.453125" customWidth="1"/>
    <col min="9770" max="9771" width="20.1796875" customWidth="1"/>
    <col min="9772" max="9772" width="37.1796875" customWidth="1"/>
    <col min="9773" max="9773" width="27" customWidth="1"/>
    <col min="9774" max="9774" width="12.1796875" customWidth="1"/>
    <col min="9775" max="9775" width="12.453125" bestFit="1" customWidth="1"/>
    <col min="9778" max="9778" width="34.81640625" customWidth="1"/>
    <col min="9783" max="9783" width="9.453125" customWidth="1"/>
    <col min="9989" max="9989" width="12" bestFit="1" customWidth="1"/>
    <col min="9990" max="9990" width="16.7265625" bestFit="1" customWidth="1"/>
    <col min="9991" max="9991" width="11.453125" customWidth="1"/>
    <col min="9992" max="9992" width="16.7265625" customWidth="1"/>
    <col min="9993" max="9993" width="11.453125" customWidth="1"/>
    <col min="9994" max="9994" width="10.1796875" customWidth="1"/>
    <col min="9995" max="9995" width="12.7265625" customWidth="1"/>
    <col min="9996" max="9996" width="11.54296875" customWidth="1"/>
    <col min="9997" max="9997" width="12" bestFit="1" customWidth="1"/>
    <col min="9998" max="9998" width="14" customWidth="1"/>
    <col min="9999" max="9999" width="11.54296875" customWidth="1"/>
    <col min="10000" max="10000" width="12.7265625" customWidth="1"/>
    <col min="10001" max="10001" width="12.54296875" customWidth="1"/>
    <col min="10002" max="10002" width="11.26953125" customWidth="1"/>
    <col min="10003" max="10003" width="34.54296875" customWidth="1"/>
    <col min="10004" max="10004" width="11" bestFit="1" customWidth="1"/>
    <col min="10006" max="10006" width="14.26953125" customWidth="1"/>
    <col min="10009" max="10009" width="39.453125" customWidth="1"/>
    <col min="10011" max="10011" width="22.26953125" customWidth="1"/>
    <col min="10015" max="10015" width="21.26953125" customWidth="1"/>
    <col min="10019" max="10019" width="20.26953125" customWidth="1"/>
    <col min="10023" max="10023" width="34.453125" customWidth="1"/>
    <col min="10024" max="10024" width="26.54296875" customWidth="1"/>
    <col min="10025" max="10025" width="16.453125" customWidth="1"/>
    <col min="10026" max="10027" width="20.1796875" customWidth="1"/>
    <col min="10028" max="10028" width="37.1796875" customWidth="1"/>
    <col min="10029" max="10029" width="27" customWidth="1"/>
    <col min="10030" max="10030" width="12.1796875" customWidth="1"/>
    <col min="10031" max="10031" width="12.453125" bestFit="1" customWidth="1"/>
    <col min="10034" max="10034" width="34.81640625" customWidth="1"/>
    <col min="10039" max="10039" width="9.453125" customWidth="1"/>
    <col min="10245" max="10245" width="12" bestFit="1" customWidth="1"/>
    <col min="10246" max="10246" width="16.7265625" bestFit="1" customWidth="1"/>
    <col min="10247" max="10247" width="11.453125" customWidth="1"/>
    <col min="10248" max="10248" width="16.7265625" customWidth="1"/>
    <col min="10249" max="10249" width="11.453125" customWidth="1"/>
    <col min="10250" max="10250" width="10.1796875" customWidth="1"/>
    <col min="10251" max="10251" width="12.7265625" customWidth="1"/>
    <col min="10252" max="10252" width="11.54296875" customWidth="1"/>
    <col min="10253" max="10253" width="12" bestFit="1" customWidth="1"/>
    <col min="10254" max="10254" width="14" customWidth="1"/>
    <col min="10255" max="10255" width="11.54296875" customWidth="1"/>
    <col min="10256" max="10256" width="12.7265625" customWidth="1"/>
    <col min="10257" max="10257" width="12.54296875" customWidth="1"/>
    <col min="10258" max="10258" width="11.26953125" customWidth="1"/>
    <col min="10259" max="10259" width="34.54296875" customWidth="1"/>
    <col min="10260" max="10260" width="11" bestFit="1" customWidth="1"/>
    <col min="10262" max="10262" width="14.26953125" customWidth="1"/>
    <col min="10265" max="10265" width="39.453125" customWidth="1"/>
    <col min="10267" max="10267" width="22.26953125" customWidth="1"/>
    <col min="10271" max="10271" width="21.26953125" customWidth="1"/>
    <col min="10275" max="10275" width="20.26953125" customWidth="1"/>
    <col min="10279" max="10279" width="34.453125" customWidth="1"/>
    <col min="10280" max="10280" width="26.54296875" customWidth="1"/>
    <col min="10281" max="10281" width="16.453125" customWidth="1"/>
    <col min="10282" max="10283" width="20.1796875" customWidth="1"/>
    <col min="10284" max="10284" width="37.1796875" customWidth="1"/>
    <col min="10285" max="10285" width="27" customWidth="1"/>
    <col min="10286" max="10286" width="12.1796875" customWidth="1"/>
    <col min="10287" max="10287" width="12.453125" bestFit="1" customWidth="1"/>
    <col min="10290" max="10290" width="34.81640625" customWidth="1"/>
    <col min="10295" max="10295" width="9.453125" customWidth="1"/>
    <col min="10501" max="10501" width="12" bestFit="1" customWidth="1"/>
    <col min="10502" max="10502" width="16.7265625" bestFit="1" customWidth="1"/>
    <col min="10503" max="10503" width="11.453125" customWidth="1"/>
    <col min="10504" max="10504" width="16.7265625" customWidth="1"/>
    <col min="10505" max="10505" width="11.453125" customWidth="1"/>
    <col min="10506" max="10506" width="10.1796875" customWidth="1"/>
    <col min="10507" max="10507" width="12.7265625" customWidth="1"/>
    <col min="10508" max="10508" width="11.54296875" customWidth="1"/>
    <col min="10509" max="10509" width="12" bestFit="1" customWidth="1"/>
    <col min="10510" max="10510" width="14" customWidth="1"/>
    <col min="10511" max="10511" width="11.54296875" customWidth="1"/>
    <col min="10512" max="10512" width="12.7265625" customWidth="1"/>
    <col min="10513" max="10513" width="12.54296875" customWidth="1"/>
    <col min="10514" max="10514" width="11.26953125" customWidth="1"/>
    <col min="10515" max="10515" width="34.54296875" customWidth="1"/>
    <col min="10516" max="10516" width="11" bestFit="1" customWidth="1"/>
    <col min="10518" max="10518" width="14.26953125" customWidth="1"/>
    <col min="10521" max="10521" width="39.453125" customWidth="1"/>
    <col min="10523" max="10523" width="22.26953125" customWidth="1"/>
    <col min="10527" max="10527" width="21.26953125" customWidth="1"/>
    <col min="10531" max="10531" width="20.26953125" customWidth="1"/>
    <col min="10535" max="10535" width="34.453125" customWidth="1"/>
    <col min="10536" max="10536" width="26.54296875" customWidth="1"/>
    <col min="10537" max="10537" width="16.453125" customWidth="1"/>
    <col min="10538" max="10539" width="20.1796875" customWidth="1"/>
    <col min="10540" max="10540" width="37.1796875" customWidth="1"/>
    <col min="10541" max="10541" width="27" customWidth="1"/>
    <col min="10542" max="10542" width="12.1796875" customWidth="1"/>
    <col min="10543" max="10543" width="12.453125" bestFit="1" customWidth="1"/>
    <col min="10546" max="10546" width="34.81640625" customWidth="1"/>
    <col min="10551" max="10551" width="9.453125" customWidth="1"/>
    <col min="10757" max="10757" width="12" bestFit="1" customWidth="1"/>
    <col min="10758" max="10758" width="16.7265625" bestFit="1" customWidth="1"/>
    <col min="10759" max="10759" width="11.453125" customWidth="1"/>
    <col min="10760" max="10760" width="16.7265625" customWidth="1"/>
    <col min="10761" max="10761" width="11.453125" customWidth="1"/>
    <col min="10762" max="10762" width="10.1796875" customWidth="1"/>
    <col min="10763" max="10763" width="12.7265625" customWidth="1"/>
    <col min="10764" max="10764" width="11.54296875" customWidth="1"/>
    <col min="10765" max="10765" width="12" bestFit="1" customWidth="1"/>
    <col min="10766" max="10766" width="14" customWidth="1"/>
    <col min="10767" max="10767" width="11.54296875" customWidth="1"/>
    <col min="10768" max="10768" width="12.7265625" customWidth="1"/>
    <col min="10769" max="10769" width="12.54296875" customWidth="1"/>
    <col min="10770" max="10770" width="11.26953125" customWidth="1"/>
    <col min="10771" max="10771" width="34.54296875" customWidth="1"/>
    <col min="10772" max="10772" width="11" bestFit="1" customWidth="1"/>
    <col min="10774" max="10774" width="14.26953125" customWidth="1"/>
    <col min="10777" max="10777" width="39.453125" customWidth="1"/>
    <col min="10779" max="10779" width="22.26953125" customWidth="1"/>
    <col min="10783" max="10783" width="21.26953125" customWidth="1"/>
    <col min="10787" max="10787" width="20.26953125" customWidth="1"/>
    <col min="10791" max="10791" width="34.453125" customWidth="1"/>
    <col min="10792" max="10792" width="26.54296875" customWidth="1"/>
    <col min="10793" max="10793" width="16.453125" customWidth="1"/>
    <col min="10794" max="10795" width="20.1796875" customWidth="1"/>
    <col min="10796" max="10796" width="37.1796875" customWidth="1"/>
    <col min="10797" max="10797" width="27" customWidth="1"/>
    <col min="10798" max="10798" width="12.1796875" customWidth="1"/>
    <col min="10799" max="10799" width="12.453125" bestFit="1" customWidth="1"/>
    <col min="10802" max="10802" width="34.81640625" customWidth="1"/>
    <col min="10807" max="10807" width="9.453125" customWidth="1"/>
    <col min="11013" max="11013" width="12" bestFit="1" customWidth="1"/>
    <col min="11014" max="11014" width="16.7265625" bestFit="1" customWidth="1"/>
    <col min="11015" max="11015" width="11.453125" customWidth="1"/>
    <col min="11016" max="11016" width="16.7265625" customWidth="1"/>
    <col min="11017" max="11017" width="11.453125" customWidth="1"/>
    <col min="11018" max="11018" width="10.1796875" customWidth="1"/>
    <col min="11019" max="11019" width="12.7265625" customWidth="1"/>
    <col min="11020" max="11020" width="11.54296875" customWidth="1"/>
    <col min="11021" max="11021" width="12" bestFit="1" customWidth="1"/>
    <col min="11022" max="11022" width="14" customWidth="1"/>
    <col min="11023" max="11023" width="11.54296875" customWidth="1"/>
    <col min="11024" max="11024" width="12.7265625" customWidth="1"/>
    <col min="11025" max="11025" width="12.54296875" customWidth="1"/>
    <col min="11026" max="11026" width="11.26953125" customWidth="1"/>
    <col min="11027" max="11027" width="34.54296875" customWidth="1"/>
    <col min="11028" max="11028" width="11" bestFit="1" customWidth="1"/>
    <col min="11030" max="11030" width="14.26953125" customWidth="1"/>
    <col min="11033" max="11033" width="39.453125" customWidth="1"/>
    <col min="11035" max="11035" width="22.26953125" customWidth="1"/>
    <col min="11039" max="11039" width="21.26953125" customWidth="1"/>
    <col min="11043" max="11043" width="20.26953125" customWidth="1"/>
    <col min="11047" max="11047" width="34.453125" customWidth="1"/>
    <col min="11048" max="11048" width="26.54296875" customWidth="1"/>
    <col min="11049" max="11049" width="16.453125" customWidth="1"/>
    <col min="11050" max="11051" width="20.1796875" customWidth="1"/>
    <col min="11052" max="11052" width="37.1796875" customWidth="1"/>
    <col min="11053" max="11053" width="27" customWidth="1"/>
    <col min="11054" max="11054" width="12.1796875" customWidth="1"/>
    <col min="11055" max="11055" width="12.453125" bestFit="1" customWidth="1"/>
    <col min="11058" max="11058" width="34.81640625" customWidth="1"/>
    <col min="11063" max="11063" width="9.453125" customWidth="1"/>
    <col min="11269" max="11269" width="12" bestFit="1" customWidth="1"/>
    <col min="11270" max="11270" width="16.7265625" bestFit="1" customWidth="1"/>
    <col min="11271" max="11271" width="11.453125" customWidth="1"/>
    <col min="11272" max="11272" width="16.7265625" customWidth="1"/>
    <col min="11273" max="11273" width="11.453125" customWidth="1"/>
    <col min="11274" max="11274" width="10.1796875" customWidth="1"/>
    <col min="11275" max="11275" width="12.7265625" customWidth="1"/>
    <col min="11276" max="11276" width="11.54296875" customWidth="1"/>
    <col min="11277" max="11277" width="12" bestFit="1" customWidth="1"/>
    <col min="11278" max="11278" width="14" customWidth="1"/>
    <col min="11279" max="11279" width="11.54296875" customWidth="1"/>
    <col min="11280" max="11280" width="12.7265625" customWidth="1"/>
    <col min="11281" max="11281" width="12.54296875" customWidth="1"/>
    <col min="11282" max="11282" width="11.26953125" customWidth="1"/>
    <col min="11283" max="11283" width="34.54296875" customWidth="1"/>
    <col min="11284" max="11284" width="11" bestFit="1" customWidth="1"/>
    <col min="11286" max="11286" width="14.26953125" customWidth="1"/>
    <col min="11289" max="11289" width="39.453125" customWidth="1"/>
    <col min="11291" max="11291" width="22.26953125" customWidth="1"/>
    <col min="11295" max="11295" width="21.26953125" customWidth="1"/>
    <col min="11299" max="11299" width="20.26953125" customWidth="1"/>
    <col min="11303" max="11303" width="34.453125" customWidth="1"/>
    <col min="11304" max="11304" width="26.54296875" customWidth="1"/>
    <col min="11305" max="11305" width="16.453125" customWidth="1"/>
    <col min="11306" max="11307" width="20.1796875" customWidth="1"/>
    <col min="11308" max="11308" width="37.1796875" customWidth="1"/>
    <col min="11309" max="11309" width="27" customWidth="1"/>
    <col min="11310" max="11310" width="12.1796875" customWidth="1"/>
    <col min="11311" max="11311" width="12.453125" bestFit="1" customWidth="1"/>
    <col min="11314" max="11314" width="34.81640625" customWidth="1"/>
    <col min="11319" max="11319" width="9.453125" customWidth="1"/>
    <col min="11525" max="11525" width="12" bestFit="1" customWidth="1"/>
    <col min="11526" max="11526" width="16.7265625" bestFit="1" customWidth="1"/>
    <col min="11527" max="11527" width="11.453125" customWidth="1"/>
    <col min="11528" max="11528" width="16.7265625" customWidth="1"/>
    <col min="11529" max="11529" width="11.453125" customWidth="1"/>
    <col min="11530" max="11530" width="10.1796875" customWidth="1"/>
    <col min="11531" max="11531" width="12.7265625" customWidth="1"/>
    <col min="11532" max="11532" width="11.54296875" customWidth="1"/>
    <col min="11533" max="11533" width="12" bestFit="1" customWidth="1"/>
    <col min="11534" max="11534" width="14" customWidth="1"/>
    <col min="11535" max="11535" width="11.54296875" customWidth="1"/>
    <col min="11536" max="11536" width="12.7265625" customWidth="1"/>
    <col min="11537" max="11537" width="12.54296875" customWidth="1"/>
    <col min="11538" max="11538" width="11.26953125" customWidth="1"/>
    <col min="11539" max="11539" width="34.54296875" customWidth="1"/>
    <col min="11540" max="11540" width="11" bestFit="1" customWidth="1"/>
    <col min="11542" max="11542" width="14.26953125" customWidth="1"/>
    <col min="11545" max="11545" width="39.453125" customWidth="1"/>
    <col min="11547" max="11547" width="22.26953125" customWidth="1"/>
    <col min="11551" max="11551" width="21.26953125" customWidth="1"/>
    <col min="11555" max="11555" width="20.26953125" customWidth="1"/>
    <col min="11559" max="11559" width="34.453125" customWidth="1"/>
    <col min="11560" max="11560" width="26.54296875" customWidth="1"/>
    <col min="11561" max="11561" width="16.453125" customWidth="1"/>
    <col min="11562" max="11563" width="20.1796875" customWidth="1"/>
    <col min="11564" max="11564" width="37.1796875" customWidth="1"/>
    <col min="11565" max="11565" width="27" customWidth="1"/>
    <col min="11566" max="11566" width="12.1796875" customWidth="1"/>
    <col min="11567" max="11567" width="12.453125" bestFit="1" customWidth="1"/>
    <col min="11570" max="11570" width="34.81640625" customWidth="1"/>
    <col min="11575" max="11575" width="9.453125" customWidth="1"/>
    <col min="11781" max="11781" width="12" bestFit="1" customWidth="1"/>
    <col min="11782" max="11782" width="16.7265625" bestFit="1" customWidth="1"/>
    <col min="11783" max="11783" width="11.453125" customWidth="1"/>
    <col min="11784" max="11784" width="16.7265625" customWidth="1"/>
    <col min="11785" max="11785" width="11.453125" customWidth="1"/>
    <col min="11786" max="11786" width="10.1796875" customWidth="1"/>
    <col min="11787" max="11787" width="12.7265625" customWidth="1"/>
    <col min="11788" max="11788" width="11.54296875" customWidth="1"/>
    <col min="11789" max="11789" width="12" bestFit="1" customWidth="1"/>
    <col min="11790" max="11790" width="14" customWidth="1"/>
    <col min="11791" max="11791" width="11.54296875" customWidth="1"/>
    <col min="11792" max="11792" width="12.7265625" customWidth="1"/>
    <col min="11793" max="11793" width="12.54296875" customWidth="1"/>
    <col min="11794" max="11794" width="11.26953125" customWidth="1"/>
    <col min="11795" max="11795" width="34.54296875" customWidth="1"/>
    <col min="11796" max="11796" width="11" bestFit="1" customWidth="1"/>
    <col min="11798" max="11798" width="14.26953125" customWidth="1"/>
    <col min="11801" max="11801" width="39.453125" customWidth="1"/>
    <col min="11803" max="11803" width="22.26953125" customWidth="1"/>
    <col min="11807" max="11807" width="21.26953125" customWidth="1"/>
    <col min="11811" max="11811" width="20.26953125" customWidth="1"/>
    <col min="11815" max="11815" width="34.453125" customWidth="1"/>
    <col min="11816" max="11816" width="26.54296875" customWidth="1"/>
    <col min="11817" max="11817" width="16.453125" customWidth="1"/>
    <col min="11818" max="11819" width="20.1796875" customWidth="1"/>
    <col min="11820" max="11820" width="37.1796875" customWidth="1"/>
    <col min="11821" max="11821" width="27" customWidth="1"/>
    <col min="11822" max="11822" width="12.1796875" customWidth="1"/>
    <col min="11823" max="11823" width="12.453125" bestFit="1" customWidth="1"/>
    <col min="11826" max="11826" width="34.81640625" customWidth="1"/>
    <col min="11831" max="11831" width="9.453125" customWidth="1"/>
    <col min="12037" max="12037" width="12" bestFit="1" customWidth="1"/>
    <col min="12038" max="12038" width="16.7265625" bestFit="1" customWidth="1"/>
    <col min="12039" max="12039" width="11.453125" customWidth="1"/>
    <col min="12040" max="12040" width="16.7265625" customWidth="1"/>
    <col min="12041" max="12041" width="11.453125" customWidth="1"/>
    <col min="12042" max="12042" width="10.1796875" customWidth="1"/>
    <col min="12043" max="12043" width="12.7265625" customWidth="1"/>
    <col min="12044" max="12044" width="11.54296875" customWidth="1"/>
    <col min="12045" max="12045" width="12" bestFit="1" customWidth="1"/>
    <col min="12046" max="12046" width="14" customWidth="1"/>
    <col min="12047" max="12047" width="11.54296875" customWidth="1"/>
    <col min="12048" max="12048" width="12.7265625" customWidth="1"/>
    <col min="12049" max="12049" width="12.54296875" customWidth="1"/>
    <col min="12050" max="12050" width="11.26953125" customWidth="1"/>
    <col min="12051" max="12051" width="34.54296875" customWidth="1"/>
    <col min="12052" max="12052" width="11" bestFit="1" customWidth="1"/>
    <col min="12054" max="12054" width="14.26953125" customWidth="1"/>
    <col min="12057" max="12057" width="39.453125" customWidth="1"/>
    <col min="12059" max="12059" width="22.26953125" customWidth="1"/>
    <col min="12063" max="12063" width="21.26953125" customWidth="1"/>
    <col min="12067" max="12067" width="20.26953125" customWidth="1"/>
    <col min="12071" max="12071" width="34.453125" customWidth="1"/>
    <col min="12072" max="12072" width="26.54296875" customWidth="1"/>
    <col min="12073" max="12073" width="16.453125" customWidth="1"/>
    <col min="12074" max="12075" width="20.1796875" customWidth="1"/>
    <col min="12076" max="12076" width="37.1796875" customWidth="1"/>
    <col min="12077" max="12077" width="27" customWidth="1"/>
    <col min="12078" max="12078" width="12.1796875" customWidth="1"/>
    <col min="12079" max="12079" width="12.453125" bestFit="1" customWidth="1"/>
    <col min="12082" max="12082" width="34.81640625" customWidth="1"/>
    <col min="12087" max="12087" width="9.453125" customWidth="1"/>
    <col min="12293" max="12293" width="12" bestFit="1" customWidth="1"/>
    <col min="12294" max="12294" width="16.7265625" bestFit="1" customWidth="1"/>
    <col min="12295" max="12295" width="11.453125" customWidth="1"/>
    <col min="12296" max="12296" width="16.7265625" customWidth="1"/>
    <col min="12297" max="12297" width="11.453125" customWidth="1"/>
    <col min="12298" max="12298" width="10.1796875" customWidth="1"/>
    <col min="12299" max="12299" width="12.7265625" customWidth="1"/>
    <col min="12300" max="12300" width="11.54296875" customWidth="1"/>
    <col min="12301" max="12301" width="12" bestFit="1" customWidth="1"/>
    <col min="12302" max="12302" width="14" customWidth="1"/>
    <col min="12303" max="12303" width="11.54296875" customWidth="1"/>
    <col min="12304" max="12304" width="12.7265625" customWidth="1"/>
    <col min="12305" max="12305" width="12.54296875" customWidth="1"/>
    <col min="12306" max="12306" width="11.26953125" customWidth="1"/>
    <col min="12307" max="12307" width="34.54296875" customWidth="1"/>
    <col min="12308" max="12308" width="11" bestFit="1" customWidth="1"/>
    <col min="12310" max="12310" width="14.26953125" customWidth="1"/>
    <col min="12313" max="12313" width="39.453125" customWidth="1"/>
    <col min="12315" max="12315" width="22.26953125" customWidth="1"/>
    <col min="12319" max="12319" width="21.26953125" customWidth="1"/>
    <col min="12323" max="12323" width="20.26953125" customWidth="1"/>
    <col min="12327" max="12327" width="34.453125" customWidth="1"/>
    <col min="12328" max="12328" width="26.54296875" customWidth="1"/>
    <col min="12329" max="12329" width="16.453125" customWidth="1"/>
    <col min="12330" max="12331" width="20.1796875" customWidth="1"/>
    <col min="12332" max="12332" width="37.1796875" customWidth="1"/>
    <col min="12333" max="12333" width="27" customWidth="1"/>
    <col min="12334" max="12334" width="12.1796875" customWidth="1"/>
    <col min="12335" max="12335" width="12.453125" bestFit="1" customWidth="1"/>
    <col min="12338" max="12338" width="34.81640625" customWidth="1"/>
    <col min="12343" max="12343" width="9.453125" customWidth="1"/>
    <col min="12549" max="12549" width="12" bestFit="1" customWidth="1"/>
    <col min="12550" max="12550" width="16.7265625" bestFit="1" customWidth="1"/>
    <col min="12551" max="12551" width="11.453125" customWidth="1"/>
    <col min="12552" max="12552" width="16.7265625" customWidth="1"/>
    <col min="12553" max="12553" width="11.453125" customWidth="1"/>
    <col min="12554" max="12554" width="10.1796875" customWidth="1"/>
    <col min="12555" max="12555" width="12.7265625" customWidth="1"/>
    <col min="12556" max="12556" width="11.54296875" customWidth="1"/>
    <col min="12557" max="12557" width="12" bestFit="1" customWidth="1"/>
    <col min="12558" max="12558" width="14" customWidth="1"/>
    <col min="12559" max="12559" width="11.54296875" customWidth="1"/>
    <col min="12560" max="12560" width="12.7265625" customWidth="1"/>
    <col min="12561" max="12561" width="12.54296875" customWidth="1"/>
    <col min="12562" max="12562" width="11.26953125" customWidth="1"/>
    <col min="12563" max="12563" width="34.54296875" customWidth="1"/>
    <col min="12564" max="12564" width="11" bestFit="1" customWidth="1"/>
    <col min="12566" max="12566" width="14.26953125" customWidth="1"/>
    <col min="12569" max="12569" width="39.453125" customWidth="1"/>
    <col min="12571" max="12571" width="22.26953125" customWidth="1"/>
    <col min="12575" max="12575" width="21.26953125" customWidth="1"/>
    <col min="12579" max="12579" width="20.26953125" customWidth="1"/>
    <col min="12583" max="12583" width="34.453125" customWidth="1"/>
    <col min="12584" max="12584" width="26.54296875" customWidth="1"/>
    <col min="12585" max="12585" width="16.453125" customWidth="1"/>
    <col min="12586" max="12587" width="20.1796875" customWidth="1"/>
    <col min="12588" max="12588" width="37.1796875" customWidth="1"/>
    <col min="12589" max="12589" width="27" customWidth="1"/>
    <col min="12590" max="12590" width="12.1796875" customWidth="1"/>
    <col min="12591" max="12591" width="12.453125" bestFit="1" customWidth="1"/>
    <col min="12594" max="12594" width="34.81640625" customWidth="1"/>
    <col min="12599" max="12599" width="9.453125" customWidth="1"/>
    <col min="12805" max="12805" width="12" bestFit="1" customWidth="1"/>
    <col min="12806" max="12806" width="16.7265625" bestFit="1" customWidth="1"/>
    <col min="12807" max="12807" width="11.453125" customWidth="1"/>
    <col min="12808" max="12808" width="16.7265625" customWidth="1"/>
    <col min="12809" max="12809" width="11.453125" customWidth="1"/>
    <col min="12810" max="12810" width="10.1796875" customWidth="1"/>
    <col min="12811" max="12811" width="12.7265625" customWidth="1"/>
    <col min="12812" max="12812" width="11.54296875" customWidth="1"/>
    <col min="12813" max="12813" width="12" bestFit="1" customWidth="1"/>
    <col min="12814" max="12814" width="14" customWidth="1"/>
    <col min="12815" max="12815" width="11.54296875" customWidth="1"/>
    <col min="12816" max="12816" width="12.7265625" customWidth="1"/>
    <col min="12817" max="12817" width="12.54296875" customWidth="1"/>
    <col min="12818" max="12818" width="11.26953125" customWidth="1"/>
    <col min="12819" max="12819" width="34.54296875" customWidth="1"/>
    <col min="12820" max="12820" width="11" bestFit="1" customWidth="1"/>
    <col min="12822" max="12822" width="14.26953125" customWidth="1"/>
    <col min="12825" max="12825" width="39.453125" customWidth="1"/>
    <col min="12827" max="12827" width="22.26953125" customWidth="1"/>
    <col min="12831" max="12831" width="21.26953125" customWidth="1"/>
    <col min="12835" max="12835" width="20.26953125" customWidth="1"/>
    <col min="12839" max="12839" width="34.453125" customWidth="1"/>
    <col min="12840" max="12840" width="26.54296875" customWidth="1"/>
    <col min="12841" max="12841" width="16.453125" customWidth="1"/>
    <col min="12842" max="12843" width="20.1796875" customWidth="1"/>
    <col min="12844" max="12844" width="37.1796875" customWidth="1"/>
    <col min="12845" max="12845" width="27" customWidth="1"/>
    <col min="12846" max="12846" width="12.1796875" customWidth="1"/>
    <col min="12847" max="12847" width="12.453125" bestFit="1" customWidth="1"/>
    <col min="12850" max="12850" width="34.81640625" customWidth="1"/>
    <col min="12855" max="12855" width="9.453125" customWidth="1"/>
    <col min="13061" max="13061" width="12" bestFit="1" customWidth="1"/>
    <col min="13062" max="13062" width="16.7265625" bestFit="1" customWidth="1"/>
    <col min="13063" max="13063" width="11.453125" customWidth="1"/>
    <col min="13064" max="13064" width="16.7265625" customWidth="1"/>
    <col min="13065" max="13065" width="11.453125" customWidth="1"/>
    <col min="13066" max="13066" width="10.1796875" customWidth="1"/>
    <col min="13067" max="13067" width="12.7265625" customWidth="1"/>
    <col min="13068" max="13068" width="11.54296875" customWidth="1"/>
    <col min="13069" max="13069" width="12" bestFit="1" customWidth="1"/>
    <col min="13070" max="13070" width="14" customWidth="1"/>
    <col min="13071" max="13071" width="11.54296875" customWidth="1"/>
    <col min="13072" max="13072" width="12.7265625" customWidth="1"/>
    <col min="13073" max="13073" width="12.54296875" customWidth="1"/>
    <col min="13074" max="13074" width="11.26953125" customWidth="1"/>
    <col min="13075" max="13075" width="34.54296875" customWidth="1"/>
    <col min="13076" max="13076" width="11" bestFit="1" customWidth="1"/>
    <col min="13078" max="13078" width="14.26953125" customWidth="1"/>
    <col min="13081" max="13081" width="39.453125" customWidth="1"/>
    <col min="13083" max="13083" width="22.26953125" customWidth="1"/>
    <col min="13087" max="13087" width="21.26953125" customWidth="1"/>
    <col min="13091" max="13091" width="20.26953125" customWidth="1"/>
    <col min="13095" max="13095" width="34.453125" customWidth="1"/>
    <col min="13096" max="13096" width="26.54296875" customWidth="1"/>
    <col min="13097" max="13097" width="16.453125" customWidth="1"/>
    <col min="13098" max="13099" width="20.1796875" customWidth="1"/>
    <col min="13100" max="13100" width="37.1796875" customWidth="1"/>
    <col min="13101" max="13101" width="27" customWidth="1"/>
    <col min="13102" max="13102" width="12.1796875" customWidth="1"/>
    <col min="13103" max="13103" width="12.453125" bestFit="1" customWidth="1"/>
    <col min="13106" max="13106" width="34.81640625" customWidth="1"/>
    <col min="13111" max="13111" width="9.453125" customWidth="1"/>
    <col min="13317" max="13317" width="12" bestFit="1" customWidth="1"/>
    <col min="13318" max="13318" width="16.7265625" bestFit="1" customWidth="1"/>
    <col min="13319" max="13319" width="11.453125" customWidth="1"/>
    <col min="13320" max="13320" width="16.7265625" customWidth="1"/>
    <col min="13321" max="13321" width="11.453125" customWidth="1"/>
    <col min="13322" max="13322" width="10.1796875" customWidth="1"/>
    <col min="13323" max="13323" width="12.7265625" customWidth="1"/>
    <col min="13324" max="13324" width="11.54296875" customWidth="1"/>
    <col min="13325" max="13325" width="12" bestFit="1" customWidth="1"/>
    <col min="13326" max="13326" width="14" customWidth="1"/>
    <col min="13327" max="13327" width="11.54296875" customWidth="1"/>
    <col min="13328" max="13328" width="12.7265625" customWidth="1"/>
    <col min="13329" max="13329" width="12.54296875" customWidth="1"/>
    <col min="13330" max="13330" width="11.26953125" customWidth="1"/>
    <col min="13331" max="13331" width="34.54296875" customWidth="1"/>
    <col min="13332" max="13332" width="11" bestFit="1" customWidth="1"/>
    <col min="13334" max="13334" width="14.26953125" customWidth="1"/>
    <col min="13337" max="13337" width="39.453125" customWidth="1"/>
    <col min="13339" max="13339" width="22.26953125" customWidth="1"/>
    <col min="13343" max="13343" width="21.26953125" customWidth="1"/>
    <col min="13347" max="13347" width="20.26953125" customWidth="1"/>
    <col min="13351" max="13351" width="34.453125" customWidth="1"/>
    <col min="13352" max="13352" width="26.54296875" customWidth="1"/>
    <col min="13353" max="13353" width="16.453125" customWidth="1"/>
    <col min="13354" max="13355" width="20.1796875" customWidth="1"/>
    <col min="13356" max="13356" width="37.1796875" customWidth="1"/>
    <col min="13357" max="13357" width="27" customWidth="1"/>
    <col min="13358" max="13358" width="12.1796875" customWidth="1"/>
    <col min="13359" max="13359" width="12.453125" bestFit="1" customWidth="1"/>
    <col min="13362" max="13362" width="34.81640625" customWidth="1"/>
    <col min="13367" max="13367" width="9.453125" customWidth="1"/>
    <col min="13573" max="13573" width="12" bestFit="1" customWidth="1"/>
    <col min="13574" max="13574" width="16.7265625" bestFit="1" customWidth="1"/>
    <col min="13575" max="13575" width="11.453125" customWidth="1"/>
    <col min="13576" max="13576" width="16.7265625" customWidth="1"/>
    <col min="13577" max="13577" width="11.453125" customWidth="1"/>
    <col min="13578" max="13578" width="10.1796875" customWidth="1"/>
    <col min="13579" max="13579" width="12.7265625" customWidth="1"/>
    <col min="13580" max="13580" width="11.54296875" customWidth="1"/>
    <col min="13581" max="13581" width="12" bestFit="1" customWidth="1"/>
    <col min="13582" max="13582" width="14" customWidth="1"/>
    <col min="13583" max="13583" width="11.54296875" customWidth="1"/>
    <col min="13584" max="13584" width="12.7265625" customWidth="1"/>
    <col min="13585" max="13585" width="12.54296875" customWidth="1"/>
    <col min="13586" max="13586" width="11.26953125" customWidth="1"/>
    <col min="13587" max="13587" width="34.54296875" customWidth="1"/>
    <col min="13588" max="13588" width="11" bestFit="1" customWidth="1"/>
    <col min="13590" max="13590" width="14.26953125" customWidth="1"/>
    <col min="13593" max="13593" width="39.453125" customWidth="1"/>
    <col min="13595" max="13595" width="22.26953125" customWidth="1"/>
    <col min="13599" max="13599" width="21.26953125" customWidth="1"/>
    <col min="13603" max="13603" width="20.26953125" customWidth="1"/>
    <col min="13607" max="13607" width="34.453125" customWidth="1"/>
    <col min="13608" max="13608" width="26.54296875" customWidth="1"/>
    <col min="13609" max="13609" width="16.453125" customWidth="1"/>
    <col min="13610" max="13611" width="20.1796875" customWidth="1"/>
    <col min="13612" max="13612" width="37.1796875" customWidth="1"/>
    <col min="13613" max="13613" width="27" customWidth="1"/>
    <col min="13614" max="13614" width="12.1796875" customWidth="1"/>
    <col min="13615" max="13615" width="12.453125" bestFit="1" customWidth="1"/>
    <col min="13618" max="13618" width="34.81640625" customWidth="1"/>
    <col min="13623" max="13623" width="9.453125" customWidth="1"/>
    <col min="13829" max="13829" width="12" bestFit="1" customWidth="1"/>
    <col min="13830" max="13830" width="16.7265625" bestFit="1" customWidth="1"/>
    <col min="13831" max="13831" width="11.453125" customWidth="1"/>
    <col min="13832" max="13832" width="16.7265625" customWidth="1"/>
    <col min="13833" max="13833" width="11.453125" customWidth="1"/>
    <col min="13834" max="13834" width="10.1796875" customWidth="1"/>
    <col min="13835" max="13835" width="12.7265625" customWidth="1"/>
    <col min="13836" max="13836" width="11.54296875" customWidth="1"/>
    <col min="13837" max="13837" width="12" bestFit="1" customWidth="1"/>
    <col min="13838" max="13838" width="14" customWidth="1"/>
    <col min="13839" max="13839" width="11.54296875" customWidth="1"/>
    <col min="13840" max="13840" width="12.7265625" customWidth="1"/>
    <col min="13841" max="13841" width="12.54296875" customWidth="1"/>
    <col min="13842" max="13842" width="11.26953125" customWidth="1"/>
    <col min="13843" max="13843" width="34.54296875" customWidth="1"/>
    <col min="13844" max="13844" width="11" bestFit="1" customWidth="1"/>
    <col min="13846" max="13846" width="14.26953125" customWidth="1"/>
    <col min="13849" max="13849" width="39.453125" customWidth="1"/>
    <col min="13851" max="13851" width="22.26953125" customWidth="1"/>
    <col min="13855" max="13855" width="21.26953125" customWidth="1"/>
    <col min="13859" max="13859" width="20.26953125" customWidth="1"/>
    <col min="13863" max="13863" width="34.453125" customWidth="1"/>
    <col min="13864" max="13864" width="26.54296875" customWidth="1"/>
    <col min="13865" max="13865" width="16.453125" customWidth="1"/>
    <col min="13866" max="13867" width="20.1796875" customWidth="1"/>
    <col min="13868" max="13868" width="37.1796875" customWidth="1"/>
    <col min="13869" max="13869" width="27" customWidth="1"/>
    <col min="13870" max="13870" width="12.1796875" customWidth="1"/>
    <col min="13871" max="13871" width="12.453125" bestFit="1" customWidth="1"/>
    <col min="13874" max="13874" width="34.81640625" customWidth="1"/>
    <col min="13879" max="13879" width="9.453125" customWidth="1"/>
    <col min="14085" max="14085" width="12" bestFit="1" customWidth="1"/>
    <col min="14086" max="14086" width="16.7265625" bestFit="1" customWidth="1"/>
    <col min="14087" max="14087" width="11.453125" customWidth="1"/>
    <col min="14088" max="14088" width="16.7265625" customWidth="1"/>
    <col min="14089" max="14089" width="11.453125" customWidth="1"/>
    <col min="14090" max="14090" width="10.1796875" customWidth="1"/>
    <col min="14091" max="14091" width="12.7265625" customWidth="1"/>
    <col min="14092" max="14092" width="11.54296875" customWidth="1"/>
    <col min="14093" max="14093" width="12" bestFit="1" customWidth="1"/>
    <col min="14094" max="14094" width="14" customWidth="1"/>
    <col min="14095" max="14095" width="11.54296875" customWidth="1"/>
    <col min="14096" max="14096" width="12.7265625" customWidth="1"/>
    <col min="14097" max="14097" width="12.54296875" customWidth="1"/>
    <col min="14098" max="14098" width="11.26953125" customWidth="1"/>
    <col min="14099" max="14099" width="34.54296875" customWidth="1"/>
    <col min="14100" max="14100" width="11" bestFit="1" customWidth="1"/>
    <col min="14102" max="14102" width="14.26953125" customWidth="1"/>
    <col min="14105" max="14105" width="39.453125" customWidth="1"/>
    <col min="14107" max="14107" width="22.26953125" customWidth="1"/>
    <col min="14111" max="14111" width="21.26953125" customWidth="1"/>
    <col min="14115" max="14115" width="20.26953125" customWidth="1"/>
    <col min="14119" max="14119" width="34.453125" customWidth="1"/>
    <col min="14120" max="14120" width="26.54296875" customWidth="1"/>
    <col min="14121" max="14121" width="16.453125" customWidth="1"/>
    <col min="14122" max="14123" width="20.1796875" customWidth="1"/>
    <col min="14124" max="14124" width="37.1796875" customWidth="1"/>
    <col min="14125" max="14125" width="27" customWidth="1"/>
    <col min="14126" max="14126" width="12.1796875" customWidth="1"/>
    <col min="14127" max="14127" width="12.453125" bestFit="1" customWidth="1"/>
    <col min="14130" max="14130" width="34.81640625" customWidth="1"/>
    <col min="14135" max="14135" width="9.453125" customWidth="1"/>
    <col min="14341" max="14341" width="12" bestFit="1" customWidth="1"/>
    <col min="14342" max="14342" width="16.7265625" bestFit="1" customWidth="1"/>
    <col min="14343" max="14343" width="11.453125" customWidth="1"/>
    <col min="14344" max="14344" width="16.7265625" customWidth="1"/>
    <col min="14345" max="14345" width="11.453125" customWidth="1"/>
    <col min="14346" max="14346" width="10.1796875" customWidth="1"/>
    <col min="14347" max="14347" width="12.7265625" customWidth="1"/>
    <col min="14348" max="14348" width="11.54296875" customWidth="1"/>
    <col min="14349" max="14349" width="12" bestFit="1" customWidth="1"/>
    <col min="14350" max="14350" width="14" customWidth="1"/>
    <col min="14351" max="14351" width="11.54296875" customWidth="1"/>
    <col min="14352" max="14352" width="12.7265625" customWidth="1"/>
    <col min="14353" max="14353" width="12.54296875" customWidth="1"/>
    <col min="14354" max="14354" width="11.26953125" customWidth="1"/>
    <col min="14355" max="14355" width="34.54296875" customWidth="1"/>
    <col min="14356" max="14356" width="11" bestFit="1" customWidth="1"/>
    <col min="14358" max="14358" width="14.26953125" customWidth="1"/>
    <col min="14361" max="14361" width="39.453125" customWidth="1"/>
    <col min="14363" max="14363" width="22.26953125" customWidth="1"/>
    <col min="14367" max="14367" width="21.26953125" customWidth="1"/>
    <col min="14371" max="14371" width="20.26953125" customWidth="1"/>
    <col min="14375" max="14375" width="34.453125" customWidth="1"/>
    <col min="14376" max="14376" width="26.54296875" customWidth="1"/>
    <col min="14377" max="14377" width="16.453125" customWidth="1"/>
    <col min="14378" max="14379" width="20.1796875" customWidth="1"/>
    <col min="14380" max="14380" width="37.1796875" customWidth="1"/>
    <col min="14381" max="14381" width="27" customWidth="1"/>
    <col min="14382" max="14382" width="12.1796875" customWidth="1"/>
    <col min="14383" max="14383" width="12.453125" bestFit="1" customWidth="1"/>
    <col min="14386" max="14386" width="34.81640625" customWidth="1"/>
    <col min="14391" max="14391" width="9.453125" customWidth="1"/>
    <col min="14597" max="14597" width="12" bestFit="1" customWidth="1"/>
    <col min="14598" max="14598" width="16.7265625" bestFit="1" customWidth="1"/>
    <col min="14599" max="14599" width="11.453125" customWidth="1"/>
    <col min="14600" max="14600" width="16.7265625" customWidth="1"/>
    <col min="14601" max="14601" width="11.453125" customWidth="1"/>
    <col min="14602" max="14602" width="10.1796875" customWidth="1"/>
    <col min="14603" max="14603" width="12.7265625" customWidth="1"/>
    <col min="14604" max="14604" width="11.54296875" customWidth="1"/>
    <col min="14605" max="14605" width="12" bestFit="1" customWidth="1"/>
    <col min="14606" max="14606" width="14" customWidth="1"/>
    <col min="14607" max="14607" width="11.54296875" customWidth="1"/>
    <col min="14608" max="14608" width="12.7265625" customWidth="1"/>
    <col min="14609" max="14609" width="12.54296875" customWidth="1"/>
    <col min="14610" max="14610" width="11.26953125" customWidth="1"/>
    <col min="14611" max="14611" width="34.54296875" customWidth="1"/>
    <col min="14612" max="14612" width="11" bestFit="1" customWidth="1"/>
    <col min="14614" max="14614" width="14.26953125" customWidth="1"/>
    <col min="14617" max="14617" width="39.453125" customWidth="1"/>
    <col min="14619" max="14619" width="22.26953125" customWidth="1"/>
    <col min="14623" max="14623" width="21.26953125" customWidth="1"/>
    <col min="14627" max="14627" width="20.26953125" customWidth="1"/>
    <col min="14631" max="14631" width="34.453125" customWidth="1"/>
    <col min="14632" max="14632" width="26.54296875" customWidth="1"/>
    <col min="14633" max="14633" width="16.453125" customWidth="1"/>
    <col min="14634" max="14635" width="20.1796875" customWidth="1"/>
    <col min="14636" max="14636" width="37.1796875" customWidth="1"/>
    <col min="14637" max="14637" width="27" customWidth="1"/>
    <col min="14638" max="14638" width="12.1796875" customWidth="1"/>
    <col min="14639" max="14639" width="12.453125" bestFit="1" customWidth="1"/>
    <col min="14642" max="14642" width="34.81640625" customWidth="1"/>
    <col min="14647" max="14647" width="9.453125" customWidth="1"/>
    <col min="14853" max="14853" width="12" bestFit="1" customWidth="1"/>
    <col min="14854" max="14854" width="16.7265625" bestFit="1" customWidth="1"/>
    <col min="14855" max="14855" width="11.453125" customWidth="1"/>
    <col min="14856" max="14856" width="16.7265625" customWidth="1"/>
    <col min="14857" max="14857" width="11.453125" customWidth="1"/>
    <col min="14858" max="14858" width="10.1796875" customWidth="1"/>
    <col min="14859" max="14859" width="12.7265625" customWidth="1"/>
    <col min="14860" max="14860" width="11.54296875" customWidth="1"/>
    <col min="14861" max="14861" width="12" bestFit="1" customWidth="1"/>
    <col min="14862" max="14862" width="14" customWidth="1"/>
    <col min="14863" max="14863" width="11.54296875" customWidth="1"/>
    <col min="14864" max="14864" width="12.7265625" customWidth="1"/>
    <col min="14865" max="14865" width="12.54296875" customWidth="1"/>
    <col min="14866" max="14866" width="11.26953125" customWidth="1"/>
    <col min="14867" max="14867" width="34.54296875" customWidth="1"/>
    <col min="14868" max="14868" width="11" bestFit="1" customWidth="1"/>
    <col min="14870" max="14870" width="14.26953125" customWidth="1"/>
    <col min="14873" max="14873" width="39.453125" customWidth="1"/>
    <col min="14875" max="14875" width="22.26953125" customWidth="1"/>
    <col min="14879" max="14879" width="21.26953125" customWidth="1"/>
    <col min="14883" max="14883" width="20.26953125" customWidth="1"/>
    <col min="14887" max="14887" width="34.453125" customWidth="1"/>
    <col min="14888" max="14888" width="26.54296875" customWidth="1"/>
    <col min="14889" max="14889" width="16.453125" customWidth="1"/>
    <col min="14890" max="14891" width="20.1796875" customWidth="1"/>
    <col min="14892" max="14892" width="37.1796875" customWidth="1"/>
    <col min="14893" max="14893" width="27" customWidth="1"/>
    <col min="14894" max="14894" width="12.1796875" customWidth="1"/>
    <col min="14895" max="14895" width="12.453125" bestFit="1" customWidth="1"/>
    <col min="14898" max="14898" width="34.81640625" customWidth="1"/>
    <col min="14903" max="14903" width="9.453125" customWidth="1"/>
    <col min="15109" max="15109" width="12" bestFit="1" customWidth="1"/>
    <col min="15110" max="15110" width="16.7265625" bestFit="1" customWidth="1"/>
    <col min="15111" max="15111" width="11.453125" customWidth="1"/>
    <col min="15112" max="15112" width="16.7265625" customWidth="1"/>
    <col min="15113" max="15113" width="11.453125" customWidth="1"/>
    <col min="15114" max="15114" width="10.1796875" customWidth="1"/>
    <col min="15115" max="15115" width="12.7265625" customWidth="1"/>
    <col min="15116" max="15116" width="11.54296875" customWidth="1"/>
    <col min="15117" max="15117" width="12" bestFit="1" customWidth="1"/>
    <col min="15118" max="15118" width="14" customWidth="1"/>
    <col min="15119" max="15119" width="11.54296875" customWidth="1"/>
    <col min="15120" max="15120" width="12.7265625" customWidth="1"/>
    <col min="15121" max="15121" width="12.54296875" customWidth="1"/>
    <col min="15122" max="15122" width="11.26953125" customWidth="1"/>
    <col min="15123" max="15123" width="34.54296875" customWidth="1"/>
    <col min="15124" max="15124" width="11" bestFit="1" customWidth="1"/>
    <col min="15126" max="15126" width="14.26953125" customWidth="1"/>
    <col min="15129" max="15129" width="39.453125" customWidth="1"/>
    <col min="15131" max="15131" width="22.26953125" customWidth="1"/>
    <col min="15135" max="15135" width="21.26953125" customWidth="1"/>
    <col min="15139" max="15139" width="20.26953125" customWidth="1"/>
    <col min="15143" max="15143" width="34.453125" customWidth="1"/>
    <col min="15144" max="15144" width="26.54296875" customWidth="1"/>
    <col min="15145" max="15145" width="16.453125" customWidth="1"/>
    <col min="15146" max="15147" width="20.1796875" customWidth="1"/>
    <col min="15148" max="15148" width="37.1796875" customWidth="1"/>
    <col min="15149" max="15149" width="27" customWidth="1"/>
    <col min="15150" max="15150" width="12.1796875" customWidth="1"/>
    <col min="15151" max="15151" width="12.453125" bestFit="1" customWidth="1"/>
    <col min="15154" max="15154" width="34.81640625" customWidth="1"/>
    <col min="15159" max="15159" width="9.453125" customWidth="1"/>
    <col min="15365" max="15365" width="12" bestFit="1" customWidth="1"/>
    <col min="15366" max="15366" width="16.7265625" bestFit="1" customWidth="1"/>
    <col min="15367" max="15367" width="11.453125" customWidth="1"/>
    <col min="15368" max="15368" width="16.7265625" customWidth="1"/>
    <col min="15369" max="15369" width="11.453125" customWidth="1"/>
    <col min="15370" max="15370" width="10.1796875" customWidth="1"/>
    <col min="15371" max="15371" width="12.7265625" customWidth="1"/>
    <col min="15372" max="15372" width="11.54296875" customWidth="1"/>
    <col min="15373" max="15373" width="12" bestFit="1" customWidth="1"/>
    <col min="15374" max="15374" width="14" customWidth="1"/>
    <col min="15375" max="15375" width="11.54296875" customWidth="1"/>
    <col min="15376" max="15376" width="12.7265625" customWidth="1"/>
    <col min="15377" max="15377" width="12.54296875" customWidth="1"/>
    <col min="15378" max="15378" width="11.26953125" customWidth="1"/>
    <col min="15379" max="15379" width="34.54296875" customWidth="1"/>
    <col min="15380" max="15380" width="11" bestFit="1" customWidth="1"/>
    <col min="15382" max="15382" width="14.26953125" customWidth="1"/>
    <col min="15385" max="15385" width="39.453125" customWidth="1"/>
    <col min="15387" max="15387" width="22.26953125" customWidth="1"/>
    <col min="15391" max="15391" width="21.26953125" customWidth="1"/>
    <col min="15395" max="15395" width="20.26953125" customWidth="1"/>
    <col min="15399" max="15399" width="34.453125" customWidth="1"/>
    <col min="15400" max="15400" width="26.54296875" customWidth="1"/>
    <col min="15401" max="15401" width="16.453125" customWidth="1"/>
    <col min="15402" max="15403" width="20.1796875" customWidth="1"/>
    <col min="15404" max="15404" width="37.1796875" customWidth="1"/>
    <col min="15405" max="15405" width="27" customWidth="1"/>
    <col min="15406" max="15406" width="12.1796875" customWidth="1"/>
    <col min="15407" max="15407" width="12.453125" bestFit="1" customWidth="1"/>
    <col min="15410" max="15410" width="34.81640625" customWidth="1"/>
    <col min="15415" max="15415" width="9.453125" customWidth="1"/>
    <col min="15621" max="15621" width="12" bestFit="1" customWidth="1"/>
    <col min="15622" max="15622" width="16.7265625" bestFit="1" customWidth="1"/>
    <col min="15623" max="15623" width="11.453125" customWidth="1"/>
    <col min="15624" max="15624" width="16.7265625" customWidth="1"/>
    <col min="15625" max="15625" width="11.453125" customWidth="1"/>
    <col min="15626" max="15626" width="10.1796875" customWidth="1"/>
    <col min="15627" max="15627" width="12.7265625" customWidth="1"/>
    <col min="15628" max="15628" width="11.54296875" customWidth="1"/>
    <col min="15629" max="15629" width="12" bestFit="1" customWidth="1"/>
    <col min="15630" max="15630" width="14" customWidth="1"/>
    <col min="15631" max="15631" width="11.54296875" customWidth="1"/>
    <col min="15632" max="15632" width="12.7265625" customWidth="1"/>
    <col min="15633" max="15633" width="12.54296875" customWidth="1"/>
    <col min="15634" max="15634" width="11.26953125" customWidth="1"/>
    <col min="15635" max="15635" width="34.54296875" customWidth="1"/>
    <col min="15636" max="15636" width="11" bestFit="1" customWidth="1"/>
    <col min="15638" max="15638" width="14.26953125" customWidth="1"/>
    <col min="15641" max="15641" width="39.453125" customWidth="1"/>
    <col min="15643" max="15643" width="22.26953125" customWidth="1"/>
    <col min="15647" max="15647" width="21.26953125" customWidth="1"/>
    <col min="15651" max="15651" width="20.26953125" customWidth="1"/>
    <col min="15655" max="15655" width="34.453125" customWidth="1"/>
    <col min="15656" max="15656" width="26.54296875" customWidth="1"/>
    <col min="15657" max="15657" width="16.453125" customWidth="1"/>
    <col min="15658" max="15659" width="20.1796875" customWidth="1"/>
    <col min="15660" max="15660" width="37.1796875" customWidth="1"/>
    <col min="15661" max="15661" width="27" customWidth="1"/>
    <col min="15662" max="15662" width="12.1796875" customWidth="1"/>
    <col min="15663" max="15663" width="12.453125" bestFit="1" customWidth="1"/>
    <col min="15666" max="15666" width="34.81640625" customWidth="1"/>
    <col min="15671" max="15671" width="9.453125" customWidth="1"/>
    <col min="15877" max="15877" width="12" bestFit="1" customWidth="1"/>
    <col min="15878" max="15878" width="16.7265625" bestFit="1" customWidth="1"/>
    <col min="15879" max="15879" width="11.453125" customWidth="1"/>
    <col min="15880" max="15880" width="16.7265625" customWidth="1"/>
    <col min="15881" max="15881" width="11.453125" customWidth="1"/>
    <col min="15882" max="15882" width="10.1796875" customWidth="1"/>
    <col min="15883" max="15883" width="12.7265625" customWidth="1"/>
    <col min="15884" max="15884" width="11.54296875" customWidth="1"/>
    <col min="15885" max="15885" width="12" bestFit="1" customWidth="1"/>
    <col min="15886" max="15886" width="14" customWidth="1"/>
    <col min="15887" max="15887" width="11.54296875" customWidth="1"/>
    <col min="15888" max="15888" width="12.7265625" customWidth="1"/>
    <col min="15889" max="15889" width="12.54296875" customWidth="1"/>
    <col min="15890" max="15890" width="11.26953125" customWidth="1"/>
    <col min="15891" max="15891" width="34.54296875" customWidth="1"/>
    <col min="15892" max="15892" width="11" bestFit="1" customWidth="1"/>
    <col min="15894" max="15894" width="14.26953125" customWidth="1"/>
    <col min="15897" max="15897" width="39.453125" customWidth="1"/>
    <col min="15899" max="15899" width="22.26953125" customWidth="1"/>
    <col min="15903" max="15903" width="21.26953125" customWidth="1"/>
    <col min="15907" max="15907" width="20.26953125" customWidth="1"/>
    <col min="15911" max="15911" width="34.453125" customWidth="1"/>
    <col min="15912" max="15912" width="26.54296875" customWidth="1"/>
    <col min="15913" max="15913" width="16.453125" customWidth="1"/>
    <col min="15914" max="15915" width="20.1796875" customWidth="1"/>
    <col min="15916" max="15916" width="37.1796875" customWidth="1"/>
    <col min="15917" max="15917" width="27" customWidth="1"/>
    <col min="15918" max="15918" width="12.1796875" customWidth="1"/>
    <col min="15919" max="15919" width="12.453125" bestFit="1" customWidth="1"/>
    <col min="15922" max="15922" width="34.81640625" customWidth="1"/>
    <col min="15927" max="15927" width="9.453125" customWidth="1"/>
    <col min="16133" max="16133" width="12" bestFit="1" customWidth="1"/>
    <col min="16134" max="16134" width="16.7265625" bestFit="1" customWidth="1"/>
    <col min="16135" max="16135" width="11.453125" customWidth="1"/>
    <col min="16136" max="16136" width="16.7265625" customWidth="1"/>
    <col min="16137" max="16137" width="11.453125" customWidth="1"/>
    <col min="16138" max="16138" width="10.1796875" customWidth="1"/>
    <col min="16139" max="16139" width="12.7265625" customWidth="1"/>
    <col min="16140" max="16140" width="11.54296875" customWidth="1"/>
    <col min="16141" max="16141" width="12" bestFit="1" customWidth="1"/>
    <col min="16142" max="16142" width="14" customWidth="1"/>
    <col min="16143" max="16143" width="11.54296875" customWidth="1"/>
    <col min="16144" max="16144" width="12.7265625" customWidth="1"/>
    <col min="16145" max="16145" width="12.54296875" customWidth="1"/>
    <col min="16146" max="16146" width="11.26953125" customWidth="1"/>
    <col min="16147" max="16147" width="34.54296875" customWidth="1"/>
    <col min="16148" max="16148" width="11" bestFit="1" customWidth="1"/>
    <col min="16150" max="16150" width="14.26953125" customWidth="1"/>
    <col min="16153" max="16153" width="39.453125" customWidth="1"/>
    <col min="16155" max="16155" width="22.26953125" customWidth="1"/>
    <col min="16159" max="16159" width="21.26953125" customWidth="1"/>
    <col min="16163" max="16163" width="20.26953125" customWidth="1"/>
    <col min="16167" max="16167" width="34.453125" customWidth="1"/>
    <col min="16168" max="16168" width="26.54296875" customWidth="1"/>
    <col min="16169" max="16169" width="16.453125" customWidth="1"/>
    <col min="16170" max="16171" width="20.1796875" customWidth="1"/>
    <col min="16172" max="16172" width="37.1796875" customWidth="1"/>
    <col min="16173" max="16173" width="27" customWidth="1"/>
    <col min="16174" max="16174" width="12.1796875" customWidth="1"/>
    <col min="16175" max="16175" width="12.453125" bestFit="1" customWidth="1"/>
    <col min="16178" max="16178" width="34.81640625" customWidth="1"/>
    <col min="16183" max="16183" width="9.453125" customWidth="1"/>
  </cols>
  <sheetData>
    <row r="1" spans="1:68" s="45" customFormat="1">
      <c r="BN1" s="183"/>
      <c r="BO1" s="183"/>
      <c r="BP1" s="183"/>
    </row>
    <row r="2" spans="1:68" s="45" customFormat="1">
      <c r="BN2" s="46"/>
      <c r="BO2" s="46"/>
      <c r="BP2" s="46"/>
    </row>
    <row r="3" spans="1:68" s="45" customFormat="1">
      <c r="BN3" s="46"/>
      <c r="BO3" s="46"/>
      <c r="BP3" s="46"/>
    </row>
    <row r="4" spans="1:68" s="45" customFormat="1">
      <c r="BN4" s="46"/>
      <c r="BO4" s="46"/>
      <c r="BP4" s="46"/>
    </row>
    <row r="5" spans="1:68" s="45" customFormat="1">
      <c r="BN5" s="46"/>
      <c r="BO5" s="46"/>
      <c r="BP5" s="46"/>
    </row>
    <row r="6" spans="1:68" s="45" customFormat="1">
      <c r="BN6" s="46"/>
      <c r="BO6" s="46"/>
      <c r="BP6" s="46"/>
    </row>
    <row r="7" spans="1:68" s="45" customFormat="1">
      <c r="BN7" s="46"/>
      <c r="BO7" s="46"/>
      <c r="BP7" s="46"/>
    </row>
    <row r="8" spans="1:68" s="45" customFormat="1">
      <c r="BN8" s="46"/>
      <c r="BO8" s="46"/>
      <c r="BP8" s="46"/>
    </row>
    <row r="9" spans="1:68" s="45" customFormat="1">
      <c r="BN9" s="46"/>
      <c r="BO9" s="46"/>
      <c r="BP9" s="46"/>
    </row>
    <row r="10" spans="1:68" s="45" customFormat="1">
      <c r="BN10" s="46"/>
      <c r="BO10" s="46"/>
      <c r="BP10" s="46"/>
    </row>
    <row r="11" spans="1:68" s="45" customFormat="1">
      <c r="BN11" s="46"/>
      <c r="BO11" s="46"/>
      <c r="BP11" s="46"/>
    </row>
    <row r="12" spans="1:68" s="45" customFormat="1">
      <c r="BN12" s="46"/>
      <c r="BO12" s="46"/>
      <c r="BP12" s="46"/>
    </row>
    <row r="13" spans="1:68" s="45" customFormat="1">
      <c r="BN13" s="46"/>
      <c r="BO13" s="46"/>
      <c r="BP13" s="46"/>
    </row>
    <row r="14" spans="1:68" s="45" customFormat="1">
      <c r="BN14" s="46"/>
      <c r="BO14" s="46"/>
      <c r="BP14" s="46"/>
    </row>
    <row r="15" spans="1:68" s="45" customFormat="1">
      <c r="BN15" s="46"/>
      <c r="BO15" s="46"/>
      <c r="BP15" s="46"/>
    </row>
    <row r="16" spans="1:68" ht="15.5">
      <c r="A16" s="184" t="s">
        <v>146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5"/>
      <c r="M16" s="185"/>
      <c r="N16" s="185"/>
      <c r="O16" s="186" t="s">
        <v>147</v>
      </c>
      <c r="P16" s="187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BN16" s="46"/>
      <c r="BO16" s="46"/>
      <c r="BP16" s="46"/>
    </row>
    <row r="17" spans="1:68" ht="15.5">
      <c r="A17" s="188" t="s">
        <v>148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5"/>
      <c r="M17" s="185"/>
      <c r="N17" s="185"/>
      <c r="O17" s="186"/>
      <c r="P17" s="187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BN17" s="46"/>
      <c r="BO17" s="46"/>
      <c r="BP17" s="46"/>
    </row>
    <row r="18" spans="1:68" s="45" customFormat="1" ht="15" thickBot="1">
      <c r="O18" s="171" t="s">
        <v>149</v>
      </c>
      <c r="P18" s="172"/>
      <c r="BN18" s="46"/>
      <c r="BO18" s="46"/>
      <c r="BP18" s="46"/>
    </row>
    <row r="19" spans="1:68" ht="15" thickBot="1">
      <c r="A19" s="178" t="s">
        <v>150</v>
      </c>
      <c r="B19" s="181"/>
      <c r="C19" s="181"/>
      <c r="D19" s="181"/>
      <c r="E19" s="182"/>
      <c r="F19" s="45"/>
      <c r="G19" s="45"/>
      <c r="H19" s="45"/>
      <c r="I19" s="45"/>
      <c r="J19" s="178" t="s">
        <v>151</v>
      </c>
      <c r="K19" s="174"/>
      <c r="L19" s="174"/>
      <c r="M19" s="174"/>
      <c r="N19" s="175"/>
      <c r="O19" s="171" t="s">
        <v>152</v>
      </c>
      <c r="P19" s="172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BN19" s="46"/>
      <c r="BO19" s="46"/>
      <c r="BP19" s="46"/>
    </row>
    <row r="20" spans="1:68" ht="15.5">
      <c r="A20" s="47"/>
      <c r="B20" s="48"/>
      <c r="C20" s="48"/>
      <c r="D20" s="48"/>
      <c r="E20" s="49"/>
      <c r="F20" s="45"/>
      <c r="G20" s="45"/>
      <c r="H20" s="45"/>
      <c r="I20" s="45"/>
      <c r="J20" s="168" t="s">
        <v>153</v>
      </c>
      <c r="K20" s="169"/>
      <c r="L20" s="170"/>
      <c r="M20" s="113">
        <v>0.2</v>
      </c>
      <c r="N20" s="114" t="s">
        <v>8</v>
      </c>
      <c r="O20" s="171" t="s">
        <v>154</v>
      </c>
      <c r="P20" s="172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BN20" s="46"/>
      <c r="BO20" s="46"/>
      <c r="BP20" s="46"/>
    </row>
    <row r="21" spans="1:68" ht="15.5">
      <c r="A21" s="47"/>
      <c r="B21" s="48"/>
      <c r="C21" s="48"/>
      <c r="D21" s="48"/>
      <c r="E21" s="49"/>
      <c r="F21" s="45"/>
      <c r="G21" s="45"/>
      <c r="H21" s="45"/>
      <c r="I21" s="45"/>
      <c r="J21" s="50" t="s">
        <v>155</v>
      </c>
      <c r="K21" s="51"/>
      <c r="L21" s="51"/>
      <c r="M21" s="115">
        <v>0.8357</v>
      </c>
      <c r="N21" s="116" t="s">
        <v>5</v>
      </c>
      <c r="O21" s="171"/>
      <c r="P21" s="172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BN21" s="46"/>
      <c r="BO21" s="46"/>
      <c r="BP21" s="46"/>
    </row>
    <row r="22" spans="1:68">
      <c r="A22" s="47"/>
      <c r="B22" s="48"/>
      <c r="C22" s="48"/>
      <c r="D22" s="48"/>
      <c r="E22" s="49"/>
      <c r="F22" s="45"/>
      <c r="G22" s="45"/>
      <c r="H22" s="45"/>
      <c r="I22" s="45"/>
      <c r="J22" s="50" t="s">
        <v>156</v>
      </c>
      <c r="K22" s="51"/>
      <c r="L22" s="51"/>
      <c r="M22" s="117">
        <f>+Dmax*(Vin-Vout)/(Lout*0.000001)</f>
        <v>255882.3529411765</v>
      </c>
      <c r="N22" s="116" t="s">
        <v>157</v>
      </c>
      <c r="O22" s="45" t="s">
        <v>158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BN22" s="46"/>
      <c r="BO22" s="46"/>
      <c r="BP22" s="46"/>
    </row>
    <row r="23" spans="1:68" ht="16" thickBot="1">
      <c r="A23" s="47"/>
      <c r="B23" s="48"/>
      <c r="C23" s="48"/>
      <c r="D23" s="48"/>
      <c r="E23" s="49"/>
      <c r="F23" s="45"/>
      <c r="G23" s="45"/>
      <c r="H23" s="45"/>
      <c r="I23" s="45"/>
      <c r="J23" s="50" t="s">
        <v>159</v>
      </c>
      <c r="K23" s="51"/>
      <c r="L23" s="51"/>
      <c r="M23" s="117">
        <f>1+Se*C28/(Sn)</f>
        <v>4.5925494252873555</v>
      </c>
      <c r="N23" s="116" t="s">
        <v>157</v>
      </c>
      <c r="O23" s="45" t="s">
        <v>160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BN23" s="46"/>
      <c r="BO23" s="46"/>
      <c r="BP23" s="46"/>
    </row>
    <row r="24" spans="1:68">
      <c r="A24" s="52"/>
      <c r="B24" s="53" t="s">
        <v>161</v>
      </c>
      <c r="C24" s="54">
        <f>SQRT(1/(Lout*0.000001*ncap*Cap*0.000001*(Rout+ESR*0.001/ncap)/(Rout+DCR*0.001)))</f>
        <v>99611.234116469175</v>
      </c>
      <c r="D24" s="55" t="s">
        <v>126</v>
      </c>
      <c r="E24" s="52"/>
      <c r="F24" s="45"/>
      <c r="G24" s="45"/>
      <c r="H24" s="45"/>
      <c r="I24" s="45"/>
      <c r="J24" s="50" t="s">
        <v>162</v>
      </c>
      <c r="K24" s="51"/>
      <c r="L24" s="51"/>
      <c r="M24" s="118">
        <v>10000000</v>
      </c>
      <c r="N24" s="116" t="s">
        <v>163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BN24" s="46"/>
      <c r="BO24" s="46"/>
      <c r="BP24" s="46"/>
    </row>
    <row r="25" spans="1:68">
      <c r="A25" s="56"/>
      <c r="B25" s="57" t="s">
        <v>164</v>
      </c>
      <c r="C25" s="58">
        <f>1/(2*PI()*Cap*0.000001*ESR*0.001)</f>
        <v>2122065.907891938</v>
      </c>
      <c r="D25" s="59" t="s">
        <v>126</v>
      </c>
      <c r="E25" s="56"/>
      <c r="F25" s="45"/>
      <c r="G25" s="45"/>
      <c r="H25" s="45"/>
      <c r="I25" s="45"/>
      <c r="J25" s="50" t="s">
        <v>165</v>
      </c>
      <c r="K25" s="51"/>
      <c r="L25" s="51"/>
      <c r="M25" s="118">
        <v>0.8</v>
      </c>
      <c r="N25" s="116" t="s">
        <v>5</v>
      </c>
      <c r="O25" s="151" t="s">
        <v>273</v>
      </c>
      <c r="P25" s="151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BN25" s="46"/>
      <c r="BO25" s="46"/>
      <c r="BP25" s="46"/>
    </row>
    <row r="26" spans="1:68" ht="15" thickBot="1">
      <c r="A26" s="56"/>
      <c r="B26" s="57" t="s">
        <v>166</v>
      </c>
      <c r="C26" s="58">
        <f>1/(2*PI()*Cap*0.000001*ncap*(ESR*0.001/ncap+Vout/Iout))</f>
        <v>6411.0752504288166</v>
      </c>
      <c r="D26" s="59" t="s">
        <v>126</v>
      </c>
      <c r="E26" s="56"/>
      <c r="F26" s="45"/>
      <c r="G26" s="45"/>
      <c r="H26" s="45"/>
      <c r="I26" s="45"/>
      <c r="J26" s="60" t="s">
        <v>167</v>
      </c>
      <c r="K26" s="61"/>
      <c r="L26" s="61"/>
      <c r="M26" s="119">
        <v>2.9999999999999997E-4</v>
      </c>
      <c r="N26" s="120" t="s">
        <v>168</v>
      </c>
      <c r="O26" s="151" t="s">
        <v>274</v>
      </c>
      <c r="P26" s="151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BN26" s="46"/>
      <c r="BO26" s="46"/>
      <c r="BP26" s="46"/>
    </row>
    <row r="27" spans="1:68" ht="15" thickBot="1">
      <c r="A27" s="56"/>
      <c r="B27" s="57" t="s">
        <v>169</v>
      </c>
      <c r="C27" s="63">
        <f>1/(Gdo*(Cap*0.000001*ESR*0.001*Vout/(Iout*(Vout/Iout+DCR*0.001))+(Vout/Iout+ESR*0.001)*Cap*0.000001*ncap*DCR*0.001/(Vout/Iout+DCR*0.001)+Lout*0.000001/(Vout/Iout+DCR*0.001)))</f>
        <v>2.2288622226759878</v>
      </c>
      <c r="D27" s="59"/>
      <c r="E27" s="56"/>
      <c r="F27" s="45"/>
      <c r="G27" s="45"/>
      <c r="H27" s="45"/>
      <c r="I27" s="45"/>
      <c r="J27" s="173" t="s">
        <v>170</v>
      </c>
      <c r="K27" s="174"/>
      <c r="L27" s="175"/>
      <c r="M27" s="176" t="s">
        <v>171</v>
      </c>
      <c r="N27" s="177"/>
      <c r="O27" s="151" t="s">
        <v>275</v>
      </c>
      <c r="P27" s="151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BN27" s="46"/>
      <c r="BO27" s="46"/>
      <c r="BP27" s="46"/>
    </row>
    <row r="28" spans="1:68" ht="15" thickBot="1">
      <c r="A28" s="64"/>
      <c r="B28" s="65" t="s">
        <v>172</v>
      </c>
      <c r="C28" s="66">
        <f>+Fs*1000</f>
        <v>1100000</v>
      </c>
      <c r="D28" s="67" t="s">
        <v>126</v>
      </c>
      <c r="E28" s="64"/>
      <c r="F28" s="45"/>
      <c r="G28" s="45"/>
      <c r="H28" s="45"/>
      <c r="I28" s="45"/>
      <c r="J28" s="68" t="s">
        <v>173</v>
      </c>
      <c r="K28" s="69">
        <v>0.1</v>
      </c>
      <c r="L28" s="70" t="s">
        <v>174</v>
      </c>
      <c r="M28" s="129">
        <f>+C28*K28</f>
        <v>110000</v>
      </c>
      <c r="N28" s="71" t="s">
        <v>126</v>
      </c>
      <c r="O28" s="151"/>
      <c r="P28" s="151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BN28" s="46"/>
      <c r="BO28" s="46"/>
      <c r="BP28" s="46"/>
    </row>
    <row r="29" spans="1:68" ht="15.75" customHeight="1" thickBot="1">
      <c r="A29" s="45"/>
      <c r="B29" s="45"/>
      <c r="C29" s="45"/>
      <c r="D29" s="45"/>
      <c r="E29" s="45"/>
      <c r="F29" s="45"/>
      <c r="G29" s="45"/>
      <c r="H29" s="45"/>
      <c r="I29" s="45"/>
      <c r="J29" s="47" t="s">
        <v>245</v>
      </c>
      <c r="K29" s="72">
        <f>2*PI()*Fc*Vout*Cap*ncap*0.000001*Dmax/(EA_BW*VFB)</f>
        <v>28509.953331327371</v>
      </c>
      <c r="L29" s="73" t="s">
        <v>163</v>
      </c>
      <c r="M29" s="118">
        <v>18000</v>
      </c>
      <c r="N29" s="73" t="s">
        <v>163</v>
      </c>
      <c r="O29" s="154" t="s">
        <v>276</v>
      </c>
      <c r="P29" s="15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BN29" s="46"/>
      <c r="BO29" s="46"/>
      <c r="BP29" s="46"/>
    </row>
    <row r="30" spans="1:68" ht="15.75" customHeight="1" thickBot="1">
      <c r="A30" s="178" t="s">
        <v>175</v>
      </c>
      <c r="B30" s="179"/>
      <c r="C30" s="179"/>
      <c r="D30" s="179"/>
      <c r="E30" s="179"/>
      <c r="F30" s="179"/>
      <c r="G30" s="180"/>
      <c r="H30" s="45"/>
      <c r="I30" s="45"/>
      <c r="J30" s="47" t="s">
        <v>246</v>
      </c>
      <c r="K30" s="74">
        <f>1/(2*PI()*K29*F0)</f>
        <v>8.7074853162673296E-10</v>
      </c>
      <c r="L30" s="73" t="s">
        <v>176</v>
      </c>
      <c r="M30" s="118">
        <v>7.6000000000000002E-9</v>
      </c>
      <c r="N30" s="73" t="s">
        <v>176</v>
      </c>
      <c r="O30" s="154"/>
      <c r="P30" s="15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BN30" s="46"/>
      <c r="BO30" s="46"/>
      <c r="BP30" s="46"/>
    </row>
    <row r="31" spans="1:68" ht="15.75" customHeight="1" thickBot="1">
      <c r="A31" s="163" t="s">
        <v>177</v>
      </c>
      <c r="B31" s="164"/>
      <c r="C31" s="75">
        <f>+_Rfb2*(Vout/VFB-1)</f>
        <v>46874.999999999985</v>
      </c>
      <c r="D31" s="76" t="s">
        <v>8</v>
      </c>
      <c r="E31" s="77"/>
      <c r="F31" s="77"/>
      <c r="G31" s="55" t="s">
        <v>8</v>
      </c>
      <c r="H31" s="45"/>
      <c r="I31" s="45"/>
      <c r="J31" s="47" t="s">
        <v>247</v>
      </c>
      <c r="K31" s="74">
        <f>1/(2*PI()*K29*C28*0.5)</f>
        <v>1.0149880655380694E-11</v>
      </c>
      <c r="L31" s="85" t="s">
        <v>176</v>
      </c>
      <c r="M31" s="119">
        <v>1E-13</v>
      </c>
      <c r="N31" s="85" t="s">
        <v>176</v>
      </c>
      <c r="O31" s="151" t="s">
        <v>277</v>
      </c>
      <c r="P31" s="15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BN31" s="46"/>
      <c r="BO31" s="46"/>
      <c r="BP31" s="46"/>
    </row>
    <row r="32" spans="1:68" ht="15" thickBot="1">
      <c r="A32" s="161" t="s">
        <v>178</v>
      </c>
      <c r="B32" s="162"/>
      <c r="C32" s="62">
        <v>15000</v>
      </c>
      <c r="D32" s="78" t="s">
        <v>8</v>
      </c>
      <c r="E32" s="64" t="str">
        <f>IF(_Rfb2&gt;30000, "Please lower R2", " ")</f>
        <v xml:space="preserve"> </v>
      </c>
      <c r="F32" s="79"/>
      <c r="G32" s="67"/>
      <c r="H32" s="45"/>
      <c r="I32" s="45"/>
      <c r="J32" s="80" t="s">
        <v>179</v>
      </c>
      <c r="K32" s="81">
        <f>1/(2*PI()*K29*K30)</f>
        <v>6411.0752504288166</v>
      </c>
      <c r="L32" s="71" t="s">
        <v>126</v>
      </c>
      <c r="M32" s="126">
        <f>1/(2*PI()*M29*M30)</f>
        <v>1163.4133266951412</v>
      </c>
      <c r="N32" s="71" t="s">
        <v>126</v>
      </c>
      <c r="O32" s="151" t="s">
        <v>278</v>
      </c>
      <c r="P32" s="151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BN32" s="46"/>
      <c r="BO32" s="46"/>
      <c r="BP32" s="46"/>
    </row>
    <row r="33" spans="1:68" ht="15" thickBot="1">
      <c r="A33" s="163" t="s">
        <v>244</v>
      </c>
      <c r="B33" s="164"/>
      <c r="C33" s="82">
        <v>1E-13</v>
      </c>
      <c r="D33" s="55" t="s">
        <v>176</v>
      </c>
      <c r="E33" s="48"/>
      <c r="F33" s="45"/>
      <c r="G33" s="45"/>
      <c r="H33" s="45"/>
      <c r="I33" s="45"/>
      <c r="J33" s="83" t="s">
        <v>180</v>
      </c>
      <c r="K33" s="84">
        <f>1/(2*PI()*K29*K31)</f>
        <v>550000</v>
      </c>
      <c r="L33" s="73" t="s">
        <v>126</v>
      </c>
      <c r="M33" s="74">
        <f>1/(2*PI()*M29*M31)</f>
        <v>88419412.828830734</v>
      </c>
      <c r="N33" s="73" t="s">
        <v>126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BN33" s="46"/>
      <c r="BO33" s="46"/>
      <c r="BP33" s="46"/>
    </row>
    <row r="34" spans="1:68" ht="15" thickBot="1">
      <c r="A34" s="165" t="s">
        <v>181</v>
      </c>
      <c r="B34" s="166"/>
      <c r="C34" s="100">
        <v>1.0000000000000001E-18</v>
      </c>
      <c r="D34" s="101"/>
      <c r="E34" s="48"/>
      <c r="F34" s="45"/>
      <c r="G34" s="45"/>
      <c r="H34" s="45"/>
      <c r="I34" s="45"/>
      <c r="J34" s="45"/>
      <c r="K34" s="45"/>
      <c r="L34" s="70" t="s">
        <v>182</v>
      </c>
      <c r="M34" s="96">
        <f>LOOKUP(1,BH64:BH264,B64:B264)/1000</f>
        <v>52.480746024977293</v>
      </c>
      <c r="N34" s="71" t="s">
        <v>2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BN34" s="46"/>
      <c r="BO34" s="46"/>
      <c r="BP34" s="46"/>
    </row>
    <row r="35" spans="1:68">
      <c r="A35" s="45"/>
      <c r="B35" s="48"/>
      <c r="C35" s="45"/>
      <c r="D35" s="45"/>
      <c r="E35" s="45"/>
      <c r="F35" s="45"/>
      <c r="G35" s="45"/>
      <c r="H35" s="45"/>
      <c r="I35" s="45"/>
      <c r="J35" s="45"/>
      <c r="K35" s="45"/>
      <c r="L35" s="99" t="s">
        <v>183</v>
      </c>
      <c r="M35" s="97">
        <f>LOOKUP(1,BH64:BH264,BF64:BF264)</f>
        <v>47.381275236799752</v>
      </c>
      <c r="N35" s="73" t="s">
        <v>184</v>
      </c>
      <c r="O35" s="45" t="str">
        <f>IF(M35&lt;45,"Desired Phase Margin should be &gt;45 degree, Recommend to inrease Cout", " ")</f>
        <v xml:space="preserve"> </v>
      </c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BN35" s="46"/>
      <c r="BO35" s="46"/>
      <c r="BP35" s="46"/>
    </row>
    <row r="36" spans="1:68" s="90" customFormat="1" ht="15" thickBot="1">
      <c r="A36" s="87"/>
      <c r="B36" s="87"/>
      <c r="C36" s="87"/>
      <c r="D36" s="87"/>
      <c r="E36" s="87"/>
      <c r="F36" s="87"/>
      <c r="G36" s="87"/>
      <c r="H36" s="87"/>
      <c r="I36" s="88"/>
      <c r="J36" s="89"/>
      <c r="K36" s="88"/>
      <c r="L36" s="86" t="s">
        <v>242</v>
      </c>
      <c r="M36" s="98">
        <f>LOOKUP(1,BI65:BI265,BE65:BE265)</f>
        <v>-14.00818515150551</v>
      </c>
      <c r="N36" s="85" t="s">
        <v>249</v>
      </c>
      <c r="O36" s="87" t="str">
        <f>IF(M36 &gt; -10,"Desired Gain margin should be &lt;-10dB, Recommend to increase Cout ", " ")</f>
        <v xml:space="preserve"> </v>
      </c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BN36" s="46"/>
      <c r="BO36" s="46"/>
      <c r="BP36" s="46"/>
    </row>
    <row r="37" spans="1:68" s="87" customFormat="1">
      <c r="BN37" s="46"/>
      <c r="BO37" s="46"/>
      <c r="BP37" s="46"/>
    </row>
    <row r="38" spans="1:68" s="87" customForma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BN38" s="46"/>
      <c r="BO38" s="46"/>
      <c r="BP38" s="46"/>
    </row>
    <row r="39" spans="1:68" s="87" customFormat="1">
      <c r="A39" s="91" t="s">
        <v>185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N39" s="46"/>
      <c r="BO39" s="46"/>
      <c r="BP39" s="46"/>
    </row>
    <row r="40" spans="1:68" s="87" customFormat="1">
      <c r="A40" s="92">
        <f>PI()*C28</f>
        <v>3455751.9189487724</v>
      </c>
      <c r="B40" s="91" t="s">
        <v>186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N40" s="46"/>
      <c r="BO40" s="46"/>
      <c r="BP40" s="46"/>
    </row>
    <row r="41" spans="1:68" s="87" customFormat="1">
      <c r="A41" s="91">
        <f>-2/PI()</f>
        <v>-0.63661977236758138</v>
      </c>
      <c r="B41" s="91" t="s">
        <v>187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N41" s="46"/>
      <c r="BO41" s="46"/>
      <c r="BP41" s="46"/>
    </row>
    <row r="42" spans="1:68" s="87" customForma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N42" s="46"/>
      <c r="BO42" s="46"/>
      <c r="BP42" s="46"/>
    </row>
    <row r="43" spans="1:68" s="87" customFormat="1">
      <c r="A43" s="92">
        <f>1/(EA_DC*Sn*(1/C28))</f>
        <v>0.93604884272827704</v>
      </c>
      <c r="B43" s="91" t="s">
        <v>188</v>
      </c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N43" s="46"/>
      <c r="BO43" s="46"/>
      <c r="BP43" s="46"/>
    </row>
    <row r="44" spans="1:68" s="87" customForma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  <c r="BH44" s="91"/>
      <c r="BI44" s="91"/>
      <c r="BN44" s="46"/>
      <c r="BO44" s="46"/>
      <c r="BP44" s="46"/>
    </row>
    <row r="45" spans="1:68" s="87" customForma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N45" s="46"/>
      <c r="BO45" s="46"/>
      <c r="BP45" s="46"/>
    </row>
    <row r="46" spans="1:68" s="87" customForma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  <c r="BH46" s="91"/>
      <c r="BI46" s="91"/>
      <c r="BN46" s="46"/>
      <c r="BO46" s="46"/>
      <c r="BP46" s="46"/>
    </row>
    <row r="47" spans="1:68" s="87" customForma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N47" s="46"/>
      <c r="BO47" s="46"/>
      <c r="BP47" s="46"/>
    </row>
    <row r="48" spans="1:68" s="87" customForma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  <c r="BH48" s="91"/>
      <c r="BI48" s="91"/>
      <c r="BN48" s="46"/>
      <c r="BO48" s="46"/>
      <c r="BP48" s="46"/>
    </row>
    <row r="49" spans="1:68" s="87" customForma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91"/>
      <c r="BN49" s="46"/>
      <c r="BO49" s="46"/>
      <c r="BP49" s="46"/>
    </row>
    <row r="50" spans="1:68" s="87" customForma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  <c r="BH50" s="91"/>
      <c r="BI50" s="91"/>
      <c r="BN50" s="46"/>
      <c r="BO50" s="46"/>
      <c r="BP50" s="46"/>
    </row>
    <row r="51" spans="1:68" s="87" customForma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N51" s="46"/>
      <c r="BO51" s="46"/>
      <c r="BP51" s="46"/>
    </row>
    <row r="52" spans="1:68" s="87" customForma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N52" s="46"/>
      <c r="BO52" s="46"/>
      <c r="BP52" s="46"/>
    </row>
    <row r="53" spans="1:68" s="87" customForma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N53" s="46"/>
      <c r="BO53" s="46"/>
      <c r="BP53" s="46"/>
    </row>
    <row r="54" spans="1:68" s="87" customForma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N54" s="46"/>
      <c r="BO54" s="46"/>
      <c r="BP54" s="46"/>
    </row>
    <row r="55" spans="1:68" s="91" customFormat="1">
      <c r="B55" s="91" t="s">
        <v>189</v>
      </c>
      <c r="C55" s="91">
        <v>100</v>
      </c>
      <c r="Q55" s="92"/>
      <c r="BN55" s="46"/>
      <c r="BO55" s="46"/>
      <c r="BP55" s="46"/>
    </row>
    <row r="56" spans="1:68" s="91" customFormat="1">
      <c r="B56" s="91" t="s">
        <v>190</v>
      </c>
      <c r="C56" s="91">
        <v>1000000</v>
      </c>
      <c r="BN56" s="46"/>
      <c r="BO56" s="46"/>
      <c r="BP56" s="46"/>
    </row>
    <row r="57" spans="1:68" s="91" customFormat="1">
      <c r="B57" s="91" t="s">
        <v>191</v>
      </c>
      <c r="C57" s="91">
        <v>200</v>
      </c>
      <c r="BN57" s="46"/>
      <c r="BO57" s="46"/>
      <c r="BP57" s="46"/>
    </row>
    <row r="58" spans="1:68" s="91" customFormat="1">
      <c r="B58" s="91" t="s">
        <v>192</v>
      </c>
      <c r="C58" s="91">
        <f>LOG(Fstop/Fstart)/Fstep</f>
        <v>0.02</v>
      </c>
      <c r="BN58" s="46"/>
      <c r="BO58" s="46"/>
      <c r="BP58" s="46"/>
    </row>
    <row r="59" spans="1:68" s="91" customFormat="1">
      <c r="BN59" s="46"/>
      <c r="BO59" s="46"/>
      <c r="BP59" s="46"/>
    </row>
    <row r="60" spans="1:68" s="91" customFormat="1">
      <c r="F60" s="91" t="s">
        <v>193</v>
      </c>
      <c r="X60" s="93" t="s">
        <v>194</v>
      </c>
      <c r="AB60" s="93" t="s">
        <v>195</v>
      </c>
      <c r="AF60" s="93" t="s">
        <v>196</v>
      </c>
      <c r="AK60" s="91" t="s">
        <v>197</v>
      </c>
      <c r="AQ60" s="91" t="s">
        <v>198</v>
      </c>
      <c r="BN60" s="46"/>
      <c r="BO60" s="46"/>
      <c r="BP60" s="46"/>
    </row>
    <row r="61" spans="1:68" s="91" customFormat="1">
      <c r="J61" s="91" t="s">
        <v>199</v>
      </c>
      <c r="R61" s="91" t="s">
        <v>200</v>
      </c>
      <c r="X61" s="93" t="s">
        <v>201</v>
      </c>
      <c r="AB61" s="93" t="s">
        <v>202</v>
      </c>
      <c r="AF61" s="93" t="s">
        <v>203</v>
      </c>
      <c r="BN61" s="46"/>
      <c r="BO61" s="46"/>
      <c r="BP61" s="46"/>
    </row>
    <row r="62" spans="1:68" s="91" customFormat="1">
      <c r="A62" s="19"/>
      <c r="B62" s="19"/>
      <c r="C62" s="19"/>
      <c r="D62" s="19"/>
      <c r="E62" s="19"/>
      <c r="F62" s="19"/>
      <c r="G62" s="19"/>
      <c r="H62" s="19"/>
      <c r="AF62" s="93"/>
      <c r="AV62" s="167"/>
      <c r="AW62" s="167"/>
      <c r="AX62" s="19" t="s">
        <v>204</v>
      </c>
      <c r="AY62" s="19"/>
      <c r="AZ62" s="19" t="s">
        <v>205</v>
      </c>
      <c r="BD62" s="91" t="s">
        <v>206</v>
      </c>
      <c r="BH62" s="91" t="s">
        <v>207</v>
      </c>
      <c r="BN62" s="46"/>
      <c r="BO62" s="46"/>
      <c r="BP62" s="46"/>
    </row>
    <row r="63" spans="1:68" s="91" customFormat="1">
      <c r="A63" s="19" t="s">
        <v>192</v>
      </c>
      <c r="B63" s="19" t="s">
        <v>176</v>
      </c>
      <c r="C63" s="19" t="s">
        <v>208</v>
      </c>
      <c r="D63" s="19" t="s">
        <v>209</v>
      </c>
      <c r="E63" s="19" t="s">
        <v>210</v>
      </c>
      <c r="F63" s="19" t="s">
        <v>211</v>
      </c>
      <c r="G63" s="19" t="s">
        <v>212</v>
      </c>
      <c r="H63" s="19" t="s">
        <v>213</v>
      </c>
      <c r="J63" s="19" t="s">
        <v>214</v>
      </c>
      <c r="K63" s="19" t="s">
        <v>215</v>
      </c>
      <c r="N63" s="19" t="s">
        <v>216</v>
      </c>
      <c r="P63" s="109" t="s">
        <v>217</v>
      </c>
      <c r="R63" s="91" t="s">
        <v>214</v>
      </c>
      <c r="S63" s="91" t="s">
        <v>215</v>
      </c>
      <c r="T63" s="91" t="s">
        <v>218</v>
      </c>
      <c r="V63" s="109" t="s">
        <v>219</v>
      </c>
      <c r="X63" s="109" t="s">
        <v>220</v>
      </c>
      <c r="Y63" s="91" t="s">
        <v>214</v>
      </c>
      <c r="Z63" s="91" t="s">
        <v>221</v>
      </c>
      <c r="AB63" s="109" t="s">
        <v>222</v>
      </c>
      <c r="AC63" s="91" t="s">
        <v>214</v>
      </c>
      <c r="AD63" s="91" t="s">
        <v>221</v>
      </c>
      <c r="AF63" s="109" t="s">
        <v>223</v>
      </c>
      <c r="AG63" s="91" t="s">
        <v>224</v>
      </c>
      <c r="AH63" s="91" t="s">
        <v>225</v>
      </c>
      <c r="AJ63" s="91" t="s">
        <v>226</v>
      </c>
      <c r="AK63" s="91" t="s">
        <v>227</v>
      </c>
      <c r="AL63" s="110" t="s">
        <v>228</v>
      </c>
      <c r="AM63" s="110" t="s">
        <v>229</v>
      </c>
      <c r="AN63" s="110" t="s">
        <v>230</v>
      </c>
      <c r="AO63" s="91" t="s">
        <v>231</v>
      </c>
      <c r="AP63" s="109" t="s">
        <v>232</v>
      </c>
      <c r="AQ63" s="19" t="s">
        <v>233</v>
      </c>
      <c r="AR63" s="19"/>
      <c r="AS63" s="19"/>
      <c r="AT63" s="19" t="s">
        <v>234</v>
      </c>
      <c r="AU63" s="109" t="s">
        <v>235</v>
      </c>
      <c r="AV63" s="19"/>
      <c r="AW63" s="19" t="s">
        <v>236</v>
      </c>
      <c r="AX63" s="19" t="s">
        <v>237</v>
      </c>
      <c r="AY63" s="19" t="s">
        <v>221</v>
      </c>
      <c r="AZ63" s="19" t="s">
        <v>238</v>
      </c>
      <c r="BA63" s="19" t="s">
        <v>237</v>
      </c>
      <c r="BB63" s="19" t="s">
        <v>225</v>
      </c>
      <c r="BD63" s="19" t="s">
        <v>239</v>
      </c>
      <c r="BE63" s="19" t="s">
        <v>224</v>
      </c>
      <c r="BF63" s="19" t="s">
        <v>225</v>
      </c>
      <c r="BG63" s="19"/>
      <c r="BH63" s="19" t="s">
        <v>240</v>
      </c>
      <c r="BI63" s="111" t="s">
        <v>241</v>
      </c>
      <c r="BJ63" s="4"/>
      <c r="BK63" s="4"/>
      <c r="BL63" s="95"/>
      <c r="BM63" s="95"/>
      <c r="BN63" s="46"/>
      <c r="BO63" s="46"/>
      <c r="BP63" s="46"/>
    </row>
    <row r="64" spans="1:68" s="91" customFormat="1">
      <c r="A64" s="91">
        <v>0</v>
      </c>
      <c r="B64" s="91">
        <f>Fstart*10^(Step*A64)</f>
        <v>100</v>
      </c>
      <c r="C64" s="91" t="str">
        <f t="shared" ref="C64:C127" si="0">COMPLEX(0,2*PI()*B64,"j")</f>
        <v>628.318530717959j</v>
      </c>
      <c r="D64" s="91">
        <f t="shared" ref="D64:D127" si="1">(IMPRODUCT(C64,C64))/wn^2 + 1</f>
        <v>0.99999996694214877</v>
      </c>
      <c r="E64" s="91" t="str">
        <f t="shared" ref="E64:E127" si="2">IMDIV(C64,wn*Qn)</f>
        <v>-0.000285599332144527j</v>
      </c>
      <c r="F64" s="91" t="str">
        <f t="shared" ref="F64:F127" si="3">IMSUM(D64,E64)</f>
        <v>0.999999966942149-0.000285599332144527j</v>
      </c>
      <c r="G64" s="91">
        <f t="shared" ref="G64:G127" si="4">20*LOG(IMABS(F64),10)</f>
        <v>6.7104043772218988E-8</v>
      </c>
      <c r="H64" s="91">
        <f t="shared" ref="H64:H127" si="5">(IMARGUMENT(F64)*(180/PI()))</f>
        <v>-1.6363636459672242E-2</v>
      </c>
      <c r="J64" s="91">
        <f t="shared" ref="J64:J127" si="6">Vin/(Rout+DCR/1000)</f>
        <v>7.1641791044776131</v>
      </c>
      <c r="K64" s="91" t="str">
        <f t="shared" ref="K64:K127" si="7">IMSUM(1,IMPRODUCT(C64,ncap*(Cap*10^-6)*(Rout+(ESR/(ncap*1000)))))</f>
        <v>1+0.0155980075250733j</v>
      </c>
      <c r="L64" s="91">
        <f t="shared" ref="L64:L127" si="8">(IMPRODUCT(C64,C64))/Gdo^2 + 1</f>
        <v>0.99996021282581615</v>
      </c>
      <c r="M64" s="91" t="str">
        <f t="shared" ref="M64:M127" si="9">IMDIV(C64,Q*Gdo)</f>
        <v>0.00283001230757331j</v>
      </c>
      <c r="N64" s="91" t="str">
        <f t="shared" ref="N64:N127" si="10">IMSUM(L64,M64)</f>
        <v>0.999960212825816+0.00283001230757331j</v>
      </c>
      <c r="O64" s="91" t="str">
        <f t="shared" ref="O64:O127" si="11">IMDIV(K64,N64)</f>
        <v>1.00007592460823+0.0127682883640374j</v>
      </c>
      <c r="P64" s="91" t="str">
        <f t="shared" ref="P64:P127" si="12">IMPRODUCT(J64,O64)</f>
        <v>7.16472304196941+0.0914743046975814j</v>
      </c>
      <c r="R64" s="91">
        <f t="shared" ref="R64:R127" si="13">Vin/(1+((DCR*10^-3)/Rout))</f>
        <v>11.82089552238806</v>
      </c>
      <c r="S64" s="91" t="str">
        <f t="shared" ref="S64:S127" si="14">IMSUM(1,IMPRODUCT(C64,ncap*(Cap*10^-6)*(ESR/(ncap*1000))))</f>
        <v>1+0.0000471238898038469j</v>
      </c>
      <c r="T64" s="91" t="str">
        <f t="shared" ref="T64:T127" si="15">IMSUM(L64,M64)</f>
        <v>0.999960212825816+0.00283001230757331j</v>
      </c>
      <c r="U64" s="91" t="str">
        <f t="shared" ref="U64:U127" si="16">IMDIV(S64,T64)</f>
        <v>1.00003191226645-0.00278308946114145j</v>
      </c>
      <c r="V64" s="91" t="str">
        <f t="shared" ref="V64:V127" si="17">IMPRODUCT(R64,U64)</f>
        <v>11.8212727539556-0.0328986097496124j</v>
      </c>
      <c r="X64" s="91" t="str">
        <f t="shared" ref="X64:X127" si="18">IMPRODUCT(Fm,Dmax,P64,F64)</f>
        <v>1.34131098889538+0.0167418067057318j</v>
      </c>
      <c r="Y64" s="91">
        <f t="shared" ref="Y64:Y127" si="19">20*LOG(IMABS(X64),10)</f>
        <v>2.5512661967089438</v>
      </c>
      <c r="Z64" s="91">
        <f t="shared" ref="Z64:Z127" si="20">IF((IMARGUMENT(X64)*(180/PI()))&lt;0,(IMARGUMENT(X64)*(180/PI()))+180,(IMARGUMENT(X64)*(180/PI()))-180)</f>
        <v>-179.28488988423089</v>
      </c>
      <c r="AB64" s="91" t="str">
        <f t="shared" ref="AB64:AB127" si="21">IMPRODUCT(Fm,V64)</f>
        <v>11.0652886809155-0.0307947055834939j</v>
      </c>
      <c r="AC64" s="91">
        <f t="shared" ref="AC64:AC127" si="22">20*LOG(IMABS(AB64),10)</f>
        <v>20.879288609676209</v>
      </c>
      <c r="AD64" s="91">
        <f t="shared" ref="AD64:AD127" si="23">IF((IMARGUMENT(AB64)*(180/PI()))&lt;0,(IMARGUMENT(AB64)*(180/PI()))+180,(IMARGUMENT(AB64)*(180/PI()))-180)</f>
        <v>179.84054622007449</v>
      </c>
      <c r="AF64" s="91" t="str">
        <f t="shared" ref="AF64:AF127" si="24">IMDIV(AB64,IMSUM(1,X64))</f>
        <v>4.72577235168854-0.0469449267321004j</v>
      </c>
      <c r="AG64" s="91">
        <f t="shared" ref="AG64:AG127" si="25">20*LOG(IMABS(AF64),10)</f>
        <v>13.489884485471615</v>
      </c>
      <c r="AH64" s="91">
        <f t="shared" ref="AH64:AH127" si="26">IF((IMARGUMENT(AF64)*(180/PI()))&lt;0,(IMARGUMENT(AF64)*(180/PI()))+180,(IMARGUMENT(AF64)*(180/PI()))-180)</f>
        <v>179.43085330796117</v>
      </c>
      <c r="AJ64" s="91" t="str">
        <f t="shared" ref="AJ64:AJ127" si="27">IMDIV(_Rfb1,IMSUM(1,IMPRODUCT(C64,_Cfb1*_Rfb1)))</f>
        <v>46874.9999995934-0.13805827090851j</v>
      </c>
      <c r="AK64" s="91" t="str">
        <f t="shared" ref="AK64:AK127" si="28">IMDIV(_Rfb2,IMSUM(1,IMPRODUCT(C64,_Cfb2*_Rfb2)))</f>
        <v>15000-1.41371669411541E-07j</v>
      </c>
      <c r="AL64" s="91" t="str">
        <f>IMDIV(IMSUM(1,IMPRODUCT(C64,10000,0.000000000045)),IMPRODUCT(C64,0.000000000045))</f>
        <v>10000-35367765.1315322j</v>
      </c>
      <c r="AM64" s="91" t="str">
        <f>IMDIV(AL64,IMSUM(1,IMPRODUCT(C64,AL64,0.0000000001)))</f>
        <v>963.13908347349-10976203.1596625j</v>
      </c>
      <c r="AN64" s="91" t="str">
        <f>IMSUM(10000,AM64)</f>
        <v>10963.1390834735-10976203.1596625j</v>
      </c>
      <c r="AO64" s="91" t="str">
        <f>IMDIV(IMPRODUCT(AN64,AK64),IMSUM(AN64,AK64))</f>
        <v>14999.95151214-20.4987771619915j</v>
      </c>
      <c r="AP64" s="91" t="str">
        <f>IMDIV(AK64,IMSUM(AJ64,AK64))</f>
        <v>0.242424242424629+5.40906095125979E-07j</v>
      </c>
      <c r="AQ64" s="91" t="str">
        <f t="shared" ref="AQ64:AQ127" si="29">IMSUM(1,IMPRODUCT(C64,_res1*_Cap1))</f>
        <v>1+0.0859539750022168j</v>
      </c>
      <c r="AR64" s="91">
        <f t="shared" ref="AR64:AR95" si="30">(IMPRODUCT(C64,C64))*_res1*_Cap1*_cap2 + (1/Roerr)</f>
        <v>9.9994599352471722E-8</v>
      </c>
      <c r="AS64" s="91" t="str">
        <f t="shared" ref="AS64:AS127" si="31">IMPRODUCT(C64,(_Cap1+_cap2+(_Cap1*_res1/Roerr)))</f>
        <v>4.78387906280978E-06j</v>
      </c>
      <c r="AT64" s="91" t="str">
        <f t="shared" ref="AT64:AT127" si="32">IMSUM(AR64,AS64)</f>
        <v>9.99945993524717E-08+4.78387906280978E-06j</v>
      </c>
      <c r="AU64" s="91" t="str">
        <f t="shared" ref="AU64:AU127" si="33">IMPRODUCT(EA_BW,IMDIV(AQ64,AT64))</f>
        <v>6.69810316022439-62.5706088987672j</v>
      </c>
      <c r="AW64" s="91" t="str">
        <f>IMDIV(IMPRODUCT(AP64,AU64),IMPRODUCT(IMSUM(1,IMPRODUCT(C64,1/1500000)),IMSUM(1,IMPRODUCT(C64,1/35000000))))</f>
        <v>1.61719000566231-15.169335390048j</v>
      </c>
      <c r="AX64" s="91">
        <f t="shared" ref="AX64:AX127" si="34">20*LOG(IMABS(AW64),10)</f>
        <v>23.668412469117655</v>
      </c>
      <c r="AY64" s="91">
        <f t="shared" ref="AY64:AY127" si="35">IF((IMARGUMENT(AW64)*(180/PI()))&lt;0,(IMARGUMENT(AW64)*(180/PI()))+180,(IMARGUMENT(AW64)*(180/PI()))-180)</f>
        <v>96.085269945824209</v>
      </c>
      <c r="AZ64" s="91" t="str">
        <f t="shared" ref="AZ64:AZ127" si="36">IMPRODUCT(AW64,Fm,V64)</f>
        <v>17.427539047311-167.902876078605j</v>
      </c>
      <c r="BA64" s="91">
        <f t="shared" ref="BA64:BA127" si="37">20*LOG(IMABS(AZ64),10)</f>
        <v>44.547701078793828</v>
      </c>
      <c r="BB64" s="91">
        <f t="shared" ref="BB64:BB127" si="38">IF((IMARGUMENT(AZ64)*(180/PI()))&lt;0,(IMARGUMENT(AZ64)*(180/PI()))+180,(IMARGUMENT(AZ64)*(180/PI()))-180)</f>
        <v>95.925816165898723</v>
      </c>
      <c r="BD64" s="91" t="str">
        <f t="shared" ref="BD64:BD127" si="39">IMDIV(AZ64,IMSUM(1,X64))</f>
        <v>6.93034847772551-71.7627446461066j</v>
      </c>
      <c r="BE64" s="91">
        <f t="shared" ref="BE64:BE127" si="40">20*LOG(IMABS(BD64),10)</f>
        <v>37.158296954589225</v>
      </c>
      <c r="BF64" s="91">
        <f t="shared" ref="BF64:BF127" si="41">IF((IMARGUMENT(BD64)*(180/PI()))&lt;0,(IMARGUMENT(BD64)*(180/PI()))+180,(IMARGUMENT(BD64)*(180/PI()))-180)</f>
        <v>95.516123253785409</v>
      </c>
      <c r="BH64" s="91">
        <f>1-BE64</f>
        <v>-36.158296954589225</v>
      </c>
      <c r="BI64" s="112">
        <f>+-1*BF64</f>
        <v>-95.516123253785409</v>
      </c>
      <c r="BJ64" s="95"/>
      <c r="BK64" s="95"/>
      <c r="BL64" s="95"/>
      <c r="BM64" s="95"/>
      <c r="BN64" s="46"/>
      <c r="BO64" s="46"/>
      <c r="BP64" s="46"/>
    </row>
    <row r="65" spans="1:68" s="91" customFormat="1">
      <c r="A65" s="91">
        <v>1</v>
      </c>
      <c r="B65" s="91">
        <f t="shared" ref="B65:B127" si="42">Fstart*10^(Step*A65)</f>
        <v>104.71285480508996</v>
      </c>
      <c r="C65" s="91" t="str">
        <f t="shared" si="0"/>
        <v>657.930270784171j</v>
      </c>
      <c r="D65" s="91">
        <f t="shared" si="1"/>
        <v>0.99999996375278688</v>
      </c>
      <c r="E65" s="91" t="str">
        <f t="shared" si="2"/>
        <v>-0.000299059213992805j</v>
      </c>
      <c r="F65" s="91" t="str">
        <f t="shared" si="3"/>
        <v>0.999999963752787-0.000299059213992805j</v>
      </c>
      <c r="G65" s="91">
        <f t="shared" si="4"/>
        <v>7.3578121740763083E-8</v>
      </c>
      <c r="H65" s="91">
        <f t="shared" si="5"/>
        <v>-1.7134830896551378E-2</v>
      </c>
      <c r="J65" s="91">
        <f t="shared" si="6"/>
        <v>7.1641791044776131</v>
      </c>
      <c r="K65" s="91" t="str">
        <f t="shared" si="7"/>
        <v>1+0.016333118972217j</v>
      </c>
      <c r="L65" s="91">
        <f t="shared" si="8"/>
        <v>0.99995637423102124</v>
      </c>
      <c r="M65" s="91" t="str">
        <f t="shared" si="9"/>
        <v>0.00296338667859542j</v>
      </c>
      <c r="N65" s="91" t="str">
        <f t="shared" si="10"/>
        <v>0.999956374231021+0.00296338667859542j</v>
      </c>
      <c r="O65" s="91" t="str">
        <f t="shared" si="11"/>
        <v>1.00008325008481+0.0133700688709651j</v>
      </c>
      <c r="P65" s="91" t="str">
        <f t="shared" si="12"/>
        <v>7.16477552299566+0.0957855680307948j</v>
      </c>
      <c r="R65" s="91">
        <f t="shared" si="13"/>
        <v>11.82089552238806</v>
      </c>
      <c r="S65" s="91" t="str">
        <f t="shared" si="14"/>
        <v>1+0.0000493447703088128j</v>
      </c>
      <c r="T65" s="91" t="str">
        <f t="shared" si="15"/>
        <v>0.999956374231021+0.00296338667859542j</v>
      </c>
      <c r="U65" s="91" t="str">
        <f t="shared" si="16"/>
        <v>1.00003499117849-0.00291427273806801j</v>
      </c>
      <c r="V65" s="91" t="str">
        <f t="shared" si="17"/>
        <v>11.8213091494532-0.0344493135604457j</v>
      </c>
      <c r="X65" s="91" t="str">
        <f t="shared" si="18"/>
        <v>1.34132128145067+0.0175308604721652j</v>
      </c>
      <c r="Y65" s="91">
        <f t="shared" si="19"/>
        <v>2.551398105575001</v>
      </c>
      <c r="Z65" s="91">
        <f t="shared" si="20"/>
        <v>-179.25119571075146</v>
      </c>
      <c r="AB65" s="91" t="str">
        <f t="shared" si="21"/>
        <v>11.0653227488789-0.0322462400910387j</v>
      </c>
      <c r="AC65" s="91">
        <f t="shared" si="22"/>
        <v>20.87931859732231</v>
      </c>
      <c r="AD65" s="91">
        <f t="shared" si="23"/>
        <v>179.83303078687965</v>
      </c>
      <c r="AF65" s="91" t="str">
        <f t="shared" si="24"/>
        <v>4.72573374332066-0.0491570379023274j</v>
      </c>
      <c r="AG65" s="91">
        <f t="shared" si="25"/>
        <v>13.489854867766219</v>
      </c>
      <c r="AH65" s="91">
        <f t="shared" si="26"/>
        <v>179.40403133524271</v>
      </c>
      <c r="AJ65" s="91" t="str">
        <f t="shared" si="27"/>
        <v>46874.9999995541-0.144564756762725j</v>
      </c>
      <c r="AK65" s="91" t="str">
        <f t="shared" si="28"/>
        <v>15000-1.48034310926439E-07j</v>
      </c>
      <c r="AL65" s="91" t="str">
        <f t="shared" ref="AL65:AL128" si="43">IMDIV(IMSUM(1,IMPRODUCT(C65,10000,0.000000000045)),IMPRODUCT(C65,0.000000000045))</f>
        <v>10000-33775953.4847608j</v>
      </c>
      <c r="AM65" s="91" t="str">
        <f t="shared" ref="AM65:AM128" si="44">IMDIV(AL65,IMSUM(1,IMPRODUCT(C65,AL65,0.0000000001)))</f>
        <v>963.139079940295-10482192.6574466j</v>
      </c>
      <c r="AN65" s="91" t="str">
        <f t="shared" ref="AN65:AN128" si="45">IMSUM(10000,AM65)</f>
        <v>10963.1390799403-10482192.6574466j</v>
      </c>
      <c r="AO65" s="91" t="str">
        <f t="shared" ref="AO65:AO128" si="46">IMDIV(IMPRODUCT(AN65,AK65),IMSUM(AN65,AK65))</f>
        <v>14999.9468341476-21.464843144193j</v>
      </c>
      <c r="AP65" s="91" t="str">
        <f t="shared" ref="AP65:AP128" si="47">IMDIV(AK65,IMSUM(AJ65,AK65))</f>
        <v>0.242424242424666+5.66398214021124E-07j</v>
      </c>
      <c r="AQ65" s="91" t="str">
        <f t="shared" si="29"/>
        <v>1+0.0900048610432746j</v>
      </c>
      <c r="AR65" s="91">
        <f t="shared" si="30"/>
        <v>9.9994078307740192E-8</v>
      </c>
      <c r="AS65" s="91" t="str">
        <f t="shared" si="31"/>
        <v>5.00933633709111E-06j</v>
      </c>
      <c r="AT65" s="91" t="str">
        <f t="shared" si="32"/>
        <v>9.99940783077402E-08+5.00933633709111E-06j</v>
      </c>
      <c r="AU65" s="91" t="str">
        <f t="shared" si="33"/>
        <v>6.58306384293732-59.7567646600488j</v>
      </c>
      <c r="AW65" s="91" t="str">
        <f t="shared" ref="AW65:AW128" si="48">IMDIV(IMPRODUCT(AP65,AU65),IMPRODUCT(IMSUM(1,IMPRODUCT(C65,1/1500000)),IMSUM(1,IMPRODUCT(C65,1/35000000))))</f>
        <v>1.58930141002601-14.4872117686471j</v>
      </c>
      <c r="AX65" s="91">
        <f t="shared" si="34"/>
        <v>23.271651116040225</v>
      </c>
      <c r="AY65" s="91">
        <f t="shared" si="35"/>
        <v>96.260526816108495</v>
      </c>
      <c r="AZ65" s="91" t="str">
        <f t="shared" si="36"/>
        <v>17.1189749382445-160.356922946281j</v>
      </c>
      <c r="BA65" s="91">
        <f t="shared" si="37"/>
        <v>44.1509697133625</v>
      </c>
      <c r="BB65" s="91">
        <f t="shared" si="38"/>
        <v>96.093557602988113</v>
      </c>
      <c r="BD65" s="91" t="str">
        <f t="shared" si="39"/>
        <v>6.79846688365655-68.5408308513784j</v>
      </c>
      <c r="BE65" s="91">
        <f t="shared" si="40"/>
        <v>36.761505983806416</v>
      </c>
      <c r="BF65" s="91">
        <f t="shared" si="41"/>
        <v>95.664558151351201</v>
      </c>
      <c r="BH65" s="91">
        <f t="shared" ref="BH65:BH128" si="49">1-BE65</f>
        <v>-35.761505983806416</v>
      </c>
      <c r="BI65" s="112">
        <f t="shared" ref="BI65:BI128" si="50">+-1*BF65</f>
        <v>-95.664558151351201</v>
      </c>
      <c r="BJ65" s="95"/>
      <c r="BK65" s="95"/>
      <c r="BL65" s="95"/>
      <c r="BM65" s="95"/>
      <c r="BN65" s="46"/>
      <c r="BO65" s="46"/>
      <c r="BP65" s="46"/>
    </row>
    <row r="66" spans="1:68" s="91" customFormat="1">
      <c r="A66" s="91">
        <v>2</v>
      </c>
      <c r="B66" s="91">
        <f t="shared" si="42"/>
        <v>109.64781961431851</v>
      </c>
      <c r="C66" s="91" t="str">
        <f t="shared" si="0"/>
        <v>688.937569164964j</v>
      </c>
      <c r="D66" s="91">
        <f t="shared" si="1"/>
        <v>0.99999996025572113</v>
      </c>
      <c r="E66" s="91" t="str">
        <f t="shared" si="2"/>
        <v>-0.000313153440529529j</v>
      </c>
      <c r="F66" s="91" t="str">
        <f t="shared" si="3"/>
        <v>0.999999960255721-0.000313153440529529j</v>
      </c>
      <c r="G66" s="91">
        <f t="shared" si="4"/>
        <v>8.0676804242063877E-8</v>
      </c>
      <c r="H66" s="91">
        <f t="shared" si="5"/>
        <v>-1.7942370608942951E-2</v>
      </c>
      <c r="J66" s="91">
        <f t="shared" si="6"/>
        <v>7.1641791044776131</v>
      </c>
      <c r="K66" s="91" t="str">
        <f t="shared" si="7"/>
        <v>1+0.0171028751545202j</v>
      </c>
      <c r="L66" s="91">
        <f t="shared" si="8"/>
        <v>0.99995216529552489</v>
      </c>
      <c r="M66" s="91" t="str">
        <f t="shared" si="9"/>
        <v>0.003103046790071j</v>
      </c>
      <c r="N66" s="91" t="str">
        <f t="shared" si="10"/>
        <v>0.999952165295525+0.003103046790071j</v>
      </c>
      <c r="O66" s="91" t="str">
        <f t="shared" si="11"/>
        <v>1.00009128239256+0.0140002148070519j</v>
      </c>
      <c r="P66" s="91" t="str">
        <f t="shared" si="12"/>
        <v>7.164833067887+0.100300046378879j</v>
      </c>
      <c r="R66" s="91">
        <f t="shared" si="13"/>
        <v>11.82089552238806</v>
      </c>
      <c r="S66" s="91" t="str">
        <f t="shared" si="14"/>
        <v>1+0.0000516703176873723j</v>
      </c>
      <c r="T66" s="91" t="str">
        <f t="shared" si="15"/>
        <v>0.999952165295525+0.003103046790071j</v>
      </c>
      <c r="U66" s="91" t="str">
        <f t="shared" si="16"/>
        <v>1.00003836715339-0.0030516415018252j</v>
      </c>
      <c r="V66" s="91" t="str">
        <f t="shared" si="17"/>
        <v>11.8213490564998-0.0360731353648591j</v>
      </c>
      <c r="X66" s="91" t="str">
        <f t="shared" si="18"/>
        <v>1.34133256712597+0.0183571066378227j</v>
      </c>
      <c r="Y66" s="91">
        <f t="shared" si="19"/>
        <v>2.551542738112571</v>
      </c>
      <c r="Z66" s="91">
        <f t="shared" si="20"/>
        <v>-179.21591475411293</v>
      </c>
      <c r="AB66" s="91" t="str">
        <f t="shared" si="21"/>
        <v>11.0653601038236-0.0337662166118568j</v>
      </c>
      <c r="AC66" s="91">
        <f t="shared" si="22"/>
        <v>20.87935147821306</v>
      </c>
      <c r="AD66" s="91">
        <f t="shared" si="23"/>
        <v>179.82516107213834</v>
      </c>
      <c r="AF66" s="91" t="str">
        <f t="shared" si="24"/>
        <v>4.7256914106717-0.0514733530243147j</v>
      </c>
      <c r="AG66" s="91">
        <f t="shared" si="25"/>
        <v>13.489822392811119</v>
      </c>
      <c r="AH66" s="91">
        <f t="shared" si="26"/>
        <v>179.37594544255739</v>
      </c>
      <c r="AJ66" s="91" t="str">
        <f t="shared" si="27"/>
        <v>46874.9999995111-0.151377883848145j</v>
      </c>
      <c r="AK66" s="91" t="str">
        <f t="shared" si="28"/>
        <v>15000-1.55010953062118E-07j</v>
      </c>
      <c r="AL66" s="91" t="str">
        <f t="shared" si="43"/>
        <v>10000-32255785.1637514j</v>
      </c>
      <c r="AM66" s="91" t="str">
        <f t="shared" si="44"/>
        <v>963.139076066234-10010416.2912292j</v>
      </c>
      <c r="AN66" s="91" t="str">
        <f t="shared" si="45"/>
        <v>10963.1390760662-10010416.2912292j</v>
      </c>
      <c r="AO66" s="91" t="str">
        <f t="shared" si="46"/>
        <v>14999.9417048367-22.4764366915912j</v>
      </c>
      <c r="AP66" s="91" t="str">
        <f t="shared" si="47"/>
        <v>0.242424242424707+5.93091739466531E-07j</v>
      </c>
      <c r="AQ66" s="91" t="str">
        <f t="shared" si="29"/>
        <v>1+0.0942466594617671j</v>
      </c>
      <c r="AR66" s="91">
        <f t="shared" si="30"/>
        <v>9.9993506993552849E-8</v>
      </c>
      <c r="AS66" s="91" t="str">
        <f t="shared" si="31"/>
        <v>5.24541908535682E-06j</v>
      </c>
      <c r="AT66" s="91" t="str">
        <f t="shared" si="32"/>
        <v>9.99935069935528E-08+5.24541908535682E-06j</v>
      </c>
      <c r="AU66" s="91" t="str">
        <f t="shared" si="33"/>
        <v>6.47813902873884-57.0692681153733j</v>
      </c>
      <c r="AW66" s="91" t="str">
        <f t="shared" si="48"/>
        <v>1.56386483520151-13.8357194247207j</v>
      </c>
      <c r="AX66" s="91">
        <f t="shared" si="34"/>
        <v>22.875168943280055</v>
      </c>
      <c r="AY66" s="91">
        <f t="shared" si="35"/>
        <v>96.448827271128323</v>
      </c>
      <c r="AZ66" s="91" t="str">
        <f t="shared" si="36"/>
        <v>16.8375476561355-153.150023528779j</v>
      </c>
      <c r="BA66" s="91">
        <f t="shared" si="37"/>
        <v>43.754520421493133</v>
      </c>
      <c r="BB66" s="91">
        <f t="shared" si="38"/>
        <v>96.273988343266652</v>
      </c>
      <c r="BD66" s="91" t="str">
        <f t="shared" si="39"/>
        <v>6.67817174886929-65.463837812611j</v>
      </c>
      <c r="BE66" s="91">
        <f t="shared" si="40"/>
        <v>36.364991336091201</v>
      </c>
      <c r="BF66" s="91">
        <f t="shared" si="41"/>
        <v>95.824772713685718</v>
      </c>
      <c r="BH66" s="91">
        <f t="shared" si="49"/>
        <v>-35.364991336091201</v>
      </c>
      <c r="BI66" s="112">
        <f t="shared" si="50"/>
        <v>-95.824772713685718</v>
      </c>
      <c r="BJ66" s="95"/>
      <c r="BK66" s="95"/>
      <c r="BL66" s="95"/>
      <c r="BM66" s="95"/>
      <c r="BN66" s="46"/>
      <c r="BO66" s="46"/>
      <c r="BP66" s="46"/>
    </row>
    <row r="67" spans="1:68" s="91" customFormat="1">
      <c r="A67" s="91">
        <v>3</v>
      </c>
      <c r="B67" s="91">
        <f t="shared" si="42"/>
        <v>114.81536214968828</v>
      </c>
      <c r="C67" s="91" t="str">
        <f t="shared" si="0"/>
        <v>721.406196497425j</v>
      </c>
      <c r="D67" s="91">
        <f t="shared" si="1"/>
        <v>0.99999995642126482</v>
      </c>
      <c r="E67" s="91" t="str">
        <f t="shared" si="2"/>
        <v>-0.00032791190749883j</v>
      </c>
      <c r="F67" s="91" t="str">
        <f t="shared" si="3"/>
        <v>0.999999956421265-0.00032791190749883j</v>
      </c>
      <c r="G67" s="91">
        <f t="shared" si="4"/>
        <v>8.8460359811981021E-8</v>
      </c>
      <c r="H67" s="91">
        <f t="shared" si="5"/>
        <v>-1.8787968497123362E-2</v>
      </c>
      <c r="J67" s="91">
        <f t="shared" si="6"/>
        <v>7.1641791044776131</v>
      </c>
      <c r="K67" s="91" t="str">
        <f t="shared" si="7"/>
        <v>1+0.0179089088280486j</v>
      </c>
      <c r="L67" s="91">
        <f t="shared" si="8"/>
        <v>0.99994755028952409</v>
      </c>
      <c r="M67" s="91" t="str">
        <f t="shared" si="9"/>
        <v>0.00324928887982105j</v>
      </c>
      <c r="N67" s="91" t="str">
        <f t="shared" si="10"/>
        <v>0.999947550289524+0.00324928887982105j</v>
      </c>
      <c r="O67" s="91" t="str">
        <f t="shared" si="11"/>
        <v>1.00010008974193+0.0146600636438358j</v>
      </c>
      <c r="P67" s="91" t="str">
        <f t="shared" si="12"/>
        <v>7.16489616531532+0.10502732162748j</v>
      </c>
      <c r="R67" s="91">
        <f t="shared" si="13"/>
        <v>11.82089552238806</v>
      </c>
      <c r="S67" s="91" t="str">
        <f t="shared" si="14"/>
        <v>1+0.0000541054647373069j</v>
      </c>
      <c r="T67" s="91" t="str">
        <f t="shared" si="15"/>
        <v>0.999947550289524+0.00324928887982105j</v>
      </c>
      <c r="U67" s="91" t="str">
        <f t="shared" si="16"/>
        <v>1.00004206885429-0.00319548771134946j</v>
      </c>
      <c r="V67" s="91" t="str">
        <f t="shared" si="17"/>
        <v>11.8213928139194-0.0377735263789369j</v>
      </c>
      <c r="X67" s="91" t="str">
        <f t="shared" si="18"/>
        <v>1.34134494175852+0.0192222988325614j</v>
      </c>
      <c r="Y67" s="91">
        <f t="shared" si="19"/>
        <v>2.5517013213410107</v>
      </c>
      <c r="Z67" s="91">
        <f t="shared" si="20"/>
        <v>-179.17897240544491</v>
      </c>
      <c r="AB67" s="91" t="str">
        <f t="shared" si="21"/>
        <v>11.0654010629056-0.0353578656527699j</v>
      </c>
      <c r="AC67" s="91">
        <f t="shared" si="22"/>
        <v>20.879387531502218</v>
      </c>
      <c r="AD67" s="91">
        <f t="shared" si="23"/>
        <v>179.81692036572701</v>
      </c>
      <c r="AF67" s="91" t="str">
        <f t="shared" si="24"/>
        <v>4.72564499454819-0.0538987757266518j</v>
      </c>
      <c r="AG67" s="91">
        <f t="shared" si="25"/>
        <v>13.489786784987515</v>
      </c>
      <c r="AH67" s="91">
        <f t="shared" si="26"/>
        <v>179.34653608699259</v>
      </c>
      <c r="AJ67" s="91" t="str">
        <f t="shared" si="27"/>
        <v>46874.999999464-0.158512103720766j</v>
      </c>
      <c r="AK67" s="91" t="str">
        <f t="shared" si="28"/>
        <v>15000-1.62316394211921E-07j</v>
      </c>
      <c r="AL67" s="91" t="str">
        <f t="shared" si="43"/>
        <v>10000-30804035.6876829j</v>
      </c>
      <c r="AM67" s="91" t="str">
        <f t="shared" si="44"/>
        <v>963.139071818403-9559873.36008538j</v>
      </c>
      <c r="AN67" s="91" t="str">
        <f t="shared" si="45"/>
        <v>10963.1390718184-9559873.36008538j</v>
      </c>
      <c r="AO67" s="91" t="str">
        <f t="shared" si="46"/>
        <v>14999.9360806662-23.535703197135j</v>
      </c>
      <c r="AP67" s="91" t="str">
        <f t="shared" si="47"/>
        <v>0.242424242424751+6.21043292008531E-07j</v>
      </c>
      <c r="AQ67" s="91" t="str">
        <f t="shared" si="29"/>
        <v>1+0.0986883676808477j</v>
      </c>
      <c r="AR67" s="91">
        <f t="shared" si="30"/>
        <v>9.9992880560003275E-8</v>
      </c>
      <c r="AS67" s="91" t="str">
        <f t="shared" si="31"/>
        <v>5.49262807076816E-06j</v>
      </c>
      <c r="AT67" s="91" t="str">
        <f t="shared" si="32"/>
        <v>9.99928805600033E-08+5.49262807076816E-06j</v>
      </c>
      <c r="AU67" s="91" t="str">
        <f t="shared" si="33"/>
        <v>6.38244004739682-54.5024708714334j</v>
      </c>
      <c r="AW67" s="91" t="str">
        <f t="shared" si="48"/>
        <v>1.54066484381035-13.2134890975161j</v>
      </c>
      <c r="AX67" s="91">
        <f t="shared" si="34"/>
        <v>22.478995092679259</v>
      </c>
      <c r="AY67" s="91">
        <f t="shared" si="35"/>
        <v>96.650536871339</v>
      </c>
      <c r="AZ67" s="91" t="str">
        <f t="shared" si="36"/>
        <v>16.5808736279661-146.26703092491j</v>
      </c>
      <c r="BA67" s="91">
        <f t="shared" si="37"/>
        <v>43.358382624181495</v>
      </c>
      <c r="BB67" s="91">
        <f t="shared" si="38"/>
        <v>96.467457237066014</v>
      </c>
      <c r="BD67" s="91" t="str">
        <f t="shared" si="39"/>
        <v>6.5684442219952-62.5252985630807j</v>
      </c>
      <c r="BE67" s="91">
        <f t="shared" si="40"/>
        <v>35.9687818776668</v>
      </c>
      <c r="BF67" s="91">
        <f t="shared" si="41"/>
        <v>95.9970729583316</v>
      </c>
      <c r="BH67" s="91">
        <f t="shared" si="49"/>
        <v>-34.9687818776668</v>
      </c>
      <c r="BI67" s="112">
        <f t="shared" si="50"/>
        <v>-95.9970729583316</v>
      </c>
      <c r="BJ67" s="95"/>
      <c r="BK67" s="95"/>
      <c r="BL67" s="95"/>
      <c r="BM67" s="95"/>
      <c r="BN67" s="46"/>
      <c r="BO67" s="46"/>
      <c r="BP67" s="46"/>
    </row>
    <row r="68" spans="1:68" s="91" customFormat="1">
      <c r="A68" s="91">
        <v>4</v>
      </c>
      <c r="B68" s="91">
        <f t="shared" si="42"/>
        <v>120.2264434617413</v>
      </c>
      <c r="C68" s="91" t="str">
        <f t="shared" si="0"/>
        <v>755.40502309327j</v>
      </c>
      <c r="D68" s="91">
        <f t="shared" si="1"/>
        <v>0.99999995221686711</v>
      </c>
      <c r="E68" s="91" t="str">
        <f t="shared" si="2"/>
        <v>-0.00034336591958785j</v>
      </c>
      <c r="F68" s="91" t="str">
        <f t="shared" si="3"/>
        <v>0.999999952216867-0.00034336591958785j</v>
      </c>
      <c r="G68" s="91">
        <f t="shared" si="4"/>
        <v>9.6994854522669425E-8</v>
      </c>
      <c r="H68" s="91">
        <f t="shared" si="5"/>
        <v>-1.9673418187903403E-2</v>
      </c>
      <c r="J68" s="91">
        <f t="shared" si="6"/>
        <v>7.1641791044776131</v>
      </c>
      <c r="K68" s="91" t="str">
        <f t="shared" si="7"/>
        <v>1+0.0187529296982904j</v>
      </c>
      <c r="L68" s="91">
        <f t="shared" si="8"/>
        <v>0.99994249003606905</v>
      </c>
      <c r="M68" s="91" t="str">
        <f t="shared" si="9"/>
        <v>0.00340242314692495j</v>
      </c>
      <c r="N68" s="91" t="str">
        <f t="shared" si="10"/>
        <v>0.999942490036069+0.00340242314692495j</v>
      </c>
      <c r="O68" s="91" t="str">
        <f t="shared" si="11"/>
        <v>1.00010974692758+0.0153510159822542j</v>
      </c>
      <c r="P68" s="91" t="str">
        <f t="shared" si="12"/>
        <v>7.16496535112296+0.109977427932567j</v>
      </c>
      <c r="R68" s="91">
        <f t="shared" si="13"/>
        <v>11.82089552238806</v>
      </c>
      <c r="S68" s="91" t="str">
        <f t="shared" si="14"/>
        <v>1+0.0000566553767319952j</v>
      </c>
      <c r="T68" s="91" t="str">
        <f t="shared" si="15"/>
        <v>0.999942490036069+0.00340242314692495j</v>
      </c>
      <c r="U68" s="91" t="str">
        <f t="shared" si="16"/>
        <v>1.00004612771029-0.00334611715125882j</v>
      </c>
      <c r="V68" s="91" t="str">
        <f t="shared" si="17"/>
        <v>11.8214407932321-0.0395541012507013j</v>
      </c>
      <c r="X68" s="91" t="str">
        <f t="shared" si="18"/>
        <v>1.3413585104364+0.0201282734516905j</v>
      </c>
      <c r="Y68" s="91">
        <f t="shared" si="19"/>
        <v>2.5518752005517613</v>
      </c>
      <c r="Z68" s="91">
        <f t="shared" si="20"/>
        <v>-179.14029056541935</v>
      </c>
      <c r="AB68" s="91" t="str">
        <f t="shared" si="21"/>
        <v>11.0654459738858-0.0370245707008761j</v>
      </c>
      <c r="AC68" s="91">
        <f t="shared" si="22"/>
        <v>20.879427063279046</v>
      </c>
      <c r="AD68" s="91">
        <f t="shared" si="23"/>
        <v>179.80829116802016</v>
      </c>
      <c r="AF68" s="91" t="str">
        <f t="shared" si="24"/>
        <v>4.72559410112597-0.056438439649896j</v>
      </c>
      <c r="AG68" s="91">
        <f t="shared" si="25"/>
        <v>13.489747742093636</v>
      </c>
      <c r="AH68" s="91">
        <f t="shared" si="26"/>
        <v>179.31574092298999</v>
      </c>
      <c r="AJ68" s="91" t="str">
        <f t="shared" si="27"/>
        <v>46874.9999994122-0.165982549017436j</v>
      </c>
      <c r="AK68" s="91" t="str">
        <f t="shared" si="28"/>
        <v>15000-1.69966130195987E-07j</v>
      </c>
      <c r="AL68" s="91" t="str">
        <f t="shared" si="43"/>
        <v>10000-29417625.7012769j</v>
      </c>
      <c r="AM68" s="91" t="str">
        <f t="shared" si="44"/>
        <v>963.13906716075-9129608.20205286j</v>
      </c>
      <c r="AN68" s="91" t="str">
        <f t="shared" si="45"/>
        <v>10963.1390671607-9129608.20205286j</v>
      </c>
      <c r="AO68" s="91" t="str">
        <f t="shared" si="46"/>
        <v>14999.9299138944-24.6448891252335j</v>
      </c>
      <c r="AP68" s="91" t="str">
        <f t="shared" si="47"/>
        <v>0.242424242424801+6.50312160637603E-07j</v>
      </c>
      <c r="AQ68" s="91" t="str">
        <f t="shared" si="29"/>
        <v>1+0.103339407159159j</v>
      </c>
      <c r="AR68" s="91">
        <f t="shared" si="30"/>
        <v>9.9992193689274846E-8</v>
      </c>
      <c r="AS68" s="91" t="str">
        <f t="shared" si="31"/>
        <v>5.75148765672708E-06j</v>
      </c>
      <c r="AT68" s="91" t="str">
        <f t="shared" si="32"/>
        <v>9.99921936892748E-08+5.75148765672708E-06j</v>
      </c>
      <c r="AU68" s="91" t="str">
        <f t="shared" si="33"/>
        <v>6.29515620408774-52.0509738330717j</v>
      </c>
      <c r="AW68" s="91" t="str">
        <f t="shared" si="48"/>
        <v>1.51950490175458-12.6192119655328j</v>
      </c>
      <c r="AX68" s="91">
        <f t="shared" si="34"/>
        <v>22.083161180007373</v>
      </c>
      <c r="AY68" s="91">
        <f t="shared" si="35"/>
        <v>96.866044608341312</v>
      </c>
      <c r="AZ68" s="91" t="str">
        <f t="shared" si="36"/>
        <v>16.3467784918127-139.693467254281j</v>
      </c>
      <c r="BA68" s="91">
        <f t="shared" si="37"/>
        <v>42.962588243286362</v>
      </c>
      <c r="BB68" s="91">
        <f t="shared" si="38"/>
        <v>96.674335776361488</v>
      </c>
      <c r="BD68" s="91" t="str">
        <f t="shared" si="39"/>
        <v>6.46835476741746-59.7190321108751j</v>
      </c>
      <c r="BE68" s="91">
        <f t="shared" si="40"/>
        <v>35.572908922100957</v>
      </c>
      <c r="BF68" s="91">
        <f t="shared" si="41"/>
        <v>96.181785531331329</v>
      </c>
      <c r="BH68" s="91">
        <f t="shared" si="49"/>
        <v>-34.572908922100957</v>
      </c>
      <c r="BI68" s="112">
        <f t="shared" si="50"/>
        <v>-96.181785531331329</v>
      </c>
      <c r="BJ68" s="95"/>
      <c r="BK68" s="95"/>
      <c r="BL68" s="95"/>
      <c r="BM68" s="95"/>
      <c r="BN68" s="46"/>
      <c r="BO68" s="46"/>
      <c r="BP68" s="46"/>
    </row>
    <row r="69" spans="1:68" s="91" customFormat="1">
      <c r="A69" s="91">
        <v>5</v>
      </c>
      <c r="B69" s="91">
        <f t="shared" si="42"/>
        <v>125.89254117941672</v>
      </c>
      <c r="C69" s="91" t="str">
        <f t="shared" si="0"/>
        <v>791.006165022012j</v>
      </c>
      <c r="D69" s="91">
        <f t="shared" si="1"/>
        <v>0.99999994760683664</v>
      </c>
      <c r="E69" s="91" t="str">
        <f t="shared" si="2"/>
        <v>-0.000359548256828187j</v>
      </c>
      <c r="F69" s="91" t="str">
        <f t="shared" si="3"/>
        <v>0.999999947606837-0.000359548256828187j</v>
      </c>
      <c r="G69" s="91">
        <f t="shared" si="4"/>
        <v>1.0635274793686543E-7</v>
      </c>
      <c r="H69" s="91">
        <f t="shared" si="5"/>
        <v>-2.0600597839157617E-2</v>
      </c>
      <c r="J69" s="91">
        <f t="shared" si="6"/>
        <v>7.1641791044776131</v>
      </c>
      <c r="K69" s="91" t="str">
        <f t="shared" si="7"/>
        <v>1+0.0196367280466714j</v>
      </c>
      <c r="L69" s="91">
        <f t="shared" si="8"/>
        <v>0.99993694157848878</v>
      </c>
      <c r="M69" s="91" t="str">
        <f t="shared" si="9"/>
        <v>0.00356277440969429j</v>
      </c>
      <c r="N69" s="91" t="str">
        <f t="shared" si="10"/>
        <v>0.999936941578489+0.00356277440969429j</v>
      </c>
      <c r="O69" s="91" t="str">
        <f t="shared" si="11"/>
        <v>1.00012033596427+0.01607453854211j</v>
      </c>
      <c r="P69" s="91" t="str">
        <f t="shared" si="12"/>
        <v>7.16504121287835+0.115160873137504j</v>
      </c>
      <c r="R69" s="91">
        <f t="shared" si="13"/>
        <v>11.82089552238806</v>
      </c>
      <c r="S69" s="91" t="str">
        <f t="shared" si="14"/>
        <v>1+0.0000593254623766509j</v>
      </c>
      <c r="T69" s="91" t="str">
        <f t="shared" si="15"/>
        <v>0.999936941578489+0.00356277440969429j</v>
      </c>
      <c r="U69" s="91" t="str">
        <f t="shared" si="16"/>
        <v>1.00005057818344-0.00350385009323139j</v>
      </c>
      <c r="V69" s="91" t="str">
        <f t="shared" si="17"/>
        <v>11.8214934018102-0.0414186458781979j</v>
      </c>
      <c r="X69" s="91" t="str">
        <f t="shared" si="18"/>
        <v>1.34137338839195+0.0210769535742801j</v>
      </c>
      <c r="Y69" s="91">
        <f t="shared" si="19"/>
        <v>2.5520658506969478</v>
      </c>
      <c r="Z69" s="91">
        <f t="shared" si="20"/>
        <v>-179.09978748356096</v>
      </c>
      <c r="AB69" s="91" t="str">
        <f t="shared" si="21"/>
        <v>11.0654952180844-0.0387698755416595j</v>
      </c>
      <c r="AC69" s="91">
        <f t="shared" si="22"/>
        <v>20.879470409168089</v>
      </c>
      <c r="AD69" s="91">
        <f t="shared" si="23"/>
        <v>179.79925515238932</v>
      </c>
      <c r="AF69" s="91" t="str">
        <f t="shared" si="24"/>
        <v>4.72553829861411-0.0590977191254675j</v>
      </c>
      <c r="AG69" s="91">
        <f t="shared" si="25"/>
        <v>13.489704932782194</v>
      </c>
      <c r="AH69" s="91">
        <f t="shared" si="26"/>
        <v>179.28349467078323</v>
      </c>
      <c r="AJ69" s="91" t="str">
        <f t="shared" si="27"/>
        <v>46874.9999993555-0.173805065554205j</v>
      </c>
      <c r="AK69" s="91" t="str">
        <f t="shared" si="28"/>
        <v>15000-1.77976387129953E-07j</v>
      </c>
      <c r="AL69" s="91" t="str">
        <f t="shared" si="43"/>
        <v>10000-28093614.4430731j</v>
      </c>
      <c r="AM69" s="91" t="str">
        <f t="shared" si="44"/>
        <v>963.13906205374-8718708.16704475j</v>
      </c>
      <c r="AN69" s="91" t="str">
        <f t="shared" si="45"/>
        <v>10963.1390620537-8718708.16704475j</v>
      </c>
      <c r="AO69" s="91" t="str">
        <f t="shared" si="46"/>
        <v>14999.9231521737-25.8063467695104j</v>
      </c>
      <c r="AP69" s="91" t="str">
        <f t="shared" si="47"/>
        <v>0.242424242424855+6.80960428548249E-07j</v>
      </c>
      <c r="AQ69" s="91" t="str">
        <f t="shared" si="29"/>
        <v>1+0.108209643375011j</v>
      </c>
      <c r="AR69" s="91">
        <f t="shared" si="30"/>
        <v>9.9991440550497545E-8</v>
      </c>
      <c r="AS69" s="91" t="str">
        <f t="shared" si="31"/>
        <v>0.0000060225469191213j</v>
      </c>
      <c r="AT69" s="91" t="str">
        <f t="shared" si="32"/>
        <v>9.99914405504975E-08+0.0000060225469191213j</v>
      </c>
      <c r="AU69" s="91" t="str">
        <f t="shared" si="33"/>
        <v>6.21554795503212-49.7096166167928j</v>
      </c>
      <c r="AW69" s="91" t="str">
        <f t="shared" si="48"/>
        <v>1.50020572380831-12.0516370802087j</v>
      </c>
      <c r="AX69" s="91">
        <f t="shared" si="34"/>
        <v>21.687701534835071</v>
      </c>
      <c r="AY69" s="91">
        <f t="shared" si="35"/>
        <v>97.095763023801325</v>
      </c>
      <c r="AZ69" s="91" t="str">
        <f t="shared" si="36"/>
        <v>16.1332787932708-133.415495270337j</v>
      </c>
      <c r="BA69" s="91">
        <f t="shared" si="37"/>
        <v>42.567171944003164</v>
      </c>
      <c r="BB69" s="91">
        <f t="shared" si="38"/>
        <v>96.895018176190661</v>
      </c>
      <c r="BD69" s="91" t="str">
        <f t="shared" si="39"/>
        <v>6.37705534048804-57.0391313200202j</v>
      </c>
      <c r="BE69" s="91">
        <f t="shared" si="40"/>
        <v>35.177406467617274</v>
      </c>
      <c r="BF69" s="91">
        <f t="shared" si="41"/>
        <v>96.379257694584552</v>
      </c>
      <c r="BH69" s="91">
        <f t="shared" si="49"/>
        <v>-34.177406467617274</v>
      </c>
      <c r="BI69" s="112">
        <f t="shared" si="50"/>
        <v>-96.379257694584552</v>
      </c>
      <c r="BJ69" s="95"/>
      <c r="BK69" s="95"/>
      <c r="BL69" s="95"/>
      <c r="BM69" s="95"/>
      <c r="BN69" s="46"/>
      <c r="BO69" s="46"/>
      <c r="BP69" s="46"/>
    </row>
    <row r="70" spans="1:68" s="91" customFormat="1">
      <c r="A70" s="91">
        <v>6</v>
      </c>
      <c r="B70" s="91">
        <f t="shared" si="42"/>
        <v>131.82567385564073</v>
      </c>
      <c r="C70" s="91" t="str">
        <f t="shared" si="0"/>
        <v>828.28513707881j</v>
      </c>
      <c r="D70" s="91">
        <f t="shared" si="1"/>
        <v>0.99999994255203872</v>
      </c>
      <c r="E70" s="91" t="str">
        <f t="shared" si="2"/>
        <v>-0.000376493244126732j</v>
      </c>
      <c r="F70" s="91" t="str">
        <f t="shared" si="3"/>
        <v>0.999999942552039-0.000376493244126732j</v>
      </c>
      <c r="G70" s="91">
        <f t="shared" si="4"/>
        <v>1.1661346977560673E-7</v>
      </c>
      <c r="H70" s="91">
        <f t="shared" si="5"/>
        <v>-2.1571474123655746E-2</v>
      </c>
      <c r="J70" s="91">
        <f t="shared" si="6"/>
        <v>7.1641791044776131</v>
      </c>
      <c r="K70" s="91" t="str">
        <f t="shared" si="7"/>
        <v>1+0.0205621785279815j</v>
      </c>
      <c r="L70" s="91">
        <f t="shared" si="8"/>
        <v>0.99993085781572977</v>
      </c>
      <c r="M70" s="91" t="str">
        <f t="shared" si="9"/>
        <v>0.00373068279465609j</v>
      </c>
      <c r="N70" s="91" t="str">
        <f t="shared" si="10"/>
        <v>0.99993085781573+0.00373068279465609j</v>
      </c>
      <c r="O70" s="91" t="str">
        <f t="shared" si="11"/>
        <v>1.00013194678428+0.0168321672945402j</v>
      </c>
      <c r="P70" s="91" t="str">
        <f t="shared" si="12"/>
        <v>7.16512439487245+0.120588661214616j</v>
      </c>
      <c r="R70" s="91">
        <f t="shared" si="13"/>
        <v>11.82089552238806</v>
      </c>
      <c r="S70" s="91" t="str">
        <f t="shared" si="14"/>
        <v>1+0.0000621213852809107j</v>
      </c>
      <c r="T70" s="91" t="str">
        <f t="shared" si="15"/>
        <v>0.99993085781573+0.00373068279465609j</v>
      </c>
      <c r="U70" s="91" t="str">
        <f t="shared" si="16"/>
        <v>1.00005545806155-0.00366902199000575j</v>
      </c>
      <c r="V70" s="91" t="str">
        <f t="shared" si="17"/>
        <v>11.8215510863395-0.0433711256132023j</v>
      </c>
      <c r="X70" s="91" t="str">
        <f t="shared" si="18"/>
        <v>1.34138970198159+0.0220703530687552j</v>
      </c>
      <c r="Y70" s="91">
        <f t="shared" si="19"/>
        <v>2.5522748888723994</v>
      </c>
      <c r="Z70" s="91">
        <f t="shared" si="20"/>
        <v>-179.05737759054819</v>
      </c>
      <c r="AB70" s="91" t="str">
        <f t="shared" si="21"/>
        <v>11.0655492136213-0.0405974919380607j</v>
      </c>
      <c r="AC70" s="91">
        <f t="shared" si="22"/>
        <v>20.879517937180339</v>
      </c>
      <c r="AD70" s="91">
        <f t="shared" si="23"/>
        <v>179.7897931258909</v>
      </c>
      <c r="AF70" s="91" t="str">
        <f t="shared" si="24"/>
        <v>4.72547711359817-0.0618822403339646j</v>
      </c>
      <c r="AG70" s="91">
        <f t="shared" si="25"/>
        <v>13.489657993751322</v>
      </c>
      <c r="AH70" s="91">
        <f t="shared" si="26"/>
        <v>179.24972897871223</v>
      </c>
      <c r="AJ70" s="91" t="str">
        <f t="shared" si="27"/>
        <v>46874.9999992934-0.181996245937425j</v>
      </c>
      <c r="AK70" s="91" t="str">
        <f t="shared" si="28"/>
        <v>15000-1.86364155842733E-07j</v>
      </c>
      <c r="AL70" s="91" t="str">
        <f t="shared" si="43"/>
        <v>10000-26829193.5076795j</v>
      </c>
      <c r="AM70" s="91" t="str">
        <f t="shared" si="44"/>
        <v>963.139056454012-8326301.68099654j</v>
      </c>
      <c r="AN70" s="91" t="str">
        <f t="shared" si="45"/>
        <v>10963.139056454-8326301.68099654j</v>
      </c>
      <c r="AO70" s="91" t="str">
        <f t="shared" si="46"/>
        <v>14999.9157381066-27.0225392339536j</v>
      </c>
      <c r="AP70" s="91" t="str">
        <f t="shared" si="47"/>
        <v>0.242424242424914+7.13053104825791E-07j</v>
      </c>
      <c r="AQ70" s="91" t="str">
        <f t="shared" si="29"/>
        <v>1+0.113309406752381j</v>
      </c>
      <c r="AR70" s="91">
        <f t="shared" si="30"/>
        <v>9.9990614750249574E-8</v>
      </c>
      <c r="AS70" s="91" t="str">
        <f t="shared" si="31"/>
        <v>0.0000063063808109879j</v>
      </c>
      <c r="AT70" s="91" t="str">
        <f t="shared" si="32"/>
        <v>9.99906147502496E-08+0.0000063063808109879j</v>
      </c>
      <c r="AU70" s="91" t="str">
        <f t="shared" si="33"/>
        <v>6.14294067744708-47.4734673592266j</v>
      </c>
      <c r="AW70" s="91" t="str">
        <f t="shared" si="48"/>
        <v>1.48260376328729-11.5095688953605j</v>
      </c>
      <c r="AX70" s="91">
        <f t="shared" si="34"/>
        <v>21.29265345787848</v>
      </c>
      <c r="AY70" s="91">
        <f t="shared" si="35"/>
        <v>97.340128278327384</v>
      </c>
      <c r="AZ70" s="91" t="str">
        <f t="shared" si="36"/>
        <v>15.9385652765157-127.419891033504j</v>
      </c>
      <c r="BA70" s="91">
        <f t="shared" si="37"/>
        <v>42.172171395058825</v>
      </c>
      <c r="BB70" s="91">
        <f t="shared" si="38"/>
        <v>97.129921404218294</v>
      </c>
      <c r="BD70" s="91" t="str">
        <f t="shared" si="39"/>
        <v>6.29377224342558-54.4799512448072j</v>
      </c>
      <c r="BE70" s="91">
        <f t="shared" si="40"/>
        <v>34.782311451629802</v>
      </c>
      <c r="BF70" s="91">
        <f t="shared" si="41"/>
        <v>96.589857257039625</v>
      </c>
      <c r="BH70" s="91">
        <f t="shared" si="49"/>
        <v>-33.782311451629802</v>
      </c>
      <c r="BI70" s="112">
        <f t="shared" si="50"/>
        <v>-96.589857257039625</v>
      </c>
      <c r="BJ70" s="95"/>
      <c r="BK70" s="95"/>
      <c r="BL70" s="95"/>
      <c r="BM70" s="95"/>
      <c r="BN70" s="46"/>
      <c r="BO70" s="46"/>
      <c r="BP70" s="46"/>
    </row>
    <row r="71" spans="1:68" s="91" customFormat="1">
      <c r="A71" s="91">
        <v>7</v>
      </c>
      <c r="B71" s="91">
        <f t="shared" si="42"/>
        <v>138.03842646028849</v>
      </c>
      <c r="C71" s="91" t="str">
        <f t="shared" si="0"/>
        <v>867.321012961474j</v>
      </c>
      <c r="D71" s="91">
        <f t="shared" si="1"/>
        <v>0.99999993700956302</v>
      </c>
      <c r="E71" s="91" t="str">
        <f t="shared" si="2"/>
        <v>-0.000394236824073397j</v>
      </c>
      <c r="F71" s="91" t="str">
        <f t="shared" si="3"/>
        <v>0.999999937009563-0.000394236824073397j</v>
      </c>
      <c r="G71" s="91">
        <f t="shared" si="4"/>
        <v>1.2786412387715588E-7</v>
      </c>
      <c r="H71" s="91">
        <f t="shared" si="5"/>
        <v>-2.2588106400647217E-2</v>
      </c>
      <c r="J71" s="91">
        <f t="shared" si="6"/>
        <v>7.1641791044776131</v>
      </c>
      <c r="K71" s="91" t="str">
        <f t="shared" si="7"/>
        <v>1+0.0215312441467686j</v>
      </c>
      <c r="L71" s="91">
        <f t="shared" si="8"/>
        <v>0.99992418710251396</v>
      </c>
      <c r="M71" s="91" t="str">
        <f t="shared" si="9"/>
        <v>0.0039065044580067j</v>
      </c>
      <c r="N71" s="91" t="str">
        <f t="shared" si="10"/>
        <v>0.999924187102514+0.0039065044580067j</v>
      </c>
      <c r="O71" s="91" t="str">
        <f t="shared" si="11"/>
        <v>1.00014467800224+0.0176255107445404j</v>
      </c>
      <c r="P71" s="91" t="str">
        <f t="shared" si="12"/>
        <v>7.16521560359814+0.126272315781782j</v>
      </c>
      <c r="R71" s="91">
        <f t="shared" si="13"/>
        <v>11.82089552238806</v>
      </c>
      <c r="S71" s="91" t="str">
        <f t="shared" si="14"/>
        <v>1+0.0000650490759721106j</v>
      </c>
      <c r="T71" s="91" t="str">
        <f t="shared" si="15"/>
        <v>0.999924187102514+0.0039065044580067j</v>
      </c>
      <c r="U71" s="91" t="str">
        <f t="shared" si="16"/>
        <v>1.00006080877916-0.00384198420375603j</v>
      </c>
      <c r="V71" s="91" t="str">
        <f t="shared" si="17"/>
        <v>11.8216143366134-0.0454156938712653j</v>
      </c>
      <c r="X71" s="91" t="str">
        <f t="shared" si="18"/>
        <v>1.34140758976038+0.0231105808949887j</v>
      </c>
      <c r="Y71" s="91">
        <f t="shared" si="19"/>
        <v>2.5525040879995426</v>
      </c>
      <c r="Z71" s="91">
        <f t="shared" si="20"/>
        <v>-179.01297132325749</v>
      </c>
      <c r="AB71" s="91" t="str">
        <f t="shared" si="21"/>
        <v>11.065608418967-0.0425113076898996j</v>
      </c>
      <c r="AC71" s="91">
        <f t="shared" si="22"/>
        <v>20.879570050837778</v>
      </c>
      <c r="AD71" s="91">
        <f t="shared" si="23"/>
        <v>179.77988498805158</v>
      </c>
      <c r="AF71" s="91" t="str">
        <f t="shared" si="24"/>
        <v>4.72541002703087-0.0647978929619486j</v>
      </c>
      <c r="AG71" s="91">
        <f t="shared" si="25"/>
        <v>13.489606526663229</v>
      </c>
      <c r="AH71" s="91">
        <f t="shared" si="26"/>
        <v>179.21437227913771</v>
      </c>
      <c r="AJ71" s="91" t="str">
        <f t="shared" si="27"/>
        <v>46874.9999992252-0.190573464758893j</v>
      </c>
      <c r="AK71" s="91" t="str">
        <f t="shared" si="28"/>
        <v>15000-1.95147227916332E-07j</v>
      </c>
      <c r="AL71" s="91" t="str">
        <f t="shared" si="43"/>
        <v>10000-25621680.8887684j</v>
      </c>
      <c r="AM71" s="91" t="str">
        <f t="shared" si="44"/>
        <v>963.139050314031-7951556.39714043j</v>
      </c>
      <c r="AN71" s="91" t="str">
        <f t="shared" si="45"/>
        <v>10963.139050314-7951556.39714043j</v>
      </c>
      <c r="AO71" s="91" t="str">
        <f t="shared" si="46"/>
        <v>14999.9076087584-28.2960456478659j</v>
      </c>
      <c r="AP71" s="91" t="str">
        <f t="shared" si="47"/>
        <v>0.242424242424978+7.46658262339353E-07j</v>
      </c>
      <c r="AQ71" s="91" t="str">
        <f t="shared" si="29"/>
        <v>1+0.11864951457313j</v>
      </c>
      <c r="AR71" s="91">
        <f t="shared" si="30"/>
        <v>9.9989709278283305E-8</v>
      </c>
      <c r="AS71" s="91" t="str">
        <f t="shared" si="31"/>
        <v>6.60359138206581E-06j</v>
      </c>
      <c r="AT71" s="91" t="str">
        <f t="shared" si="32"/>
        <v>9.99897092782833E-08+6.60359138206581E-06j</v>
      </c>
      <c r="AU71" s="91" t="str">
        <f t="shared" si="33"/>
        <v>6.07671898255665-45.3378129132378j</v>
      </c>
      <c r="AW71" s="91" t="str">
        <f t="shared" si="48"/>
        <v>1.46654983336982-10.9918648906048j</v>
      </c>
      <c r="AX71" s="91">
        <f t="shared" si="34"/>
        <v>20.898057496926189</v>
      </c>
      <c r="AY71" s="91">
        <f t="shared" si="35"/>
        <v>97.599600157372606</v>
      </c>
      <c r="AZ71" s="91" t="str">
        <f t="shared" si="36"/>
        <v>15.7609876325214-121.694017624833j</v>
      </c>
      <c r="BA71" s="91">
        <f t="shared" si="37"/>
        <v>41.777627547763956</v>
      </c>
      <c r="BB71" s="91">
        <f t="shared" si="38"/>
        <v>97.379485145424184</v>
      </c>
      <c r="BD71" s="91" t="str">
        <f t="shared" si="39"/>
        <v>6.21779960311258-52.0360979089585j</v>
      </c>
      <c r="BE71" s="91">
        <f t="shared" si="40"/>
        <v>34.387664023589409</v>
      </c>
      <c r="BF71" s="91">
        <f t="shared" si="41"/>
        <v>96.813972436510312</v>
      </c>
      <c r="BH71" s="91">
        <f t="shared" si="49"/>
        <v>-33.387664023589409</v>
      </c>
      <c r="BI71" s="112">
        <f t="shared" si="50"/>
        <v>-96.813972436510312</v>
      </c>
      <c r="BJ71" s="95"/>
      <c r="BK71" s="95"/>
      <c r="BL71" s="95"/>
      <c r="BM71" s="95"/>
      <c r="BN71" s="46"/>
      <c r="BO71" s="46"/>
      <c r="BP71" s="46"/>
    </row>
    <row r="72" spans="1:68" s="91" customFormat="1">
      <c r="A72" s="91">
        <v>8</v>
      </c>
      <c r="B72" s="91">
        <f t="shared" si="42"/>
        <v>144.54397707459273</v>
      </c>
      <c r="C72" s="91" t="str">
        <f t="shared" si="0"/>
        <v>908.196592996384j</v>
      </c>
      <c r="D72" s="91">
        <f t="shared" si="1"/>
        <v>0.99999993093235928</v>
      </c>
      <c r="E72" s="91" t="str">
        <f t="shared" si="2"/>
        <v>-0.000412816633180175j</v>
      </c>
      <c r="F72" s="91" t="str">
        <f t="shared" si="3"/>
        <v>0.999999930932359-0.000412816633180175j</v>
      </c>
      <c r="G72" s="91">
        <f t="shared" si="4"/>
        <v>1.4020022494303213E-7</v>
      </c>
      <c r="H72" s="91">
        <f t="shared" si="5"/>
        <v>-2.3652651084047946E-2</v>
      </c>
      <c r="J72" s="91">
        <f t="shared" si="6"/>
        <v>7.1641791044776131</v>
      </c>
      <c r="K72" s="91" t="str">
        <f t="shared" si="7"/>
        <v>1+0.0225459804211352j</v>
      </c>
      <c r="L72" s="91">
        <f t="shared" si="8"/>
        <v>0.99991687281092012</v>
      </c>
      <c r="M72" s="91" t="str">
        <f t="shared" si="9"/>
        <v>0.00409061234106692j</v>
      </c>
      <c r="N72" s="91" t="str">
        <f t="shared" si="10"/>
        <v>0.99991687281092+0.00409061234106692j</v>
      </c>
      <c r="O72" s="91" t="str">
        <f t="shared" si="11"/>
        <v>1.000158637754+0.0184562533709777j</v>
      </c>
      <c r="P72" s="91" t="str">
        <f t="shared" si="12"/>
        <v>7.16531561376+0.132223904747303j</v>
      </c>
      <c r="R72" s="91">
        <f t="shared" si="13"/>
        <v>11.82089552238806</v>
      </c>
      <c r="S72" s="91" t="str">
        <f t="shared" si="14"/>
        <v>1+0.0000681147444747288j</v>
      </c>
      <c r="T72" s="91" t="str">
        <f t="shared" si="15"/>
        <v>0.99991687281092+0.00409061234106692j</v>
      </c>
      <c r="U72" s="91" t="str">
        <f t="shared" si="16"/>
        <v>1.00006667576963-0.00402310477070923j</v>
      </c>
      <c r="V72" s="91" t="str">
        <f t="shared" si="17"/>
        <v>11.8216836896947-0.0475567011701748j</v>
      </c>
      <c r="X72" s="91" t="str">
        <f t="shared" si="18"/>
        <v>1.3414272036606+0.0241998456126034j</v>
      </c>
      <c r="Y72" s="91">
        <f t="shared" si="19"/>
        <v>2.5527553918213881</v>
      </c>
      <c r="Z72" s="91">
        <f t="shared" si="20"/>
        <v>-178.96647494230427</v>
      </c>
      <c r="AB72" s="91" t="str">
        <f t="shared" si="21"/>
        <v>11.0656733368385-0.0445153950943166j</v>
      </c>
      <c r="AC72" s="91">
        <f t="shared" si="22"/>
        <v>20.879627192601149</v>
      </c>
      <c r="AD72" s="91">
        <f t="shared" si="23"/>
        <v>179.76950968765394</v>
      </c>
      <c r="AF72" s="91" t="str">
        <f t="shared" si="24"/>
        <v>4.72533646983803-0.0678508423766609j</v>
      </c>
      <c r="AG72" s="91">
        <f t="shared" si="25"/>
        <v>13.489550094767218</v>
      </c>
      <c r="AH72" s="91">
        <f t="shared" si="26"/>
        <v>179.17734963766654</v>
      </c>
      <c r="AJ72" s="91" t="str">
        <f t="shared" si="27"/>
        <v>46874.9999991504-0.19955491544969j</v>
      </c>
      <c r="AK72" s="91" t="str">
        <f t="shared" si="28"/>
        <v>15000-2.04344233424187E-07j</v>
      </c>
      <c r="AL72" s="91" t="str">
        <f t="shared" si="43"/>
        <v>10000-24468515.2901809j</v>
      </c>
      <c r="AM72" s="91" t="str">
        <f t="shared" si="44"/>
        <v>963.139043581681-7593677.43048637j</v>
      </c>
      <c r="AN72" s="91" t="str">
        <f t="shared" si="45"/>
        <v>10963.1390435817-7593677.43048637j</v>
      </c>
      <c r="AO72" s="91" t="str">
        <f t="shared" si="46"/>
        <v>14999.8986951229-29.6295666254944j</v>
      </c>
      <c r="AP72" s="91" t="str">
        <f t="shared" si="47"/>
        <v>0.24242424242505+7.81847182133537E-07j</v>
      </c>
      <c r="AQ72" s="91" t="str">
        <f t="shared" si="29"/>
        <v>1+0.124241293921905j</v>
      </c>
      <c r="AR72" s="91">
        <f t="shared" si="30"/>
        <v>9.998871644801506E-8</v>
      </c>
      <c r="AS72" s="91" t="str">
        <f t="shared" si="31"/>
        <v>6.91480905582401E-06j</v>
      </c>
      <c r="AT72" s="91" t="str">
        <f t="shared" si="32"/>
        <v>9.99887164480151E-08+6.91480905582401E-06j</v>
      </c>
      <c r="AU72" s="91" t="str">
        <f t="shared" si="33"/>
        <v>6.01632152473503-43.2981494233503j</v>
      </c>
      <c r="AW72" s="91" t="str">
        <f t="shared" si="48"/>
        <v>1.45190784869318-10.4974332867431j</v>
      </c>
      <c r="AX72" s="91">
        <f t="shared" si="34"/>
        <v>20.503957742420997</v>
      </c>
      <c r="AY72" s="91">
        <f t="shared" si="35"/>
        <v>97.874661999508774</v>
      </c>
      <c r="AZ72" s="91" t="str">
        <f t="shared" si="36"/>
        <v>15.599040578595-116.225799877879j</v>
      </c>
      <c r="BA72" s="91">
        <f t="shared" si="37"/>
        <v>41.383584935022128</v>
      </c>
      <c r="BB72" s="91">
        <f t="shared" si="38"/>
        <v>97.644171687162682</v>
      </c>
      <c r="BD72" s="91" t="str">
        <f t="shared" si="39"/>
        <v>6.14849341697561-49.7024175201259j</v>
      </c>
      <c r="BE72" s="91">
        <f t="shared" si="40"/>
        <v>33.993507837188197</v>
      </c>
      <c r="BF72" s="91">
        <f t="shared" si="41"/>
        <v>97.052011637175269</v>
      </c>
      <c r="BH72" s="91">
        <f t="shared" si="49"/>
        <v>-32.993507837188197</v>
      </c>
      <c r="BI72" s="112">
        <f t="shared" si="50"/>
        <v>-97.052011637175269</v>
      </c>
      <c r="BJ72" s="95"/>
      <c r="BK72" s="95"/>
      <c r="BL72" s="95"/>
      <c r="BM72" s="95"/>
      <c r="BN72" s="46"/>
      <c r="BO72" s="46"/>
      <c r="BP72" s="46"/>
    </row>
    <row r="73" spans="1:68" s="91" customFormat="1">
      <c r="A73" s="91">
        <v>9</v>
      </c>
      <c r="B73" s="91">
        <f t="shared" si="42"/>
        <v>151.35612484362082</v>
      </c>
      <c r="C73" s="91" t="str">
        <f t="shared" si="0"/>
        <v>950.998579769077j</v>
      </c>
      <c r="D73" s="91">
        <f t="shared" si="1"/>
        <v>0.99999992426883788</v>
      </c>
      <c r="E73" s="91" t="str">
        <f t="shared" si="2"/>
        <v>-0.000432272081713217j</v>
      </c>
      <c r="F73" s="91" t="str">
        <f t="shared" si="3"/>
        <v>0.999999924268838-0.000432272081713217j</v>
      </c>
      <c r="G73" s="91">
        <f t="shared" si="4"/>
        <v>1.5372649507231571E-7</v>
      </c>
      <c r="H73" s="91">
        <f t="shared" si="5"/>
        <v>-2.4767366216493281E-2</v>
      </c>
      <c r="J73" s="91">
        <f t="shared" si="6"/>
        <v>7.1641791044776131</v>
      </c>
      <c r="K73" s="91" t="str">
        <f t="shared" si="7"/>
        <v>1+0.0236085397427673j</v>
      </c>
      <c r="L73" s="91">
        <f t="shared" si="8"/>
        <v>0.99990885284966724</v>
      </c>
      <c r="M73" s="91" t="str">
        <f t="shared" si="9"/>
        <v>0.0042833969613405j</v>
      </c>
      <c r="N73" s="91" t="str">
        <f t="shared" si="10"/>
        <v>0.999908852849667+0.0042833969613405j</v>
      </c>
      <c r="O73" s="91" t="str">
        <f t="shared" si="11"/>
        <v>1.00017394461662+0.0193261592319254j</v>
      </c>
      <c r="P73" s="91" t="str">
        <f t="shared" si="12"/>
        <v>7.16542527486534+0.138456066139167j</v>
      </c>
      <c r="R73" s="91">
        <f t="shared" si="13"/>
        <v>11.82089552238806</v>
      </c>
      <c r="S73" s="91" t="str">
        <f t="shared" si="14"/>
        <v>1+0.0000713248934826808j</v>
      </c>
      <c r="T73" s="91" t="str">
        <f t="shared" si="15"/>
        <v>0.999908852849667+0.0042833969613405j</v>
      </c>
      <c r="U73" s="91" t="str">
        <f t="shared" si="16"/>
        <v>1.00007310885119-0.00421276920399681j</v>
      </c>
      <c r="V73" s="91" t="str">
        <f t="shared" si="17"/>
        <v>11.8217597344797-0.0497987046203802j</v>
      </c>
      <c r="X73" s="91" t="str">
        <f t="shared" si="18"/>
        <v>1.34144871028429+0.0253404601057094j</v>
      </c>
      <c r="Y73" s="91">
        <f t="shared" si="19"/>
        <v>2.5530309313371227</v>
      </c>
      <c r="Z73" s="91">
        <f t="shared" si="20"/>
        <v>-178.91779034183634</v>
      </c>
      <c r="AB73" s="91" t="str">
        <f t="shared" si="21"/>
        <v>11.0657445184715-0.0466140198292742j</v>
      </c>
      <c r="AC73" s="91">
        <f t="shared" si="22"/>
        <v>20.879689847628686</v>
      </c>
      <c r="AD73" s="91">
        <f t="shared" si="23"/>
        <v>179.75864517741979</v>
      </c>
      <c r="AF73" s="91" t="str">
        <f t="shared" si="24"/>
        <v>4.72525581810243-0.0710475423384234j</v>
      </c>
      <c r="AG73" s="91">
        <f t="shared" si="25"/>
        <v>13.489488219197892</v>
      </c>
      <c r="AH73" s="91">
        <f t="shared" si="26"/>
        <v>179.13858259538878</v>
      </c>
      <c r="AJ73" s="91" t="str">
        <f t="shared" si="27"/>
        <v>46874.9999990685-0.208959648870889j</v>
      </c>
      <c r="AK73" s="91" t="str">
        <f t="shared" si="28"/>
        <v>15000-2.13974680448043E-07j</v>
      </c>
      <c r="AL73" s="91" t="str">
        <f t="shared" si="43"/>
        <v>10000-23367250.6930749j</v>
      </c>
      <c r="AM73" s="91" t="str">
        <f t="shared" si="44"/>
        <v>963.139036199803-7251905.67176445j</v>
      </c>
      <c r="AN73" s="91" t="str">
        <f t="shared" si="45"/>
        <v>10963.1390361998-7251905.67176445j</v>
      </c>
      <c r="AO73" s="91" t="str">
        <f t="shared" si="46"/>
        <v>14999.8889215371-31.0259299817118j</v>
      </c>
      <c r="AP73" s="91" t="str">
        <f t="shared" si="47"/>
        <v>0.242424242425127+8.18694504625094E-07j</v>
      </c>
      <c r="AQ73" s="91" t="str">
        <f t="shared" si="29"/>
        <v>1+0.13009660571241j</v>
      </c>
      <c r="AR73" s="91">
        <f t="shared" si="30"/>
        <v>9.9987627831273468E-8</v>
      </c>
      <c r="AS73" s="91" t="str">
        <f t="shared" si="31"/>
        <v>0.0000072406939666742j</v>
      </c>
      <c r="AT73" s="91" t="str">
        <f t="shared" si="32"/>
        <v>9.99876278312735E-08+0.0000072406939666742j</v>
      </c>
      <c r="AU73" s="91" t="str">
        <f t="shared" si="33"/>
        <v>5.96123626384482-41.350173271383j</v>
      </c>
      <c r="AW73" s="91" t="str">
        <f t="shared" si="48"/>
        <v>1.43855367681629-10.0252308509015j</v>
      </c>
      <c r="AX73" s="91">
        <f t="shared" si="34"/>
        <v>20.110402143701439</v>
      </c>
      <c r="AY73" s="91">
        <f t="shared" si="35"/>
        <v>98.165820530527498</v>
      </c>
      <c r="AZ73" s="91" t="str">
        <f t="shared" si="36"/>
        <v>15.4513511540799-111.003700104391j</v>
      </c>
      <c r="BA73" s="91">
        <f t="shared" si="37"/>
        <v>40.990091991330111</v>
      </c>
      <c r="BB73" s="91">
        <f t="shared" si="38"/>
        <v>97.924465707947306</v>
      </c>
      <c r="BD73" s="91" t="str">
        <f t="shared" si="39"/>
        <v>6.08526611769692-47.4739861093019j</v>
      </c>
      <c r="BE73" s="91">
        <f t="shared" si="40"/>
        <v>33.599890362899309</v>
      </c>
      <c r="BF73" s="91">
        <f t="shared" si="41"/>
        <v>97.304403125916281</v>
      </c>
      <c r="BH73" s="91">
        <f t="shared" si="49"/>
        <v>-32.599890362899309</v>
      </c>
      <c r="BI73" s="112">
        <f t="shared" si="50"/>
        <v>-97.304403125916281</v>
      </c>
      <c r="BJ73" s="95"/>
      <c r="BK73" s="95"/>
      <c r="BL73" s="95"/>
      <c r="BM73" s="95"/>
      <c r="BN73" s="46"/>
      <c r="BO73" s="46"/>
      <c r="BP73" s="46"/>
    </row>
    <row r="74" spans="1:68" s="91" customFormat="1">
      <c r="A74" s="91">
        <v>10</v>
      </c>
      <c r="B74" s="91">
        <f t="shared" si="42"/>
        <v>158.48931924611136</v>
      </c>
      <c r="C74" s="91" t="str">
        <f t="shared" si="0"/>
        <v>995.817762032062j</v>
      </c>
      <c r="D74" s="91">
        <f t="shared" si="1"/>
        <v>0.99999991696243207</v>
      </c>
      <c r="E74" s="91" t="str">
        <f t="shared" si="2"/>
        <v>-0.000452644437287301j</v>
      </c>
      <c r="F74" s="91" t="str">
        <f t="shared" si="3"/>
        <v>0.999999916962432-0.000452644437287301j</v>
      </c>
      <c r="G74" s="91">
        <f t="shared" si="4"/>
        <v>1.6855775094269676E-7</v>
      </c>
      <c r="H74" s="91">
        <f t="shared" si="5"/>
        <v>-2.593461625896204E-2</v>
      </c>
      <c r="J74" s="91">
        <f t="shared" si="6"/>
        <v>7.1641791044776131</v>
      </c>
      <c r="K74" s="91" t="str">
        <f t="shared" si="7"/>
        <v>1+0.0247211759424459j</v>
      </c>
      <c r="L74" s="91">
        <f t="shared" si="8"/>
        <v>0.99990005913701951</v>
      </c>
      <c r="M74" s="91" t="str">
        <f t="shared" si="9"/>
        <v>0.00448526724085411j</v>
      </c>
      <c r="N74" s="91" t="str">
        <f t="shared" si="10"/>
        <v>0.99990005913702+0.00448526724085411j</v>
      </c>
      <c r="O74" s="91" t="str">
        <f t="shared" si="11"/>
        <v>1.00019072861745+0.0202370757435861j</v>
      </c>
      <c r="P74" s="91" t="str">
        <f t="shared" si="12"/>
        <v>7.16554551845338+0.14498203517793j</v>
      </c>
      <c r="R74" s="91">
        <f t="shared" si="13"/>
        <v>11.82089552238806</v>
      </c>
      <c r="S74" s="91" t="str">
        <f t="shared" si="14"/>
        <v>1+0.0000746863321524046j</v>
      </c>
      <c r="T74" s="91" t="str">
        <f t="shared" si="15"/>
        <v>0.99990005913702+0.00448526724085411j</v>
      </c>
      <c r="U74" s="91" t="str">
        <f t="shared" si="16"/>
        <v>1.00008016265031-0.00441138133686881j</v>
      </c>
      <c r="V74" s="91" t="str">
        <f t="shared" si="17"/>
        <v>11.8218431167022-0.0521464778925388j</v>
      </c>
      <c r="X74" s="91" t="str">
        <f t="shared" si="18"/>
        <v>1.34147229232085+0.0265348465348669j</v>
      </c>
      <c r="Y74" s="91">
        <f t="shared" si="19"/>
        <v>2.5533330428127679</v>
      </c>
      <c r="Z74" s="91">
        <f t="shared" si="20"/>
        <v>-178.86681485134073</v>
      </c>
      <c r="AB74" s="91" t="str">
        <f t="shared" si="21"/>
        <v>11.0658225683043-0.0488116502836666j</v>
      </c>
      <c r="AC74" s="91">
        <f t="shared" si="22"/>
        <v>20.879758547896952</v>
      </c>
      <c r="AD74" s="91">
        <f t="shared" si="23"/>
        <v>179.74726836648219</v>
      </c>
      <c r="AF74" s="91" t="str">
        <f t="shared" si="24"/>
        <v>4.72516738778469-0.0743947482707268j</v>
      </c>
      <c r="AG74" s="91">
        <f t="shared" si="25"/>
        <v>13.489420374916223</v>
      </c>
      <c r="AH74" s="91">
        <f t="shared" si="26"/>
        <v>179.09798900381358</v>
      </c>
      <c r="AJ74" s="91" t="str">
        <f t="shared" si="27"/>
        <v>46874.9999989786-0.21880761372298j</v>
      </c>
      <c r="AK74" s="91" t="str">
        <f t="shared" si="28"/>
        <v>15000-2.24058996457213E-07j</v>
      </c>
      <c r="AL74" s="91" t="str">
        <f t="shared" si="43"/>
        <v>10000-22315551.1675908j</v>
      </c>
      <c r="AM74" s="91" t="str">
        <f t="shared" si="44"/>
        <v>963.139028105732-6925516.17725227j</v>
      </c>
      <c r="AN74" s="91" t="str">
        <f t="shared" si="45"/>
        <v>10963.1390281057-6925516.17725227j</v>
      </c>
      <c r="AO74" s="91" t="str">
        <f t="shared" si="46"/>
        <v>14999.8782050391-32.4880967156274j</v>
      </c>
      <c r="AP74" s="91" t="str">
        <f t="shared" si="47"/>
        <v>0.242424242425213+8.57278387925228E-07j</v>
      </c>
      <c r="AQ74" s="91" t="str">
        <f t="shared" si="29"/>
        <v>1+0.136227869845986j</v>
      </c>
      <c r="AR74" s="91">
        <f t="shared" si="30"/>
        <v>9.9986434186752347E-8</v>
      </c>
      <c r="AS74" s="91" t="str">
        <f t="shared" si="31"/>
        <v>7.58193736020447E-06j</v>
      </c>
      <c r="AT74" s="91" t="str">
        <f t="shared" si="32"/>
        <v>9.99864341867523E-08+7.58193736020447E-06j</v>
      </c>
      <c r="AU74" s="91" t="str">
        <f t="shared" si="33"/>
        <v>5.91099614148831-39.4897723825626j</v>
      </c>
      <c r="AW74" s="91" t="str">
        <f t="shared" si="48"/>
        <v>1.42637409002549-9.57426078906942j</v>
      </c>
      <c r="AX74" s="91">
        <f t="shared" si="34"/>
        <v>19.717442846810588</v>
      </c>
      <c r="AY74" s="91">
        <f t="shared" si="35"/>
        <v>98.47360558474945</v>
      </c>
      <c r="AZ74" s="91" t="str">
        <f t="shared" si="36"/>
        <v>15.316667126888-106.016694787772j</v>
      </c>
      <c r="BA74" s="91">
        <f t="shared" si="37"/>
        <v>40.597201394707596</v>
      </c>
      <c r="BB74" s="91">
        <f t="shared" si="38"/>
        <v>98.220873951231638</v>
      </c>
      <c r="BD74" s="91" t="str">
        <f t="shared" si="39"/>
        <v>6.02758161168844-45.3460995840241j</v>
      </c>
      <c r="BE74" s="91">
        <f t="shared" si="40"/>
        <v>33.206863221726863</v>
      </c>
      <c r="BF74" s="91">
        <f t="shared" si="41"/>
        <v>97.571594588563045</v>
      </c>
      <c r="BH74" s="91">
        <f t="shared" si="49"/>
        <v>-32.206863221726863</v>
      </c>
      <c r="BI74" s="112">
        <f t="shared" si="50"/>
        <v>-97.571594588563045</v>
      </c>
      <c r="BJ74" s="95"/>
      <c r="BK74" s="95"/>
      <c r="BL74" s="95"/>
      <c r="BM74" s="95"/>
      <c r="BN74" s="46"/>
      <c r="BO74" s="46"/>
      <c r="BP74" s="46"/>
    </row>
    <row r="75" spans="1:68" s="91" customFormat="1">
      <c r="A75" s="91">
        <v>11</v>
      </c>
      <c r="B75" s="91">
        <f t="shared" si="42"/>
        <v>165.95869074375605</v>
      </c>
      <c r="C75" s="91" t="str">
        <f t="shared" si="0"/>
        <v>1042.74920727993j</v>
      </c>
      <c r="D75" s="91">
        <f t="shared" si="1"/>
        <v>0.99999990895111723</v>
      </c>
      <c r="E75" s="91" t="str">
        <f t="shared" si="2"/>
        <v>-0.000473976912399968j</v>
      </c>
      <c r="F75" s="91" t="str">
        <f t="shared" si="3"/>
        <v>0.999999908951117-0.000473976912399968j</v>
      </c>
      <c r="G75" s="91">
        <f t="shared" si="4"/>
        <v>1.8481990092481015E-7</v>
      </c>
      <c r="H75" s="91">
        <f t="shared" si="5"/>
        <v>-2.7156877106128643E-2</v>
      </c>
      <c r="J75" s="91">
        <f t="shared" si="6"/>
        <v>7.1641791044776131</v>
      </c>
      <c r="K75" s="91" t="str">
        <f t="shared" si="7"/>
        <v>1+0.0258862490707243j</v>
      </c>
      <c r="L75" s="91">
        <f t="shared" si="8"/>
        <v>0.99989041702283821</v>
      </c>
      <c r="M75" s="91" t="str">
        <f t="shared" si="9"/>
        <v>0.00469665137353583j</v>
      </c>
      <c r="N75" s="91" t="str">
        <f t="shared" si="10"/>
        <v>0.999890417022838+0.00469665137353583j</v>
      </c>
      <c r="O75" s="91" t="str">
        <f t="shared" si="11"/>
        <v>1.00020913234089+0.021190937641528j</v>
      </c>
      <c r="P75" s="91" t="str">
        <f t="shared" si="12"/>
        <v>7.16567736602429+0.151815672655723j</v>
      </c>
      <c r="R75" s="91">
        <f t="shared" si="13"/>
        <v>11.82089552238806</v>
      </c>
      <c r="S75" s="91" t="str">
        <f t="shared" si="14"/>
        <v>1+0.0000782061905459947j</v>
      </c>
      <c r="T75" s="91" t="str">
        <f t="shared" si="15"/>
        <v>0.999890417022838+0.00469665137353583j</v>
      </c>
      <c r="U75" s="91" t="str">
        <f t="shared" si="16"/>
        <v>1.00008789706593-0.00461936420854783j</v>
      </c>
      <c r="V75" s="91" t="str">
        <f t="shared" si="17"/>
        <v>11.8219345444211-0.0546050216891027j</v>
      </c>
      <c r="X75" s="91" t="str">
        <f t="shared" si="18"/>
        <v>1.34149815010204+0.027785541527658j</v>
      </c>
      <c r="Y75" s="91">
        <f t="shared" si="19"/>
        <v>2.5536642875193847</v>
      </c>
      <c r="Z75" s="91">
        <f t="shared" si="20"/>
        <v>-178.81344102923106</v>
      </c>
      <c r="AB75" s="91" t="str">
        <f t="shared" si="21"/>
        <v>11.0659081491148-0.0511129673592371j</v>
      </c>
      <c r="AC75" s="91">
        <f t="shared" si="22"/>
        <v>20.879833876720006</v>
      </c>
      <c r="AD75" s="91">
        <f t="shared" si="23"/>
        <v>179.73535507053063</v>
      </c>
      <c r="AF75" s="91" t="str">
        <f t="shared" si="24"/>
        <v>4.72507042893716-0.0778995311081627j</v>
      </c>
      <c r="AG75" s="91">
        <f t="shared" si="25"/>
        <v>13.489345986259739</v>
      </c>
      <c r="AH75" s="91">
        <f t="shared" si="26"/>
        <v>179.05548285217989</v>
      </c>
      <c r="AJ75" s="91" t="str">
        <f t="shared" si="27"/>
        <v>46874.9999988801-0.229119698859745j</v>
      </c>
      <c r="AK75" s="91" t="str">
        <f t="shared" si="28"/>
        <v>15000-2.34618571637985E-07j</v>
      </c>
      <c r="AL75" s="91" t="str">
        <f t="shared" si="43"/>
        <v>10000-21311185.9180312j</v>
      </c>
      <c r="AM75" s="91" t="str">
        <f t="shared" si="44"/>
        <v>963.139019230762-6613816.63107217j</v>
      </c>
      <c r="AN75" s="91" t="str">
        <f t="shared" si="45"/>
        <v>10963.1390192308-6613816.63107217j</v>
      </c>
      <c r="AO75" s="91" t="str">
        <f t="shared" si="46"/>
        <v>14999.8664546631-34.0191672745385j</v>
      </c>
      <c r="AP75" s="91" t="str">
        <f t="shared" si="47"/>
        <v>0.242424242425306+8.97680673623454E-07j</v>
      </c>
      <c r="AQ75" s="91" t="str">
        <f t="shared" si="29"/>
        <v>1+0.142648091555894j</v>
      </c>
      <c r="AR75" s="91">
        <f t="shared" si="30"/>
        <v>9.9985125381561008E-8</v>
      </c>
      <c r="AS75" s="91" t="str">
        <f t="shared" si="31"/>
        <v>7.93926305940379E-06j</v>
      </c>
      <c r="AT75" s="91" t="str">
        <f t="shared" si="32"/>
        <v>9.9985125381561E-08+7.93926305940379E-06j</v>
      </c>
      <c r="AU75" s="91" t="str">
        <f t="shared" si="33"/>
        <v>5.86517513524836-37.7130178819395j</v>
      </c>
      <c r="AW75" s="91" t="str">
        <f t="shared" si="48"/>
        <v>1.41526580877476-9.14357072356586j</v>
      </c>
      <c r="AX75" s="91">
        <f t="shared" si="34"/>
        <v>19.325136554636288</v>
      </c>
      <c r="AY75" s="91">
        <f t="shared" si="35"/>
        <v>98.798569692682193</v>
      </c>
      <c r="AZ75" s="91" t="str">
        <f t="shared" si="36"/>
        <v>15.1938464145437-101.254252217004j</v>
      </c>
      <c r="BA75" s="91">
        <f t="shared" si="37"/>
        <v>40.204970431356337</v>
      </c>
      <c r="BB75" s="91">
        <f t="shared" si="38"/>
        <v>98.533924763212795</v>
      </c>
      <c r="BD75" s="91" t="str">
        <f t="shared" si="39"/>
        <v>5.97495075010736-43.3142641837138j</v>
      </c>
      <c r="BE75" s="91">
        <f t="shared" si="40"/>
        <v>32.814482540896073</v>
      </c>
      <c r="BF75" s="91">
        <f t="shared" si="41"/>
        <v>97.854052544862057</v>
      </c>
      <c r="BH75" s="91">
        <f t="shared" si="49"/>
        <v>-31.814482540896073</v>
      </c>
      <c r="BI75" s="112">
        <f t="shared" si="50"/>
        <v>-97.854052544862057</v>
      </c>
      <c r="BJ75" s="95"/>
      <c r="BK75" s="95"/>
      <c r="BL75" s="95"/>
      <c r="BM75" s="95"/>
      <c r="BN75" s="46"/>
      <c r="BO75" s="46"/>
      <c r="BP75" s="46"/>
    </row>
    <row r="76" spans="1:68" s="91" customFormat="1">
      <c r="A76" s="91">
        <v>12</v>
      </c>
      <c r="B76" s="91">
        <f t="shared" si="42"/>
        <v>173.78008287493756</v>
      </c>
      <c r="C76" s="91" t="str">
        <f t="shared" si="0"/>
        <v>1091.89246340026j</v>
      </c>
      <c r="D76" s="91">
        <f t="shared" si="1"/>
        <v>0.99999990016688522</v>
      </c>
      <c r="E76" s="91" t="str">
        <f t="shared" si="2"/>
        <v>-0.000496314756091027j</v>
      </c>
      <c r="F76" s="91" t="str">
        <f t="shared" si="3"/>
        <v>0.999999900166885-0.000496314756091027j</v>
      </c>
      <c r="G76" s="91">
        <f t="shared" si="4"/>
        <v>2.0265099427020116E-7</v>
      </c>
      <c r="H76" s="91">
        <f t="shared" si="5"/>
        <v>-2.8436741338084034E-2</v>
      </c>
      <c r="J76" s="91">
        <f t="shared" si="6"/>
        <v>7.1641791044776131</v>
      </c>
      <c r="K76" s="91" t="str">
        <f t="shared" si="7"/>
        <v>1+0.0271062304039115j</v>
      </c>
      <c r="L76" s="91">
        <f t="shared" si="8"/>
        <v>0.99987984465487356</v>
      </c>
      <c r="M76" s="91" t="str">
        <f t="shared" si="9"/>
        <v>0.00491799773347184j</v>
      </c>
      <c r="N76" s="91" t="str">
        <f t="shared" si="10"/>
        <v>0.999879844654874+0.00491799773347184j</v>
      </c>
      <c r="O76" s="91" t="str">
        <f t="shared" si="11"/>
        <v>1.00022931214235+0.0221897711334521j</v>
      </c>
      <c r="P76" s="91" t="str">
        <f t="shared" si="12"/>
        <v>7.16582193773624+0.158971494687418j</v>
      </c>
      <c r="R76" s="91">
        <f t="shared" si="13"/>
        <v>11.82089552238806</v>
      </c>
      <c r="S76" s="91" t="str">
        <f t="shared" si="14"/>
        <v>1+0.0000818919347550195j</v>
      </c>
      <c r="T76" s="91" t="str">
        <f t="shared" si="15"/>
        <v>0.999879844654874+0.00491799773347184j</v>
      </c>
      <c r="U76" s="91" t="str">
        <f t="shared" si="16"/>
        <v>1.00009637777862-0.00483716099516244j</v>
      </c>
      <c r="V76" s="91" t="str">
        <f t="shared" si="17"/>
        <v>11.8220347940398-0.0571795747487859j</v>
      </c>
      <c r="X76" s="91" t="str">
        <f t="shared" si="18"/>
        <v>1.34152650330743+0.0290952016198864j</v>
      </c>
      <c r="Y76" s="91">
        <f t="shared" si="19"/>
        <v>2.554027473361284</v>
      </c>
      <c r="Z76" s="91">
        <f t="shared" si="20"/>
        <v>-178.75755644799358</v>
      </c>
      <c r="AB76" s="91" t="str">
        <f t="shared" si="21"/>
        <v>11.0660019876544-0.0535228747712961j</v>
      </c>
      <c r="AC76" s="91">
        <f t="shared" si="22"/>
        <v>20.879916473705439</v>
      </c>
      <c r="AD76" s="91">
        <f t="shared" si="23"/>
        <v>179.72287995950728</v>
      </c>
      <c r="AF76" s="91" t="str">
        <f t="shared" si="24"/>
        <v>4.72496411936302-0.0815692917424199j</v>
      </c>
      <c r="AG76" s="91">
        <f t="shared" si="25"/>
        <v>13.489264422065332</v>
      </c>
      <c r="AH76" s="91">
        <f t="shared" si="26"/>
        <v>179.01097408680582</v>
      </c>
      <c r="AJ76" s="91" t="str">
        <f t="shared" si="27"/>
        <v>46874.999998772-0.239917777596311j</v>
      </c>
      <c r="AK76" s="91" t="str">
        <f t="shared" si="28"/>
        <v>15000-2.45675804265059E-07j</v>
      </c>
      <c r="AL76" s="91" t="str">
        <f t="shared" si="43"/>
        <v>10000-20352024.5510442j</v>
      </c>
      <c r="AM76" s="91" t="str">
        <f t="shared" si="44"/>
        <v>963.139009499554-6316145.87669641j</v>
      </c>
      <c r="AN76" s="91" t="str">
        <f t="shared" si="45"/>
        <v>10963.1390094996-6316145.87669641j</v>
      </c>
      <c r="AO76" s="91" t="str">
        <f t="shared" si="46"/>
        <v>14999.853570669-35.6223881112006j</v>
      </c>
      <c r="AP76" s="91" t="str">
        <f t="shared" si="47"/>
        <v>0.242424242425409+9.39987060384552E-07j</v>
      </c>
      <c r="AQ76" s="91" t="str">
        <f t="shared" si="29"/>
        <v>1+0.149370888993156j</v>
      </c>
      <c r="AR76" s="91">
        <f t="shared" si="30"/>
        <v>9.9983690305205695E-8</v>
      </c>
      <c r="AS76" s="91" t="str">
        <f t="shared" si="31"/>
        <v>8.31342899998763E-06j</v>
      </c>
      <c r="AT76" s="91" t="str">
        <f t="shared" si="32"/>
        <v>9.99836903052057E-08+8.31342899998763E-06j</v>
      </c>
      <c r="AU76" s="91" t="str">
        <f t="shared" si="33"/>
        <v>5.82338465807154-36.0161560906173j</v>
      </c>
      <c r="AW76" s="91" t="str">
        <f t="shared" si="48"/>
        <v>1.4051346287972-8.73225075289608j</v>
      </c>
      <c r="AX76" s="91">
        <f t="shared" si="34"/>
        <v>18.933544909971648</v>
      </c>
      <c r="AY76" s="91">
        <f t="shared" si="35"/>
        <v>99.141287511730596</v>
      </c>
      <c r="AZ76" s="91" t="str">
        <f t="shared" si="36"/>
        <v>15.081847431673-96.7063110330184j</v>
      </c>
      <c r="BA76" s="91">
        <f t="shared" si="37"/>
        <v>39.813461383677073</v>
      </c>
      <c r="BB76" s="91">
        <f t="shared" si="38"/>
        <v>98.864167471237892</v>
      </c>
      <c r="BD76" s="91" t="str">
        <f t="shared" si="39"/>
        <v>5.92692719471029-41.3741873251884j</v>
      </c>
      <c r="BE76" s="91">
        <f t="shared" si="40"/>
        <v>32.422809332036977</v>
      </c>
      <c r="BF76" s="91">
        <f t="shared" si="41"/>
        <v>98.152261598536413</v>
      </c>
      <c r="BH76" s="91">
        <f t="shared" si="49"/>
        <v>-31.422809332036977</v>
      </c>
      <c r="BI76" s="112">
        <f t="shared" si="50"/>
        <v>-98.152261598536413</v>
      </c>
      <c r="BJ76" s="95"/>
      <c r="BK76" s="95"/>
      <c r="BL76" s="95"/>
      <c r="BM76" s="95"/>
      <c r="BN76" s="46"/>
      <c r="BO76" s="46"/>
      <c r="BP76" s="46"/>
    </row>
    <row r="77" spans="1:68" s="91" customFormat="1">
      <c r="A77" s="91">
        <v>13</v>
      </c>
      <c r="B77" s="91">
        <f t="shared" si="42"/>
        <v>181.97008586099835</v>
      </c>
      <c r="C77" s="91" t="str">
        <f t="shared" si="0"/>
        <v>1143.35176982803j</v>
      </c>
      <c r="D77" s="91">
        <f t="shared" si="1"/>
        <v>0.99999989053516647</v>
      </c>
      <c r="E77" s="91" t="str">
        <f t="shared" si="2"/>
        <v>-0.000519705349921832j</v>
      </c>
      <c r="F77" s="91" t="str">
        <f t="shared" si="3"/>
        <v>0.999999890535166-0.000519705349921832j</v>
      </c>
      <c r="G77" s="91">
        <f t="shared" si="4"/>
        <v>2.2220239951910614E-7</v>
      </c>
      <c r="H77" s="91">
        <f t="shared" si="5"/>
        <v>-2.9776923719563822E-2</v>
      </c>
      <c r="J77" s="91">
        <f t="shared" si="6"/>
        <v>7.1641791044776131</v>
      </c>
      <c r="K77" s="91" t="str">
        <f t="shared" si="7"/>
        <v>1+0.0283837076859808j</v>
      </c>
      <c r="L77" s="91">
        <f t="shared" si="8"/>
        <v>0.99986825228391885</v>
      </c>
      <c r="M77" s="91" t="str">
        <f t="shared" si="9"/>
        <v>0.00514977582596797j</v>
      </c>
      <c r="N77" s="91" t="str">
        <f t="shared" si="10"/>
        <v>0.999868252283919+0.00514977582596797j</v>
      </c>
      <c r="O77" s="91" t="str">
        <f t="shared" si="11"/>
        <v>1.00025143947982+0.0232356982532344j</v>
      </c>
      <c r="P77" s="91" t="str">
        <f t="shared" si="12"/>
        <v>7.16598046194498+0.166464703903769j</v>
      </c>
      <c r="R77" s="91">
        <f t="shared" si="13"/>
        <v>11.82089552238806</v>
      </c>
      <c r="S77" s="91" t="str">
        <f t="shared" si="14"/>
        <v>1+0.0000857513827371023j</v>
      </c>
      <c r="T77" s="91" t="str">
        <f t="shared" si="15"/>
        <v>0.999868252283919+0.00514977582596797j</v>
      </c>
      <c r="U77" s="91" t="str">
        <f t="shared" si="16"/>
        <v>1.00010567680891-0.00506523598837966j</v>
      </c>
      <c r="V77" s="91" t="str">
        <f t="shared" si="17"/>
        <v>11.8221447169053-0.059875625414876j</v>
      </c>
      <c r="X77" s="91" t="str">
        <f t="shared" si="18"/>
        <v>1.34155759283508+0.0304666089601088j</v>
      </c>
      <c r="Y77" s="91">
        <f t="shared" si="19"/>
        <v>2.5544256785748614</v>
      </c>
      <c r="Z77" s="91">
        <f t="shared" si="20"/>
        <v>-178.69904347068356</v>
      </c>
      <c r="AB77" s="91" t="str">
        <f t="shared" si="21"/>
        <v>11.0661048808254-0.0560465098772265j</v>
      </c>
      <c r="AC77" s="91">
        <f t="shared" si="22"/>
        <v>20.880007040188232</v>
      </c>
      <c r="AD77" s="91">
        <f t="shared" si="23"/>
        <v>179.70981650272367</v>
      </c>
      <c r="AF77" s="91" t="str">
        <f t="shared" si="24"/>
        <v>4.72484755766672-0.0854117760864614j</v>
      </c>
      <c r="AG77" s="91">
        <f t="shared" si="25"/>
        <v>13.489174990322043</v>
      </c>
      <c r="AH77" s="91">
        <f t="shared" si="26"/>
        <v>178.96436842212688</v>
      </c>
      <c r="AJ77" s="91" t="str">
        <f t="shared" si="27"/>
        <v>46874.9999986536-0.251224754105388j</v>
      </c>
      <c r="AK77" s="91" t="str">
        <f t="shared" si="28"/>
        <v>15000-2.57254148211307E-07j</v>
      </c>
      <c r="AL77" s="91" t="str">
        <f t="shared" si="43"/>
        <v>9999.99999999998-19436032.5567735j</v>
      </c>
      <c r="AM77" s="91" t="str">
        <f t="shared" si="44"/>
        <v>963.138998829491-6031872.51454558j</v>
      </c>
      <c r="AN77" s="91" t="str">
        <f t="shared" si="45"/>
        <v>10963.1389988295-6031872.51454558j</v>
      </c>
      <c r="AO77" s="91" t="str">
        <f t="shared" si="46"/>
        <v>14999.8394436946-37.3011585479426j</v>
      </c>
      <c r="AP77" s="91" t="str">
        <f t="shared" si="47"/>
        <v>0.242424242425521+9.84287285726958E-07j</v>
      </c>
      <c r="AQ77" s="91" t="str">
        <f t="shared" si="29"/>
        <v>1+0.156410522112474j</v>
      </c>
      <c r="AR77" s="91">
        <f t="shared" si="30"/>
        <v>9.9982116775272288E-8</v>
      </c>
      <c r="AS77" s="91" t="str">
        <f t="shared" si="31"/>
        <v>8.70522883808126E-06j</v>
      </c>
      <c r="AT77" s="91" t="str">
        <f t="shared" si="32"/>
        <v>9.99821167752723E-08+8.70522883808126E-06j</v>
      </c>
      <c r="AU77" s="91" t="str">
        <f t="shared" si="33"/>
        <v>5.78527027276764-34.3956008510865j</v>
      </c>
      <c r="AW77" s="91" t="str">
        <f t="shared" si="48"/>
        <v>1.39589462460862-8.33943159139904j</v>
      </c>
      <c r="AX77" s="91">
        <f t="shared" si="34"/>
        <v>18.542734901832635</v>
      </c>
      <c r="AY77" s="91">
        <f t="shared" si="35"/>
        <v>99.502355074087788</v>
      </c>
      <c r="AZ77" s="91" t="str">
        <f t="shared" si="36"/>
        <v>14.9797202834416-92.3632596587563j</v>
      </c>
      <c r="BA77" s="91">
        <f t="shared" si="37"/>
        <v>39.422741942020885</v>
      </c>
      <c r="BB77" s="91">
        <f t="shared" si="38"/>
        <v>99.212171576811443</v>
      </c>
      <c r="BD77" s="91" t="str">
        <f t="shared" si="39"/>
        <v>5.8831036440692-39.5217688260678j</v>
      </c>
      <c r="BE77" s="91">
        <f t="shared" si="40"/>
        <v>32.03190989215468</v>
      </c>
      <c r="BF77" s="91">
        <f t="shared" si="41"/>
        <v>98.466723496214655</v>
      </c>
      <c r="BH77" s="91">
        <f t="shared" si="49"/>
        <v>-31.03190989215468</v>
      </c>
      <c r="BI77" s="112">
        <f t="shared" si="50"/>
        <v>-98.466723496214655</v>
      </c>
      <c r="BJ77" s="95"/>
      <c r="BK77" s="95"/>
      <c r="BL77" s="95"/>
      <c r="BM77" s="95"/>
      <c r="BN77" s="46"/>
      <c r="BO77" s="46"/>
      <c r="BP77" s="46"/>
    </row>
    <row r="78" spans="1:68" s="91" customFormat="1">
      <c r="A78" s="91">
        <v>14</v>
      </c>
      <c r="B78" s="91">
        <f t="shared" si="42"/>
        <v>190.54607179632475</v>
      </c>
      <c r="C78" s="91" t="str">
        <f t="shared" si="0"/>
        <v>1197.23627865145j</v>
      </c>
      <c r="D78" s="91">
        <f t="shared" si="1"/>
        <v>0.99999987997419681</v>
      </c>
      <c r="E78" s="91" t="str">
        <f t="shared" si="2"/>
        <v>-0.000544198308477932j</v>
      </c>
      <c r="F78" s="91" t="str">
        <f t="shared" si="3"/>
        <v>0.999999879974197-0.000544198308477932j</v>
      </c>
      <c r="G78" s="91">
        <f t="shared" si="4"/>
        <v>2.4364009862745201E-7</v>
      </c>
      <c r="H78" s="91">
        <f t="shared" si="5"/>
        <v>-3.1180266958349682E-2</v>
      </c>
      <c r="J78" s="91">
        <f t="shared" si="6"/>
        <v>7.1641791044776131</v>
      </c>
      <c r="K78" s="91" t="str">
        <f t="shared" si="7"/>
        <v>1+0.0297213906175222j</v>
      </c>
      <c r="L78" s="91">
        <f t="shared" si="8"/>
        <v>0.99985554150192535</v>
      </c>
      <c r="M78" s="91" t="str">
        <f t="shared" si="9"/>
        <v>0.00539247728343345j</v>
      </c>
      <c r="N78" s="91" t="str">
        <f t="shared" si="10"/>
        <v>0.999855541501925+0.00539247728343345j</v>
      </c>
      <c r="O78" s="91" t="str">
        <f t="shared" si="11"/>
        <v>1.00027570237455+0.0243309414265522j</v>
      </c>
      <c r="P78" s="91" t="str">
        <f t="shared" si="12"/>
        <v>7.16615428566842+0.174311222160374j</v>
      </c>
      <c r="R78" s="91">
        <f t="shared" si="13"/>
        <v>11.82089552238806</v>
      </c>
      <c r="S78" s="91" t="str">
        <f t="shared" si="14"/>
        <v>1+0.0000897927208988587j</v>
      </c>
      <c r="T78" s="91" t="str">
        <f t="shared" si="15"/>
        <v>0.999855541501925+0.00539247728343345j</v>
      </c>
      <c r="U78" s="91" t="str">
        <f t="shared" si="16"/>
        <v>1.00011587312962-0.00530407562455222j</v>
      </c>
      <c r="V78" s="91" t="str">
        <f t="shared" si="17"/>
        <v>11.8222652465472-0.062698923800677j</v>
      </c>
      <c r="X78" s="91" t="str">
        <f t="shared" si="18"/>
        <v>1.34159168285366+0.0319026772909262j</v>
      </c>
      <c r="Y78" s="91">
        <f t="shared" si="19"/>
        <v>2.5548622776954319</v>
      </c>
      <c r="Z78" s="91">
        <f t="shared" si="20"/>
        <v>-178.63777901858165</v>
      </c>
      <c r="AB78" s="91" t="str">
        <f t="shared" si="21"/>
        <v>11.0662177024572-0.0586892550639321j</v>
      </c>
      <c r="AC78" s="91">
        <f t="shared" si="22"/>
        <v>20.880106345190814</v>
      </c>
      <c r="AD78" s="91">
        <f t="shared" si="23"/>
        <v>179.69613691125934</v>
      </c>
      <c r="AF78" s="91" t="str">
        <f t="shared" si="24"/>
        <v>4.72471975563857-0.0894350907767642j</v>
      </c>
      <c r="AG78" s="91">
        <f t="shared" si="25"/>
        <v>13.489076932310182</v>
      </c>
      <c r="AH78" s="91">
        <f t="shared" si="26"/>
        <v>178.91556714306228</v>
      </c>
      <c r="AJ78" s="91" t="str">
        <f t="shared" si="27"/>
        <v>46874.9999985237-0.26306461200009j</v>
      </c>
      <c r="AK78" s="91" t="str">
        <f t="shared" si="28"/>
        <v>15000-2.69378162696577E-07j</v>
      </c>
      <c r="AL78" s="91" t="str">
        <f t="shared" si="43"/>
        <v>10000-18561266.99339j</v>
      </c>
      <c r="AM78" s="91" t="str">
        <f t="shared" si="44"/>
        <v>963.138987130005-5760393.56270533j</v>
      </c>
      <c r="AN78" s="91" t="str">
        <f t="shared" si="45"/>
        <v>10963.13898713-5760393.56270533j</v>
      </c>
      <c r="AO78" s="91" t="str">
        <f t="shared" si="46"/>
        <v>14999.8239538286-39.0590379617795j</v>
      </c>
      <c r="AP78" s="91" t="str">
        <f t="shared" si="47"/>
        <v>0.242424242425645+1.03067531636806E-06j</v>
      </c>
      <c r="AQ78" s="91" t="str">
        <f t="shared" si="29"/>
        <v>1+0.163781922919518j</v>
      </c>
      <c r="AR78" s="91">
        <f t="shared" si="30"/>
        <v>9.9980391434009347E-8</v>
      </c>
      <c r="AS78" s="91" t="str">
        <f t="shared" si="31"/>
        <v>9.11549363367084E-06j</v>
      </c>
      <c r="AT78" s="91" t="str">
        <f t="shared" si="32"/>
        <v>9.99803914340093E-08+9.11549363367084E-06j</v>
      </c>
      <c r="AU78" s="91" t="str">
        <f t="shared" si="33"/>
        <v>5.75050869418518-32.8479261708651j</v>
      </c>
      <c r="AW78" s="91" t="str">
        <f t="shared" si="48"/>
        <v>1.38746742275113-7.96428278607033j</v>
      </c>
      <c r="AX78" s="91">
        <f t="shared" si="34"/>
        <v>18.152779295071269</v>
      </c>
      <c r="AY78" s="91">
        <f t="shared" si="35"/>
        <v>99.882388823197459</v>
      </c>
      <c r="AZ78" s="91" t="str">
        <f t="shared" si="36"/>
        <v>14.8865987313983-88.2159165840536j</v>
      </c>
      <c r="BA78" s="91">
        <f t="shared" si="37"/>
        <v>39.032885640262108</v>
      </c>
      <c r="BB78" s="91">
        <f t="shared" si="38"/>
        <v>99.578525734456818</v>
      </c>
      <c r="BD78" s="91" t="str">
        <f t="shared" si="39"/>
        <v>5.8431083886332-37.7530924937424j</v>
      </c>
      <c r="BE78" s="91">
        <f t="shared" si="40"/>
        <v>31.641856227381492</v>
      </c>
      <c r="BF78" s="91">
        <f t="shared" si="41"/>
        <v>98.797955966259735</v>
      </c>
      <c r="BH78" s="91">
        <f t="shared" si="49"/>
        <v>-30.641856227381492</v>
      </c>
      <c r="BI78" s="112">
        <f t="shared" si="50"/>
        <v>-98.797955966259735</v>
      </c>
      <c r="BJ78" s="95"/>
      <c r="BK78" s="95"/>
      <c r="BL78" s="95"/>
      <c r="BM78" s="95"/>
      <c r="BN78" s="46"/>
      <c r="BO78" s="46"/>
      <c r="BP78" s="46"/>
    </row>
    <row r="79" spans="1:68" s="91" customFormat="1">
      <c r="A79" s="91">
        <v>15</v>
      </c>
      <c r="B79" s="91">
        <f t="shared" si="42"/>
        <v>199.52623149688799</v>
      </c>
      <c r="C79" s="91" t="str">
        <f t="shared" si="0"/>
        <v>1253.66028613816j</v>
      </c>
      <c r="D79" s="91">
        <f t="shared" si="1"/>
        <v>0.99999986839432375</v>
      </c>
      <c r="E79" s="91" t="str">
        <f t="shared" si="2"/>
        <v>-0.000569845584608255j</v>
      </c>
      <c r="F79" s="91" t="str">
        <f t="shared" si="3"/>
        <v>0.999999868394324-0.000569845584608255j</v>
      </c>
      <c r="G79" s="91">
        <f t="shared" si="4"/>
        <v>2.6714606016861584E-7</v>
      </c>
      <c r="H79" s="91">
        <f t="shared" si="5"/>
        <v>-3.264974773505791E-2</v>
      </c>
      <c r="J79" s="91">
        <f t="shared" si="6"/>
        <v>7.1641791044776131</v>
      </c>
      <c r="K79" s="91" t="str">
        <f t="shared" si="7"/>
        <v>1+0.0311221166033798j</v>
      </c>
      <c r="L79" s="91">
        <f t="shared" si="8"/>
        <v>0.99984160440661352</v>
      </c>
      <c r="M79" s="91" t="str">
        <f t="shared" si="9"/>
        <v>0.00564661690819915j</v>
      </c>
      <c r="N79" s="91" t="str">
        <f t="shared" si="10"/>
        <v>0.999841604406614+0.00564661690819915j</v>
      </c>
      <c r="O79" s="91" t="str">
        <f t="shared" si="11"/>
        <v>1.00030230701332+0.0254778282590131j</v>
      </c>
      <c r="P79" s="91" t="str">
        <f t="shared" si="12"/>
        <v>7.16634488606558+0.182527724840691j</v>
      </c>
      <c r="R79" s="91">
        <f t="shared" si="13"/>
        <v>11.82089552238806</v>
      </c>
      <c r="S79" s="91" t="str">
        <f t="shared" si="14"/>
        <v>1+0.000094024521460362j</v>
      </c>
      <c r="T79" s="91" t="str">
        <f t="shared" si="15"/>
        <v>0.999841604406614+0.00564661690819915j</v>
      </c>
      <c r="U79" s="91" t="str">
        <f t="shared" si="16"/>
        <v>1.00012705333735-0.00555418956741403j</v>
      </c>
      <c r="V79" s="91" t="str">
        <f t="shared" si="17"/>
        <v>11.8223974066146-0.065655494587939j</v>
      </c>
      <c r="X79" s="91" t="str">
        <f t="shared" si="18"/>
        <v>1.34162906305337+0.0334064582212546j</v>
      </c>
      <c r="Y79" s="91">
        <f t="shared" si="19"/>
        <v>2.5553409700049623</v>
      </c>
      <c r="Z79" s="91">
        <f t="shared" si="20"/>
        <v>-178.57363432984246</v>
      </c>
      <c r="AB79" s="91" t="str">
        <f t="shared" si="21"/>
        <v>11.0663414107354-0.061456749727793j</v>
      </c>
      <c r="AC79" s="91">
        <f t="shared" si="22"/>
        <v>20.88021523195712</v>
      </c>
      <c r="AD79" s="91">
        <f t="shared" si="23"/>
        <v>179.68181207749518</v>
      </c>
      <c r="AF79" s="91" t="str">
        <f t="shared" si="24"/>
        <v>4.72457962990919-0.093647719533086j</v>
      </c>
      <c r="AG79" s="91">
        <f t="shared" si="25"/>
        <v>13.488969416175859</v>
      </c>
      <c r="AH79" s="91">
        <f t="shared" si="26"/>
        <v>178.8644668983342</v>
      </c>
      <c r="AJ79" s="91" t="str">
        <f t="shared" si="27"/>
        <v>46874.9999983812-0.275462465206391j</v>
      </c>
      <c r="AK79" s="91" t="str">
        <f t="shared" si="28"/>
        <v>15000-2.82073564381086E-07j</v>
      </c>
      <c r="AL79" s="91" t="str">
        <f t="shared" si="43"/>
        <v>10000-17725872.3658518j</v>
      </c>
      <c r="AM79" s="91" t="str">
        <f t="shared" si="44"/>
        <v>963.138974301772-5501133.17792095j</v>
      </c>
      <c r="AN79" s="91" t="str">
        <f t="shared" si="45"/>
        <v>10963.1389743018-5501133.17792095j</v>
      </c>
      <c r="AO79" s="91" t="str">
        <f t="shared" si="46"/>
        <v>14999.8069695923-40.8997533052715j</v>
      </c>
      <c r="AP79" s="91" t="str">
        <f t="shared" si="47"/>
        <v>0.24242424242578+0.0000010792495475402j</v>
      </c>
      <c r="AQ79" s="91" t="str">
        <f t="shared" si="29"/>
        <v>1+0.1715007271437j</v>
      </c>
      <c r="AR79" s="91">
        <f t="shared" si="30"/>
        <v>9.9978499634933602E-8</v>
      </c>
      <c r="AS79" s="91" t="str">
        <f t="shared" si="31"/>
        <v>0.000009545093613393j</v>
      </c>
      <c r="AT79" s="91" t="str">
        <f t="shared" si="32"/>
        <v>9.99784996349336E-08+0.000009545093613393j</v>
      </c>
      <c r="AU79" s="91" t="str">
        <f t="shared" si="33"/>
        <v>5.71880505398649-31.3698591736032j</v>
      </c>
      <c r="AW79" s="91" t="str">
        <f t="shared" si="48"/>
        <v>1.37978153869721-7.60601100793161j</v>
      </c>
      <c r="AX79" s="91">
        <f t="shared" si="34"/>
        <v>17.763757082931892</v>
      </c>
      <c r="AY79" s="91">
        <f t="shared" si="35"/>
        <v>100.28202440733581</v>
      </c>
      <c r="AZ79" s="91" t="str">
        <f t="shared" si="36"/>
        <v>14.8016928645118-84.2555114762855j</v>
      </c>
      <c r="BA79" s="91">
        <f t="shared" si="37"/>
        <v>38.643972314888998</v>
      </c>
      <c r="BB79" s="91">
        <f t="shared" si="38"/>
        <v>99.963836484830978</v>
      </c>
      <c r="BD79" s="91" t="str">
        <f t="shared" si="39"/>
        <v>5.80660216581724-36.0644180674916j</v>
      </c>
      <c r="BE79" s="91">
        <f t="shared" si="40"/>
        <v>31.252726499107759</v>
      </c>
      <c r="BF79" s="91">
        <f t="shared" si="41"/>
        <v>99.146491305669997</v>
      </c>
      <c r="BH79" s="91">
        <f t="shared" si="49"/>
        <v>-30.252726499107759</v>
      </c>
      <c r="BI79" s="112">
        <f t="shared" si="50"/>
        <v>-99.146491305669997</v>
      </c>
      <c r="BJ79" s="95"/>
      <c r="BK79" s="95"/>
      <c r="BL79" s="95"/>
      <c r="BM79" s="95"/>
      <c r="BN79" s="46"/>
      <c r="BO79" s="46"/>
      <c r="BP79" s="46"/>
    </row>
    <row r="80" spans="1:68" s="91" customFormat="1">
      <c r="A80" s="91">
        <v>16</v>
      </c>
      <c r="B80" s="91">
        <f t="shared" si="42"/>
        <v>208.92961308540396</v>
      </c>
      <c r="C80" s="91" t="str">
        <f t="shared" si="0"/>
        <v>1312.74347517293j</v>
      </c>
      <c r="D80" s="91">
        <f t="shared" si="1"/>
        <v>0.99999985569724559</v>
      </c>
      <c r="E80" s="91" t="str">
        <f t="shared" si="2"/>
        <v>-0.000596701579624059j</v>
      </c>
      <c r="F80" s="91" t="str">
        <f t="shared" si="3"/>
        <v>0.999999855697246-0.000596701579624059j</v>
      </c>
      <c r="G80" s="91">
        <f t="shared" si="4"/>
        <v>2.9291984011635237E-7</v>
      </c>
      <c r="H80" s="91">
        <f t="shared" si="5"/>
        <v>-3.4188483017105323E-2</v>
      </c>
      <c r="J80" s="91">
        <f t="shared" si="6"/>
        <v>7.1641791044776131</v>
      </c>
      <c r="K80" s="91" t="str">
        <f t="shared" si="7"/>
        <v>1+0.032588856771168j</v>
      </c>
      <c r="L80" s="91">
        <f t="shared" si="8"/>
        <v>0.99982632268548666</v>
      </c>
      <c r="M80" s="91" t="str">
        <f t="shared" si="9"/>
        <v>0.00591273376448225j</v>
      </c>
      <c r="N80" s="91" t="str">
        <f t="shared" si="10"/>
        <v>0.999826322685487+0.00591273376448225j</v>
      </c>
      <c r="O80" s="91" t="str">
        <f t="shared" si="11"/>
        <v>1.00033147950619+0.026678796558358j</v>
      </c>
      <c r="P80" s="91" t="str">
        <f t="shared" si="12"/>
        <v>7.16655388302942+0.191131676835998j</v>
      </c>
      <c r="R80" s="91">
        <f t="shared" si="13"/>
        <v>11.82089552238806</v>
      </c>
      <c r="S80" s="91" t="str">
        <f t="shared" si="14"/>
        <v>1+0.0000984557606379697j</v>
      </c>
      <c r="T80" s="91" t="str">
        <f t="shared" si="15"/>
        <v>0.999826322685487+0.00591273376448225j</v>
      </c>
      <c r="U80" s="91" t="str">
        <f t="shared" si="16"/>
        <v>1.00013931238902-0.00581611184759722j</v>
      </c>
      <c r="V80" s="91" t="str">
        <f t="shared" si="17"/>
        <v>11.8225423195836-0.0687516504969701j</v>
      </c>
      <c r="X80" s="91" t="str">
        <f t="shared" si="18"/>
        <v>1.34167005111532+0.0349811478046311j</v>
      </c>
      <c r="Y80" s="91">
        <f t="shared" si="19"/>
        <v>2.5558658106972127</v>
      </c>
      <c r="Z80" s="91">
        <f t="shared" si="20"/>
        <v>-178.50647470899688</v>
      </c>
      <c r="AB80" s="91" t="str">
        <f t="shared" si="21"/>
        <v>11.0664770563523-0.0643549028833478j</v>
      </c>
      <c r="AC80" s="91">
        <f t="shared" si="22"/>
        <v>20.880334625120231</v>
      </c>
      <c r="AD80" s="91">
        <f t="shared" si="23"/>
        <v>179.66681151162354</v>
      </c>
      <c r="AF80" s="91" t="str">
        <f t="shared" si="24"/>
        <v>4.72442599280586-0.0980585401945778j</v>
      </c>
      <c r="AG80" s="91">
        <f t="shared" si="25"/>
        <v>13.488851529889539</v>
      </c>
      <c r="AH80" s="91">
        <f t="shared" si="26"/>
        <v>178.81095948435402</v>
      </c>
      <c r="AJ80" s="91" t="str">
        <f t="shared" si="27"/>
        <v>46874.999998225-0.28844461123313j</v>
      </c>
      <c r="AK80" s="91" t="str">
        <f t="shared" si="28"/>
        <v>15000-2.9536728191391E-07j</v>
      </c>
      <c r="AL80" s="91" t="str">
        <f t="shared" si="43"/>
        <v>10000-16928076.6901507j</v>
      </c>
      <c r="AM80" s="91" t="str">
        <f t="shared" si="44"/>
        <v>963.138960235892-5253541.43415674j</v>
      </c>
      <c r="AN80" s="91" t="str">
        <f t="shared" si="45"/>
        <v>10963.1389602359-5253541.43415674j</v>
      </c>
      <c r="AO80" s="91" t="str">
        <f t="shared" si="46"/>
        <v>14999.7883468245-42.827206978528j</v>
      </c>
      <c r="AP80" s="91" t="str">
        <f t="shared" si="47"/>
        <v>0.242424242425929+1.13011301170015E-06j</v>
      </c>
      <c r="AQ80" s="91" t="str">
        <f t="shared" si="29"/>
        <v>1+0.179583307403657j</v>
      </c>
      <c r="AR80" s="91">
        <f t="shared" si="30"/>
        <v>9.9976425318495586E-8</v>
      </c>
      <c r="AS80" s="91" t="str">
        <f t="shared" si="31"/>
        <v>9.99494001640215E-06j</v>
      </c>
      <c r="AT80" s="91" t="str">
        <f t="shared" si="32"/>
        <v>9.99764253184956E-08+9.99494001640215E-06j</v>
      </c>
      <c r="AU80" s="91" t="str">
        <f t="shared" si="33"/>
        <v>5.68989040511538-29.9582733468598j</v>
      </c>
      <c r="AW80" s="91" t="str">
        <f t="shared" si="48"/>
        <v>1.37277177186131-7.26385841533132j</v>
      </c>
      <c r="AX80" s="91">
        <f t="shared" si="34"/>
        <v>17.375753961727227</v>
      </c>
      <c r="AY80" s="91">
        <f t="shared" si="35"/>
        <v>100.70191519595758</v>
      </c>
      <c r="AZ80" s="91" t="str">
        <f t="shared" si="36"/>
        <v>14.7242824140343-80.4736670879148j</v>
      </c>
      <c r="BA80" s="91">
        <f t="shared" si="37"/>
        <v>38.256088586847461</v>
      </c>
      <c r="BB80" s="91">
        <f t="shared" si="38"/>
        <v>100.36872670758115</v>
      </c>
      <c r="BD80" s="91" t="str">
        <f t="shared" si="39"/>
        <v>5.77327528878426-34.4521735014219j</v>
      </c>
      <c r="BE80" s="91">
        <f t="shared" si="40"/>
        <v>30.864605491616764</v>
      </c>
      <c r="BF80" s="91">
        <f t="shared" si="41"/>
        <v>99.51287468031164</v>
      </c>
      <c r="BH80" s="91">
        <f t="shared" si="49"/>
        <v>-29.864605491616764</v>
      </c>
      <c r="BI80" s="112">
        <f t="shared" si="50"/>
        <v>-99.51287468031164</v>
      </c>
      <c r="BJ80" s="95"/>
      <c r="BK80" s="95"/>
      <c r="BL80" s="95"/>
      <c r="BM80" s="95"/>
      <c r="BN80" s="46"/>
      <c r="BO80" s="46"/>
      <c r="BP80" s="46"/>
    </row>
    <row r="81" spans="1:68" s="91" customFormat="1">
      <c r="A81" s="91">
        <v>17</v>
      </c>
      <c r="B81" s="91">
        <f t="shared" si="42"/>
        <v>218.77616239495526</v>
      </c>
      <c r="C81" s="91" t="str">
        <f t="shared" si="0"/>
        <v>1374.61116912112j</v>
      </c>
      <c r="D81" s="91">
        <f t="shared" si="1"/>
        <v>0.99999984177517609</v>
      </c>
      <c r="E81" s="91" t="str">
        <f t="shared" si="2"/>
        <v>-0.000624823258691418j</v>
      </c>
      <c r="F81" s="91" t="str">
        <f t="shared" si="3"/>
        <v>0.999999841775176-0.000624823258691418j</v>
      </c>
      <c r="G81" s="91">
        <f t="shared" si="4"/>
        <v>3.2118021927203307E-7</v>
      </c>
      <c r="H81" s="91">
        <f t="shared" si="5"/>
        <v>-3.5799736670247821E-2</v>
      </c>
      <c r="J81" s="91">
        <f t="shared" si="6"/>
        <v>7.1641791044776131</v>
      </c>
      <c r="K81" s="91" t="str">
        <f t="shared" si="7"/>
        <v>1+0.0341247222734318j</v>
      </c>
      <c r="L81" s="91">
        <f t="shared" si="8"/>
        <v>0.99980956661147136</v>
      </c>
      <c r="M81" s="91" t="str">
        <f t="shared" si="9"/>
        <v>0.00619139232181382j</v>
      </c>
      <c r="N81" s="91" t="str">
        <f t="shared" si="10"/>
        <v>0.999809566611471+0.00619139232181382j</v>
      </c>
      <c r="O81" s="91" t="str">
        <f t="shared" si="11"/>
        <v>1.00036346781494+0.0279363996030191j</v>
      </c>
      <c r="P81" s="91" t="str">
        <f t="shared" si="12"/>
        <v>7.16678305300256+0.200141370290286j</v>
      </c>
      <c r="R81" s="91">
        <f t="shared" si="13"/>
        <v>11.82089552238806</v>
      </c>
      <c r="S81" s="91" t="str">
        <f t="shared" si="14"/>
        <v>1+0.000103095837684084j</v>
      </c>
      <c r="T81" s="91" t="str">
        <f t="shared" si="15"/>
        <v>0.999809566611471+0.00619139232181382j</v>
      </c>
      <c r="U81" s="91" t="str">
        <f t="shared" si="16"/>
        <v>1.0001527544095-0.00609040206251012j</v>
      </c>
      <c r="V81" s="91" t="str">
        <f t="shared" si="17"/>
        <v>11.8227012163033-0.0719940064702689j</v>
      </c>
      <c r="X81" s="91" t="str">
        <f t="shared" si="18"/>
        <v>1.34171499542062+0.0366300934395285j</v>
      </c>
      <c r="Y81" s="91">
        <f t="shared" si="19"/>
        <v>2.5564412450163916</v>
      </c>
      <c r="Z81" s="91">
        <f t="shared" si="20"/>
        <v>-178.43615926720383</v>
      </c>
      <c r="AB81" s="91" t="str">
        <f t="shared" si="21"/>
        <v>11.0666257914429-0.0673899064398673j</v>
      </c>
      <c r="AC81" s="91">
        <f t="shared" si="22"/>
        <v>20.880465538560479</v>
      </c>
      <c r="AD81" s="91">
        <f t="shared" si="23"/>
        <v>179.6511032749672</v>
      </c>
      <c r="AF81" s="91" t="str">
        <f t="shared" si="24"/>
        <v>4.72425754233288-0.102676842450134j</v>
      </c>
      <c r="AG81" s="91">
        <f t="shared" si="25"/>
        <v>13.488722273525696</v>
      </c>
      <c r="AH81" s="91">
        <f t="shared" si="26"/>
        <v>178.75493161927562</v>
      </c>
      <c r="AJ81" s="91" t="str">
        <f t="shared" si="27"/>
        <v>46874.9999980538-0.30203858695255j</v>
      </c>
      <c r="AK81" s="91" t="str">
        <f t="shared" si="28"/>
        <v>15000-3.09287513052252E-07j</v>
      </c>
      <c r="AL81" s="91" t="str">
        <f t="shared" si="43"/>
        <v>10000-16166187.7346962j</v>
      </c>
      <c r="AM81" s="91" t="str">
        <f t="shared" si="44"/>
        <v>963.13894481297-5017093.15612895j</v>
      </c>
      <c r="AN81" s="91" t="str">
        <f t="shared" si="45"/>
        <v>10963.138944813-5017093.15612895j</v>
      </c>
      <c r="AO81" s="91" t="str">
        <f t="shared" si="46"/>
        <v>14999.7679274582-44.8454850684218j</v>
      </c>
      <c r="AP81" s="91" t="str">
        <f t="shared" si="47"/>
        <v>0.242424242426091+1.18337359707475E-06j</v>
      </c>
      <c r="AQ81" s="91" t="str">
        <f t="shared" si="29"/>
        <v>1+0.188046807935769j</v>
      </c>
      <c r="AR81" s="91">
        <f t="shared" si="30"/>
        <v>9.9974150875749383E-8</v>
      </c>
      <c r="AS81" s="91" t="str">
        <f t="shared" si="31"/>
        <v>0.000010465987027231j</v>
      </c>
      <c r="AT81" s="91" t="str">
        <f t="shared" si="32"/>
        <v>9.99741508757494E-08+0.000010465987027231j</v>
      </c>
      <c r="AU81" s="91" t="str">
        <f t="shared" si="33"/>
        <v>5.6635194450309-28.6101820758454j</v>
      </c>
      <c r="AW81" s="91" t="str">
        <f t="shared" si="48"/>
        <v>1.36637865364539-6.93710108658096j</v>
      </c>
      <c r="AX81" s="91">
        <f t="shared" si="34"/>
        <v>16.98886282622912</v>
      </c>
      <c r="AY81" s="91">
        <f t="shared" si="35"/>
        <v>101.14273048153836</v>
      </c>
      <c r="AZ81" s="91" t="str">
        <f t="shared" si="36"/>
        <v>14.6537106561205-76.862381932234j</v>
      </c>
      <c r="BA81" s="91">
        <f t="shared" si="37"/>
        <v>37.869328364789595</v>
      </c>
      <c r="BB81" s="91">
        <f t="shared" si="38"/>
        <v>100.79383375650555</v>
      </c>
      <c r="BD81" s="91" t="str">
        <f t="shared" si="39"/>
        <v>5.74284502483936-32.9129475759533j</v>
      </c>
      <c r="BE81" s="91">
        <f t="shared" si="40"/>
        <v>30.477585099754812</v>
      </c>
      <c r="BF81" s="91">
        <f t="shared" si="41"/>
        <v>99.897662100814003</v>
      </c>
      <c r="BH81" s="91">
        <f t="shared" si="49"/>
        <v>-29.477585099754812</v>
      </c>
      <c r="BI81" s="112">
        <f t="shared" si="50"/>
        <v>-99.897662100814003</v>
      </c>
      <c r="BJ81" s="95"/>
      <c r="BK81" s="95"/>
      <c r="BL81" s="95"/>
      <c r="BM81" s="95"/>
      <c r="BN81" s="46"/>
      <c r="BO81" s="46"/>
      <c r="BP81" s="46"/>
    </row>
    <row r="82" spans="1:68" s="91" customFormat="1">
      <c r="A82" s="91">
        <v>18</v>
      </c>
      <c r="B82" s="91">
        <f t="shared" si="42"/>
        <v>229.08676527677733</v>
      </c>
      <c r="C82" s="91" t="str">
        <f t="shared" si="0"/>
        <v>1439.39459765635j</v>
      </c>
      <c r="D82" s="91">
        <f t="shared" si="1"/>
        <v>0.99999982650993047</v>
      </c>
      <c r="E82" s="91" t="str">
        <f t="shared" si="2"/>
        <v>-0.000654270271661977j</v>
      </c>
      <c r="F82" s="91" t="str">
        <f t="shared" si="3"/>
        <v>0.99999982650993-0.000654270271661977j</v>
      </c>
      <c r="G82" s="91">
        <f t="shared" si="4"/>
        <v>3.5216711648937628E-7</v>
      </c>
      <c r="H82" s="91">
        <f t="shared" si="5"/>
        <v>-3.7486926381713886E-2</v>
      </c>
      <c r="J82" s="91">
        <f t="shared" si="6"/>
        <v>7.1641791044776131</v>
      </c>
      <c r="K82" s="91" t="str">
        <f t="shared" si="7"/>
        <v>1+0.0357329708868189j</v>
      </c>
      <c r="L82" s="91">
        <f t="shared" si="8"/>
        <v>0.99979119394166072</v>
      </c>
      <c r="M82" s="91" t="str">
        <f t="shared" si="9"/>
        <v>0.0064831836523544j</v>
      </c>
      <c r="N82" s="91" t="str">
        <f t="shared" si="10"/>
        <v>0.999791193941661+0.0064831836523544j</v>
      </c>
      <c r="O82" s="91" t="str">
        <f t="shared" si="11"/>
        <v>1.00039854386871+0.0292533116700733j</v>
      </c>
      <c r="P82" s="91" t="str">
        <f t="shared" si="12"/>
        <v>7.16703434413404+0.20957596420351j</v>
      </c>
      <c r="R82" s="91">
        <f t="shared" si="13"/>
        <v>11.82089552238806</v>
      </c>
      <c r="S82" s="91" t="str">
        <f t="shared" si="14"/>
        <v>1+0.000107954594824226j</v>
      </c>
      <c r="T82" s="91" t="str">
        <f t="shared" si="15"/>
        <v>0.999791193941661+0.0064831836523544j</v>
      </c>
      <c r="U82" s="91" t="str">
        <f t="shared" si="16"/>
        <v>1.00016749357757-0.00637764664041063j</v>
      </c>
      <c r="V82" s="91" t="str">
        <f t="shared" si="17"/>
        <v>11.8228754464692-0.0753894946150033j</v>
      </c>
      <c r="X82" s="91" t="str">
        <f t="shared" si="18"/>
        <v>1.34176427802246+0.0383568011086264j</v>
      </c>
      <c r="Y82" s="91">
        <f t="shared" si="19"/>
        <v>2.5570721456485792</v>
      </c>
      <c r="Z82" s="91">
        <f t="shared" si="20"/>
        <v>-178.36254065319088</v>
      </c>
      <c r="AB82" s="91" t="str">
        <f t="shared" si="21"/>
        <v>11.0667888793881-0.0705682491882435j</v>
      </c>
      <c r="AC82" s="91">
        <f t="shared" si="22"/>
        <v>20.88060908402494</v>
      </c>
      <c r="AD82" s="91">
        <f t="shared" si="23"/>
        <v>179.63465390992729</v>
      </c>
      <c r="AF82" s="91" t="str">
        <f t="shared" si="24"/>
        <v>4.72407285119541-0.107512346279711j</v>
      </c>
      <c r="AG82" s="91">
        <f t="shared" si="25"/>
        <v>13.488580550803167</v>
      </c>
      <c r="AH82" s="91">
        <f t="shared" si="26"/>
        <v>178.69626470680501</v>
      </c>
      <c r="AJ82" s="91" t="str">
        <f t="shared" si="27"/>
        <v>46874.999997866-0.316273227009702j</v>
      </c>
      <c r="AK82" s="91" t="str">
        <f t="shared" si="28"/>
        <v>15000-3.23863784472679E-07j</v>
      </c>
      <c r="AL82" s="91" t="str">
        <f t="shared" si="43"/>
        <v>9999.99999999999-15438589.4308655j</v>
      </c>
      <c r="AM82" s="91" t="str">
        <f t="shared" si="44"/>
        <v>963.138927902064-4791286.8053387j</v>
      </c>
      <c r="AN82" s="91" t="str">
        <f t="shared" si="45"/>
        <v>10963.1389279021-4791286.8053387j</v>
      </c>
      <c r="AO82" s="91" t="str">
        <f t="shared" si="46"/>
        <v>14999.7455381796-46.9588659717503j</v>
      </c>
      <c r="AP82" s="91" t="str">
        <f t="shared" si="47"/>
        <v>0.24242424242627+1.23914427650636E-06j</v>
      </c>
      <c r="AQ82" s="91" t="str">
        <f t="shared" si="29"/>
        <v>1+0.196909180959389j</v>
      </c>
      <c r="AR82" s="91">
        <f t="shared" si="30"/>
        <v>9.997165699886981E-8</v>
      </c>
      <c r="AS82" s="91" t="str">
        <f t="shared" si="31"/>
        <v>0.000010959233799744j</v>
      </c>
      <c r="AT82" s="91" t="str">
        <f t="shared" si="32"/>
        <v>9.99716569988698E-08+0.000010959233799744j</v>
      </c>
      <c r="AU82" s="91" t="str">
        <f t="shared" si="33"/>
        <v>5.63946843859476-27.3227324525731j</v>
      </c>
      <c r="AW82" s="91" t="str">
        <f t="shared" si="48"/>
        <v>1.36054794388543-6.62504751936899j</v>
      </c>
      <c r="AX82" s="91">
        <f t="shared" si="34"/>
        <v>16.603184283678484</v>
      </c>
      <c r="AY82" s="91">
        <f t="shared" si="35"/>
        <v>101.60515332682172</v>
      </c>
      <c r="AZ82" s="91" t="str">
        <f t="shared" si="36"/>
        <v>14.5893788510348-73.4140136991068j</v>
      </c>
      <c r="BA82" s="91">
        <f t="shared" si="37"/>
        <v>37.483793367703392</v>
      </c>
      <c r="BB82" s="91">
        <f t="shared" si="38"/>
        <v>101.23980723674904</v>
      </c>
      <c r="BD82" s="91" t="str">
        <f t="shared" si="39"/>
        <v>5.71505320143695-31.4434828258036j</v>
      </c>
      <c r="BE82" s="91">
        <f t="shared" si="40"/>
        <v>30.091764834481623</v>
      </c>
      <c r="BF82" s="91">
        <f t="shared" si="41"/>
        <v>100.30141803362675</v>
      </c>
      <c r="BH82" s="91">
        <f t="shared" si="49"/>
        <v>-29.091764834481623</v>
      </c>
      <c r="BI82" s="112">
        <f t="shared" si="50"/>
        <v>-100.30141803362675</v>
      </c>
      <c r="BJ82" s="95"/>
      <c r="BK82" s="95"/>
      <c r="BL82" s="95"/>
      <c r="BM82" s="95"/>
      <c r="BN82" s="46"/>
      <c r="BO82" s="46"/>
      <c r="BP82" s="46"/>
    </row>
    <row r="83" spans="1:68" s="91" customFormat="1">
      <c r="A83" s="91">
        <v>19</v>
      </c>
      <c r="B83" s="91">
        <f t="shared" si="42"/>
        <v>239.88329190194909</v>
      </c>
      <c r="C83" s="91" t="str">
        <f t="shared" si="0"/>
        <v>1507.2311751162j</v>
      </c>
      <c r="D83" s="91">
        <f t="shared" si="1"/>
        <v>0.99999980977192149</v>
      </c>
      <c r="E83" s="91" t="str">
        <f t="shared" si="2"/>
        <v>-0.000685105079598273j</v>
      </c>
      <c r="F83" s="91" t="str">
        <f t="shared" si="3"/>
        <v>0.999999809771921-0.000685105079598273j</v>
      </c>
      <c r="G83" s="91">
        <f t="shared" si="4"/>
        <v>3.8614357518787327E-7</v>
      </c>
      <c r="H83" s="91">
        <f t="shared" si="5"/>
        <v>-3.9253630909618996E-2</v>
      </c>
      <c r="J83" s="91">
        <f t="shared" si="6"/>
        <v>7.1641791044776131</v>
      </c>
      <c r="K83" s="91" t="str">
        <f t="shared" si="7"/>
        <v>1+0.0374170139222596j</v>
      </c>
      <c r="L83" s="91">
        <f t="shared" si="8"/>
        <v>0.99977104870980837</v>
      </c>
      <c r="M83" s="91" t="str">
        <f t="shared" si="9"/>
        <v>0.00678872668463718j</v>
      </c>
      <c r="N83" s="91" t="str">
        <f t="shared" si="10"/>
        <v>0.999771048709808+0.00678872668463718j</v>
      </c>
      <c r="O83" s="91" t="str">
        <f t="shared" si="11"/>
        <v>1.00043700588538+0.0306323338364604j</v>
      </c>
      <c r="P83" s="91" t="str">
        <f t="shared" si="12"/>
        <v>7.16730989291019+0.219455525992552j</v>
      </c>
      <c r="R83" s="91">
        <f t="shared" si="13"/>
        <v>11.82089552238806</v>
      </c>
      <c r="S83" s="91" t="str">
        <f t="shared" si="14"/>
        <v>1+0.000113042338133715j</v>
      </c>
      <c r="T83" s="91" t="str">
        <f t="shared" si="15"/>
        <v>0.999771048709808+0.00678872668463718j</v>
      </c>
      <c r="U83" s="91" t="str">
        <f t="shared" si="16"/>
        <v>1.00018365509748-0.00667846017283754j</v>
      </c>
      <c r="V83" s="91" t="str">
        <f t="shared" si="17"/>
        <v>11.8230664901075-0.0789453799535423j</v>
      </c>
      <c r="X83" s="91" t="str">
        <f t="shared" si="18"/>
        <v>1.34181831790709+0.0401649429750494j</v>
      </c>
      <c r="Y83" s="91">
        <f t="shared" si="19"/>
        <v>2.5577638536729177</v>
      </c>
      <c r="Z83" s="91">
        <f t="shared" si="20"/>
        <v>-178.28546477487436</v>
      </c>
      <c r="AB83" s="91" t="str">
        <f t="shared" si="21"/>
        <v>11.0669677055646-0.0738967315442574j</v>
      </c>
      <c r="AC83" s="91">
        <f t="shared" si="22"/>
        <v>20.880766480578611</v>
      </c>
      <c r="AD83" s="91">
        <f t="shared" si="23"/>
        <v>179.61742836636722</v>
      </c>
      <c r="AF83" s="91" t="str">
        <f t="shared" si="24"/>
        <v>4.72387035477393-0.112575221121717j</v>
      </c>
      <c r="AG83" s="91">
        <f t="shared" si="25"/>
        <v>13.488425159811275</v>
      </c>
      <c r="AH83" s="91">
        <f t="shared" si="26"/>
        <v>178.63483458934269</v>
      </c>
      <c r="AJ83" s="91" t="str">
        <f t="shared" si="27"/>
        <v>46874.9999976602-0.331178724984587j</v>
      </c>
      <c r="AK83" s="91" t="str">
        <f t="shared" si="28"/>
        <v>15000-3.39127014401145E-07j</v>
      </c>
      <c r="AL83" s="91" t="str">
        <f t="shared" si="43"/>
        <v>10000-14743738.4451055j</v>
      </c>
      <c r="AM83" s="91" t="str">
        <f t="shared" si="44"/>
        <v>963.138909359631-4575643.41624159j</v>
      </c>
      <c r="AN83" s="91" t="str">
        <f t="shared" si="45"/>
        <v>10963.1389093596-4575643.41624159j</v>
      </c>
      <c r="AO83" s="91" t="str">
        <f t="shared" si="46"/>
        <v>14999.7209889576-49.1718294197989j</v>
      </c>
      <c r="AP83" s="91" t="str">
        <f t="shared" si="47"/>
        <v>0.242424242426465+1.29754334708335E-06j</v>
      </c>
      <c r="AQ83" s="91" t="str">
        <f t="shared" si="29"/>
        <v>1+0.206189224755896j</v>
      </c>
      <c r="AR83" s="91">
        <f t="shared" si="30"/>
        <v>9.996892251724748E-8</v>
      </c>
      <c r="AS83" s="91" t="str">
        <f t="shared" si="31"/>
        <v>0.0000114757265764762j</v>
      </c>
      <c r="AT83" s="91" t="str">
        <f t="shared" si="32"/>
        <v>9.99689225172475E-08+0.0000114757265764762j</v>
      </c>
      <c r="AU83" s="91" t="str">
        <f t="shared" si="33"/>
        <v>5.61753332315928-26.0931993500342j</v>
      </c>
      <c r="AW83" s="91" t="str">
        <f t="shared" si="48"/>
        <v>1.35523017146734-6.32703719443421j</v>
      </c>
      <c r="AX83" s="91">
        <f t="shared" si="34"/>
        <v>16.218827183489687</v>
      </c>
      <c r="AY83" s="91">
        <f t="shared" si="35"/>
        <v>102.0898780147499</v>
      </c>
      <c r="AZ83" s="91" t="str">
        <f t="shared" si="36"/>
        <v>14.5307411722082-70.121263382871j</v>
      </c>
      <c r="BA83" s="91">
        <f t="shared" si="37"/>
        <v>37.099593664068294</v>
      </c>
      <c r="BB83" s="91">
        <f t="shared" si="38"/>
        <v>101.70730638111712</v>
      </c>
      <c r="BD83" s="91" t="str">
        <f t="shared" si="39"/>
        <v>5.689664019681-30.0406687725635j</v>
      </c>
      <c r="BE83" s="91">
        <f t="shared" si="40"/>
        <v>29.707252343300951</v>
      </c>
      <c r="BF83" s="91">
        <f t="shared" si="41"/>
        <v>100.72471260409262</v>
      </c>
      <c r="BH83" s="91">
        <f t="shared" si="49"/>
        <v>-28.707252343300951</v>
      </c>
      <c r="BI83" s="112">
        <f t="shared" si="50"/>
        <v>-100.72471260409262</v>
      </c>
      <c r="BJ83" s="95"/>
      <c r="BK83" s="95"/>
      <c r="BL83" s="95"/>
      <c r="BM83" s="95"/>
      <c r="BN83" s="46"/>
      <c r="BO83" s="46"/>
      <c r="BP83" s="46"/>
    </row>
    <row r="84" spans="1:68" s="91" customFormat="1">
      <c r="A84" s="91">
        <v>20</v>
      </c>
      <c r="B84" s="91">
        <f t="shared" si="42"/>
        <v>251.18864315095806</v>
      </c>
      <c r="C84" s="91" t="str">
        <f t="shared" si="0"/>
        <v>1578.26479197648j</v>
      </c>
      <c r="D84" s="91">
        <f t="shared" si="1"/>
        <v>0.9999997914190597</v>
      </c>
      <c r="E84" s="91" t="str">
        <f t="shared" si="2"/>
        <v>-0.000717393087262036j</v>
      </c>
      <c r="F84" s="91" t="str">
        <f t="shared" si="3"/>
        <v>0.99999979141906-0.000717393087262036j</v>
      </c>
      <c r="G84" s="91">
        <f t="shared" si="4"/>
        <v>4.2339803530690668E-7</v>
      </c>
      <c r="H84" s="91">
        <f t="shared" si="5"/>
        <v>-4.1103597674040468E-2</v>
      </c>
      <c r="J84" s="91">
        <f t="shared" si="6"/>
        <v>7.1641791044776131</v>
      </c>
      <c r="K84" s="91" t="str">
        <f t="shared" si="7"/>
        <v>1+0.0391804234608161j</v>
      </c>
      <c r="L84" s="91">
        <f t="shared" si="8"/>
        <v>0.99974895990232604</v>
      </c>
      <c r="M84" s="91" t="str">
        <f t="shared" si="9"/>
        <v>0.00710866951639854j</v>
      </c>
      <c r="N84" s="91" t="str">
        <f t="shared" si="10"/>
        <v>0.999748959902326+0.00710866951639854j</v>
      </c>
      <c r="O84" s="91" t="str">
        <f t="shared" si="11"/>
        <v>1.00047918091866+0.0320764000682344j</v>
      </c>
      <c r="P84" s="91" t="str">
        <f t="shared" si="12"/>
        <v>7.16761204240234+0.229801075115709j</v>
      </c>
      <c r="R84" s="91">
        <f t="shared" si="13"/>
        <v>11.82089552238806</v>
      </c>
      <c r="S84" s="91" t="str">
        <f t="shared" si="14"/>
        <v>1+0.000118369859398236j</v>
      </c>
      <c r="T84" s="91" t="str">
        <f t="shared" si="15"/>
        <v>0.999748959902326+0.00710866951639854j</v>
      </c>
      <c r="U84" s="91" t="str">
        <f t="shared" si="16"/>
        <v>1.00020137626462-0.0069934868199283j</v>
      </c>
      <c r="V84" s="91" t="str">
        <f t="shared" si="17"/>
        <v>11.8232759701728-0.0826692770355704j</v>
      </c>
      <c r="X84" s="91" t="str">
        <f t="shared" si="18"/>
        <v>1.34187757457186+0.0420583653547394j</v>
      </c>
      <c r="Y84" s="91">
        <f t="shared" si="19"/>
        <v>2.5585222234053813</v>
      </c>
      <c r="Z84" s="91">
        <f t="shared" si="20"/>
        <v>-178.2047705117123</v>
      </c>
      <c r="AB84" s="91" t="str">
        <f t="shared" si="21"/>
        <v>11.0671637891373-0.077382481098329j</v>
      </c>
      <c r="AC84" s="91">
        <f t="shared" si="22"/>
        <v>20.880939064970711</v>
      </c>
      <c r="AD84" s="91">
        <f t="shared" si="23"/>
        <v>179.59938992422539</v>
      </c>
      <c r="AF84" s="91" t="str">
        <f t="shared" si="24"/>
        <v>4.72364833795217-0.117876105779653j</v>
      </c>
      <c r="AG84" s="91">
        <f t="shared" si="25"/>
        <v>13.488254782847376</v>
      </c>
      <c r="AH84" s="91">
        <f t="shared" si="26"/>
        <v>178.57051129002522</v>
      </c>
      <c r="AJ84" s="91" t="str">
        <f t="shared" si="27"/>
        <v>46874.9999974344-0.346786697436789j</v>
      </c>
      <c r="AK84" s="91" t="str">
        <f t="shared" si="28"/>
        <v>15000-3.55109578194708E-07j</v>
      </c>
      <c r="AL84" s="91" t="str">
        <f t="shared" si="43"/>
        <v>10000-14080160.9053149j</v>
      </c>
      <c r="AM84" s="91" t="str">
        <f t="shared" si="44"/>
        <v>963.138889028259-4369705.58029752j</v>
      </c>
      <c r="AN84" s="91" t="str">
        <f t="shared" si="45"/>
        <v>10963.1388890283-4369705.58029752j</v>
      </c>
      <c r="AO84" s="91" t="str">
        <f t="shared" si="46"/>
        <v>14999.6940714319-51.4890659224878j</v>
      </c>
      <c r="AP84" s="91" t="str">
        <f t="shared" si="47"/>
        <v>0.242424242426679+1.35869468106411E-06j</v>
      </c>
      <c r="AQ84" s="91" t="str">
        <f t="shared" si="29"/>
        <v>1+0.215906623542382j</v>
      </c>
      <c r="AR84" s="91">
        <f t="shared" si="30"/>
        <v>9.9965924217770846E-8</v>
      </c>
      <c r="AS84" s="91" t="str">
        <f t="shared" si="31"/>
        <v>0.0000120165609078547j</v>
      </c>
      <c r="AT84" s="91" t="str">
        <f t="shared" si="32"/>
        <v>9.99659242177708E-08+0.0000120165609078547j</v>
      </c>
      <c r="AU84" s="91" t="str">
        <f t="shared" si="33"/>
        <v>5.59752797991831-24.9189797512216j</v>
      </c>
      <c r="AW84" s="91" t="str">
        <f t="shared" si="48"/>
        <v>1.35038021524885-6.04243920103346j</v>
      </c>
      <c r="AX84" s="91">
        <f t="shared" si="34"/>
        <v>15.835909158758509</v>
      </c>
      <c r="AY84" s="91">
        <f t="shared" si="35"/>
        <v>102.59760705606215</v>
      </c>
      <c r="AZ84" s="91" t="str">
        <f t="shared" si="36"/>
        <v>14.4773000825077-66.9771600952233j</v>
      </c>
      <c r="BA84" s="91">
        <f t="shared" si="37"/>
        <v>36.716848223729222</v>
      </c>
      <c r="BB84" s="91">
        <f t="shared" si="38"/>
        <v>102.19699698028749</v>
      </c>
      <c r="BD84" s="91" t="str">
        <f t="shared" si="39"/>
        <v>5.66646205693557-28.7015354502342j</v>
      </c>
      <c r="BE84" s="91">
        <f t="shared" si="40"/>
        <v>29.324163941605896</v>
      </c>
      <c r="BF84" s="91">
        <f t="shared" si="41"/>
        <v>101.16811834608734</v>
      </c>
      <c r="BH84" s="91">
        <f t="shared" si="49"/>
        <v>-28.324163941605896</v>
      </c>
      <c r="BI84" s="112">
        <f t="shared" si="50"/>
        <v>-101.16811834608734</v>
      </c>
      <c r="BJ84" s="95"/>
      <c r="BK84" s="95"/>
      <c r="BL84" s="95"/>
      <c r="BM84" s="95"/>
      <c r="BN84" s="46"/>
      <c r="BO84" s="46"/>
      <c r="BP84" s="46"/>
    </row>
    <row r="85" spans="1:68" s="91" customFormat="1">
      <c r="A85" s="91">
        <v>21</v>
      </c>
      <c r="B85" s="91">
        <f t="shared" si="42"/>
        <v>263.02679918953822</v>
      </c>
      <c r="C85" s="91" t="str">
        <f t="shared" si="0"/>
        <v>1652.64612006218j</v>
      </c>
      <c r="D85" s="91">
        <f t="shared" si="1"/>
        <v>0.99999977129554685</v>
      </c>
      <c r="E85" s="91" t="str">
        <f t="shared" si="2"/>
        <v>-0.000751202781846445j</v>
      </c>
      <c r="F85" s="91" t="str">
        <f t="shared" si="3"/>
        <v>0.999999771295547-0.000751202781846445j</v>
      </c>
      <c r="G85" s="91">
        <f t="shared" si="4"/>
        <v>4.6424673062216295E-7</v>
      </c>
      <c r="H85" s="91">
        <f t="shared" si="5"/>
        <v>-4.3040750705852879E-2</v>
      </c>
      <c r="J85" s="91">
        <f t="shared" si="6"/>
        <v>7.1641791044776131</v>
      </c>
      <c r="K85" s="91" t="str">
        <f t="shared" si="7"/>
        <v>1+0.0410269399305436j</v>
      </c>
      <c r="L85" s="91">
        <f t="shared" si="8"/>
        <v>0.99972474000654277</v>
      </c>
      <c r="M85" s="91" t="str">
        <f t="shared" si="9"/>
        <v>0.00744369078928007j</v>
      </c>
      <c r="N85" s="91" t="str">
        <f t="shared" si="10"/>
        <v>0.999724740006543+0.00744369078928007j</v>
      </c>
      <c r="O85" s="91" t="str">
        <f t="shared" si="11"/>
        <v>1.00052542765314+0.0335885836135871j</v>
      </c>
      <c r="P85" s="91" t="str">
        <f t="shared" si="12"/>
        <v>7.16794336229115+0.24063462887346j</v>
      </c>
      <c r="R85" s="91">
        <f t="shared" si="13"/>
        <v>11.82089552238806</v>
      </c>
      <c r="S85" s="91" t="str">
        <f t="shared" si="14"/>
        <v>1+0.000123948459004663j</v>
      </c>
      <c r="T85" s="91" t="str">
        <f t="shared" si="15"/>
        <v>0.999724740006543+0.00744369078928007j</v>
      </c>
      <c r="U85" s="91" t="str">
        <f t="shared" si="16"/>
        <v>1.00022080763449-0.00732340179356023j</v>
      </c>
      <c r="V85" s="91" t="str">
        <f t="shared" si="17"/>
        <v>11.8235056663659-0.0865691674701448j</v>
      </c>
      <c r="X85" s="91" t="str">
        <f t="shared" si="18"/>
        <v>1.34194255195151+0.0440410970853698j</v>
      </c>
      <c r="Y85" s="91">
        <f t="shared" si="19"/>
        <v>2.5593536714997098</v>
      </c>
      <c r="Z85" s="91">
        <f t="shared" si="20"/>
        <v>-178.12028941791675</v>
      </c>
      <c r="AB85" s="91" t="str">
        <f t="shared" si="21"/>
        <v>11.067378795993-0.0810329690263795j</v>
      </c>
      <c r="AC85" s="91">
        <f t="shared" si="22"/>
        <v>20.881128303002889</v>
      </c>
      <c r="AD85" s="91">
        <f t="shared" si="23"/>
        <v>179.58050011213481</v>
      </c>
      <c r="AF85" s="91" t="str">
        <f t="shared" si="24"/>
        <v>4.72340492068928-0.123426129078658j</v>
      </c>
      <c r="AG85" s="91">
        <f t="shared" si="25"/>
        <v>13.488067975278925</v>
      </c>
      <c r="AH85" s="91">
        <f t="shared" si="26"/>
        <v>178.50315874322106</v>
      </c>
      <c r="AJ85" s="91" t="str">
        <f t="shared" si="27"/>
        <v>46874.9999971869-0.363130250968433j</v>
      </c>
      <c r="AK85" s="91" t="str">
        <f t="shared" si="28"/>
        <v>15000-3.7184537701399E-07j</v>
      </c>
      <c r="AL85" s="91" t="str">
        <f t="shared" si="43"/>
        <v>10000-13446449.2745647j</v>
      </c>
      <c r="AM85" s="91" t="str">
        <f t="shared" si="44"/>
        <v>963.138866735346-4173036.47574591j</v>
      </c>
      <c r="AN85" s="91" t="str">
        <f t="shared" si="45"/>
        <v>10963.1388667353-4173036.47574591j</v>
      </c>
      <c r="AO85" s="91" t="str">
        <f t="shared" si="46"/>
        <v>14999.6645571452-53.9154866510167j</v>
      </c>
      <c r="AP85" s="91" t="str">
        <f t="shared" si="47"/>
        <v>0.242424242426914+1.42272798862669E-06j</v>
      </c>
      <c r="AQ85" s="91" t="str">
        <f t="shared" si="29"/>
        <v>1+0.226081989224506j</v>
      </c>
      <c r="AR85" s="91">
        <f t="shared" si="30"/>
        <v>9.996263664776921E-8</v>
      </c>
      <c r="AS85" s="91" t="str">
        <f t="shared" si="31"/>
        <v>0.000012582883976007j</v>
      </c>
      <c r="AT85" s="91" t="str">
        <f t="shared" si="32"/>
        <v>9.99626366477692E-08+0.000012582883976007j</v>
      </c>
      <c r="AU85" s="91" t="str">
        <f t="shared" si="33"/>
        <v>5.57928265697154-23.7975873230637j</v>
      </c>
      <c r="AW85" s="91" t="str">
        <f t="shared" si="48"/>
        <v>1.3459569217599-5.77065092179404j</v>
      </c>
      <c r="AX85" s="91">
        <f t="shared" si="34"/>
        <v>15.454557174556909</v>
      </c>
      <c r="AY85" s="91">
        <f t="shared" si="35"/>
        <v>103.12904770776039</v>
      </c>
      <c r="AZ85" s="91" t="str">
        <f t="shared" si="36"/>
        <v>14.4286021187978-63.9750465364928j</v>
      </c>
      <c r="BA85" s="91">
        <f t="shared" si="37"/>
        <v>36.335685477559828</v>
      </c>
      <c r="BB85" s="91">
        <f t="shared" si="38"/>
        <v>102.70954781989523</v>
      </c>
      <c r="BD85" s="91" t="str">
        <f t="shared" si="39"/>
        <v>5.6452504417353-27.4232472123416j</v>
      </c>
      <c r="BE85" s="91">
        <f t="shared" si="40"/>
        <v>28.942625149835855</v>
      </c>
      <c r="BF85" s="91">
        <f t="shared" si="41"/>
        <v>101.63220645098147</v>
      </c>
      <c r="BH85" s="91">
        <f t="shared" si="49"/>
        <v>-27.942625149835855</v>
      </c>
      <c r="BI85" s="112">
        <f t="shared" si="50"/>
        <v>-101.63220645098147</v>
      </c>
      <c r="BJ85" s="95"/>
      <c r="BK85" s="95"/>
      <c r="BL85" s="95"/>
      <c r="BM85" s="95"/>
      <c r="BN85" s="46"/>
      <c r="BO85" s="46"/>
      <c r="BP85" s="46"/>
    </row>
    <row r="86" spans="1:68" s="91" customFormat="1">
      <c r="A86" s="91">
        <v>22</v>
      </c>
      <c r="B86" s="91">
        <f t="shared" si="42"/>
        <v>275.4228703338166</v>
      </c>
      <c r="C86" s="91" t="str">
        <f t="shared" si="0"/>
        <v>1730.53293214266j</v>
      </c>
      <c r="D86" s="91">
        <f t="shared" si="1"/>
        <v>0.99999974923055368</v>
      </c>
      <c r="E86" s="91" t="str">
        <f t="shared" si="2"/>
        <v>-0.000786605878246664j</v>
      </c>
      <c r="F86" s="91" t="str">
        <f t="shared" si="3"/>
        <v>0.999999749230554-0.000786605878246664j</v>
      </c>
      <c r="G86" s="91">
        <f t="shared" si="4"/>
        <v>5.0903643900555374E-7</v>
      </c>
      <c r="H86" s="91">
        <f t="shared" si="5"/>
        <v>-4.5069198970188219E-2</v>
      </c>
      <c r="J86" s="91">
        <f t="shared" si="6"/>
        <v>7.1641791044776131</v>
      </c>
      <c r="K86" s="91" t="str">
        <f t="shared" si="7"/>
        <v>1+0.0429604800404415j</v>
      </c>
      <c r="L86" s="91">
        <f t="shared" si="8"/>
        <v>0.99969818341890371</v>
      </c>
      <c r="M86" s="91" t="str">
        <f t="shared" si="9"/>
        <v>0.00779450112831868j</v>
      </c>
      <c r="N86" s="91" t="str">
        <f t="shared" si="10"/>
        <v>0.999698183418904+0.00779450112831868j</v>
      </c>
      <c r="O86" s="91" t="str">
        <f t="shared" si="11"/>
        <v>1.00057613947164+0.0351721037164547j</v>
      </c>
      <c r="P86" s="91" t="str">
        <f t="shared" si="12"/>
        <v>7.1683066708416+0.251979250505944j</v>
      </c>
      <c r="R86" s="91">
        <f t="shared" si="13"/>
        <v>11.82089552238806</v>
      </c>
      <c r="S86" s="91" t="str">
        <f t="shared" si="14"/>
        <v>1+0.000129789969910699j</v>
      </c>
      <c r="T86" s="91" t="str">
        <f t="shared" si="15"/>
        <v>0.999698183418904+0.00779450112831868j</v>
      </c>
      <c r="U86" s="91" t="str">
        <f t="shared" si="16"/>
        <v>1.00024211430477-0.00766891292370906j</v>
      </c>
      <c r="V86" s="91" t="str">
        <f t="shared" si="17"/>
        <v>11.8237575302892-0.0906534184414564j</v>
      </c>
      <c r="X86" s="91" t="str">
        <f t="shared" si="18"/>
        <v>1.34201380272683+0.0461173583135805j</v>
      </c>
      <c r="Y86" s="91">
        <f t="shared" si="19"/>
        <v>2.560265230701666</v>
      </c>
      <c r="Z86" s="91">
        <f t="shared" si="20"/>
        <v>-178.0318454167402</v>
      </c>
      <c r="AB86" s="91" t="str">
        <f t="shared" si="21"/>
        <v>11.067614552927-0.0848560274214875j</v>
      </c>
      <c r="AC86" s="91">
        <f t="shared" si="22"/>
        <v>20.881335801996975</v>
      </c>
      <c r="AD86" s="91">
        <f t="shared" si="23"/>
        <v>179.56071862180929</v>
      </c>
      <c r="AF86" s="91" t="str">
        <f t="shared" si="24"/>
        <v>4.72313804221847-0.129236931279642j</v>
      </c>
      <c r="AG86" s="91">
        <f t="shared" si="25"/>
        <v>13.487863153337614</v>
      </c>
      <c r="AH86" s="91">
        <f t="shared" si="26"/>
        <v>178.43263451302653</v>
      </c>
      <c r="AJ86" s="91" t="str">
        <f t="shared" si="27"/>
        <v>46874.9999969155-0.380244052447731j</v>
      </c>
      <c r="AK86" s="91" t="str">
        <f t="shared" si="28"/>
        <v>15000-3.89369909732099E-07j</v>
      </c>
      <c r="AL86" s="91" t="str">
        <f t="shared" si="43"/>
        <v>10000-12841259.3655226j</v>
      </c>
      <c r="AM86" s="91" t="str">
        <f t="shared" si="44"/>
        <v>963.13884229166-3985218.9410481j</v>
      </c>
      <c r="AN86" s="91" t="str">
        <f t="shared" si="45"/>
        <v>10963.1388422917-3985218.9410481j</v>
      </c>
      <c r="AO86" s="91" t="str">
        <f t="shared" si="46"/>
        <v>14999.632195606-56.4562337787098j</v>
      </c>
      <c r="AP86" s="91" t="str">
        <f t="shared" si="47"/>
        <v>0.242424242427172+1.48977909300154E-06j</v>
      </c>
      <c r="AQ86" s="91" t="str">
        <f t="shared" si="29"/>
        <v>1+0.236736905117116j</v>
      </c>
      <c r="AR86" s="91">
        <f t="shared" si="30"/>
        <v>9.9959031898944124E-8</v>
      </c>
      <c r="AS86" s="91" t="str">
        <f t="shared" si="31"/>
        <v>0.0000131758970280891j</v>
      </c>
      <c r="AT86" s="91" t="str">
        <f t="shared" si="32"/>
        <v>9.99590318989441E-08+0.0000131758970280891j</v>
      </c>
      <c r="AU86" s="91" t="str">
        <f t="shared" si="33"/>
        <v>5.56264253081685-22.7266472255702j</v>
      </c>
      <c r="AW86" s="91" t="str">
        <f t="shared" si="48"/>
        <v>1.34192275646082-5.51109677460075j</v>
      </c>
      <c r="AX86" s="91">
        <f t="shared" si="34"/>
        <v>15.07490807670527</v>
      </c>
      <c r="AY86" s="91">
        <f t="shared" si="35"/>
        <v>103.68490795457886</v>
      </c>
      <c r="AZ86" s="91" t="str">
        <f t="shared" si="36"/>
        <v>14.3842340492816-61.1085650993798j</v>
      </c>
      <c r="BA86" s="91">
        <f t="shared" si="37"/>
        <v>35.95624387870221</v>
      </c>
      <c r="BB86" s="91">
        <f t="shared" si="38"/>
        <v>103.24562657638813</v>
      </c>
      <c r="BD86" s="91" t="str">
        <f t="shared" si="39"/>
        <v>5.6258491856242-26.2030968095235j</v>
      </c>
      <c r="BE86" s="91">
        <f t="shared" si="40"/>
        <v>28.562771230042841</v>
      </c>
      <c r="BF86" s="91">
        <f t="shared" si="41"/>
        <v>102.11754246760535</v>
      </c>
      <c r="BH86" s="91">
        <f t="shared" si="49"/>
        <v>-27.562771230042841</v>
      </c>
      <c r="BI86" s="112">
        <f t="shared" si="50"/>
        <v>-102.11754246760535</v>
      </c>
      <c r="BJ86" s="95"/>
      <c r="BK86" s="95"/>
      <c r="BL86" s="95"/>
      <c r="BM86" s="95"/>
      <c r="BN86" s="46"/>
      <c r="BO86" s="46"/>
      <c r="BP86" s="46"/>
    </row>
    <row r="87" spans="1:68" s="91" customFormat="1">
      <c r="A87" s="91">
        <v>23</v>
      </c>
      <c r="B87" s="91">
        <f t="shared" si="42"/>
        <v>288.40315031266061</v>
      </c>
      <c r="C87" s="91" t="str">
        <f t="shared" si="0"/>
        <v>1812.09043658881j</v>
      </c>
      <c r="D87" s="91">
        <f t="shared" si="1"/>
        <v>0.99999972503676993</v>
      </c>
      <c r="E87" s="91" t="str">
        <f t="shared" si="2"/>
        <v>-0.000823677471176732j</v>
      </c>
      <c r="F87" s="91" t="str">
        <f t="shared" si="3"/>
        <v>0.99999972503677-0.000823677471176732j</v>
      </c>
      <c r="G87" s="91">
        <f t="shared" si="4"/>
        <v>5.5814738119116542E-7</v>
      </c>
      <c r="H87" s="91">
        <f t="shared" si="5"/>
        <v>-4.7193245082174297E-2</v>
      </c>
      <c r="J87" s="91">
        <f t="shared" si="6"/>
        <v>7.1641791044776131</v>
      </c>
      <c r="K87" s="91" t="str">
        <f t="shared" si="7"/>
        <v>1+0.0449851450883172j</v>
      </c>
      <c r="L87" s="91">
        <f t="shared" si="8"/>
        <v>0.99966906469959338</v>
      </c>
      <c r="M87" s="91" t="str">
        <f t="shared" si="9"/>
        <v>0.00816184464927744j</v>
      </c>
      <c r="N87" s="91" t="str">
        <f t="shared" si="10"/>
        <v>0.999669064699593+0.00816184464927744j</v>
      </c>
      <c r="O87" s="91" t="str">
        <f t="shared" si="11"/>
        <v>1.00063174782169+0.0368303326686674j</v>
      </c>
      <c r="P87" s="91" t="str">
        <f t="shared" si="12"/>
        <v>7.16870505902106+0.263859099715826j</v>
      </c>
      <c r="R87" s="91">
        <f t="shared" si="13"/>
        <v>11.82089552238806</v>
      </c>
      <c r="S87" s="91" t="str">
        <f t="shared" si="14"/>
        <v>1+0.000135906782744161j</v>
      </c>
      <c r="T87" s="91" t="str">
        <f t="shared" si="15"/>
        <v>0.999669064699593+0.00816184464927744j</v>
      </c>
      <c r="U87" s="91" t="str">
        <f t="shared" si="16"/>
        <v>1.0002654773218-0.0080307623139306j</v>
      </c>
      <c r="V87" s="91" t="str">
        <f t="shared" si="17"/>
        <v>11.8240337020726-0.094930802278105j</v>
      </c>
      <c r="X87" s="91" t="str">
        <f t="shared" si="18"/>
        <v>1.34209193305341+0.0482915697237799j</v>
      </c>
      <c r="Y87" s="91">
        <f t="shared" si="19"/>
        <v>2.5612646086894482</v>
      </c>
      <c r="Z87" s="91">
        <f t="shared" si="20"/>
        <v>-177.93925448615465</v>
      </c>
      <c r="AB87" s="91" t="str">
        <f t="shared" si="21"/>
        <v>11.0678730632052-0.0888598676116871j</v>
      </c>
      <c r="AC87" s="91">
        <f t="shared" si="22"/>
        <v>20.881563324469408</v>
      </c>
      <c r="AD87" s="91">
        <f t="shared" si="23"/>
        <v>179.54000321793777</v>
      </c>
      <c r="AF87" s="91" t="str">
        <f t="shared" si="24"/>
        <v>4.72284544374356-0.135320686254905j</v>
      </c>
      <c r="AG87" s="91">
        <f t="shared" si="25"/>
        <v>13.487638580744193</v>
      </c>
      <c r="AH87" s="91">
        <f t="shared" si="26"/>
        <v>178.35878949930083</v>
      </c>
      <c r="AJ87" s="91" t="str">
        <f t="shared" si="27"/>
        <v>46874.9999966179-0.398164402542056j</v>
      </c>
      <c r="AK87" s="91" t="str">
        <f t="shared" si="28"/>
        <v>15000-4.07720348232483E-07j</v>
      </c>
      <c r="AL87" s="91" t="str">
        <f t="shared" si="43"/>
        <v>10000-12263307.4892524j</v>
      </c>
      <c r="AM87" s="91" t="str">
        <f t="shared" si="44"/>
        <v>963.138815489693-3805854.59003184j</v>
      </c>
      <c r="AN87" s="91" t="str">
        <f t="shared" si="45"/>
        <v>10963.1388154897-3805854.59003184j</v>
      </c>
      <c r="AO87" s="91" t="str">
        <f t="shared" si="46"/>
        <v>14999.5967121634-59.1166913005293j</v>
      </c>
      <c r="AP87" s="91" t="str">
        <f t="shared" si="47"/>
        <v>0.242424242427455+1.55999021857071E-06j</v>
      </c>
      <c r="AQ87" s="91" t="str">
        <f t="shared" si="29"/>
        <v>1+0.247893971725349j</v>
      </c>
      <c r="AR87" s="91">
        <f t="shared" si="30"/>
        <v>9.9955079370454842E-8</v>
      </c>
      <c r="AS87" s="91" t="str">
        <f t="shared" si="31"/>
        <v>0.0000137968579242912j</v>
      </c>
      <c r="AT87" s="91" t="str">
        <f t="shared" si="32"/>
        <v>9.99550793704548E-08+0.0000137968579242912j</v>
      </c>
      <c r="AU87" s="91" t="str">
        <f t="shared" si="33"/>
        <v>5.54746639414713-21.7038911467701j</v>
      </c>
      <c r="AW87" s="91" t="str">
        <f t="shared" si="48"/>
        <v>1.33824348561921-5.26322700923452j</v>
      </c>
      <c r="AX87" s="91">
        <f t="shared" si="34"/>
        <v>14.697109133254514</v>
      </c>
      <c r="AY87" s="91">
        <f t="shared" si="35"/>
        <v>104.26589190551127</v>
      </c>
      <c r="AZ87" s="91" t="str">
        <f t="shared" si="36"/>
        <v>14.3438193712439-58.3716445800051j</v>
      </c>
      <c r="BA87" s="91">
        <f t="shared" si="37"/>
        <v>35.578672457723911</v>
      </c>
      <c r="BB87" s="91">
        <f t="shared" si="38"/>
        <v>103.80589512344906</v>
      </c>
      <c r="BD87" s="91" t="str">
        <f t="shared" si="39"/>
        <v>5.60809365787124-25.0384997268014j</v>
      </c>
      <c r="BE87" s="91">
        <f t="shared" si="40"/>
        <v>28.184747713998696</v>
      </c>
      <c r="BF87" s="91">
        <f t="shared" si="41"/>
        <v>102.62468140481216</v>
      </c>
      <c r="BH87" s="91">
        <f t="shared" si="49"/>
        <v>-27.184747713998696</v>
      </c>
      <c r="BI87" s="112">
        <f t="shared" si="50"/>
        <v>-102.62468140481216</v>
      </c>
      <c r="BJ87" s="95"/>
      <c r="BK87" s="95"/>
      <c r="BL87" s="95"/>
      <c r="BM87" s="95"/>
      <c r="BN87" s="46"/>
      <c r="BO87" s="46"/>
      <c r="BP87" s="46"/>
    </row>
    <row r="88" spans="1:68" s="91" customFormat="1">
      <c r="A88" s="91">
        <v>24</v>
      </c>
      <c r="B88" s="91">
        <f t="shared" si="42"/>
        <v>301.99517204020168</v>
      </c>
      <c r="C88" s="91" t="str">
        <f t="shared" si="0"/>
        <v>1897.49162780217j</v>
      </c>
      <c r="D88" s="91">
        <f t="shared" si="1"/>
        <v>0.99999969850881343</v>
      </c>
      <c r="E88" s="91" t="str">
        <f t="shared" si="2"/>
        <v>-0.000862496194455532j</v>
      </c>
      <c r="F88" s="91" t="str">
        <f t="shared" si="3"/>
        <v>0.999999698508813-0.000862496194455532j</v>
      </c>
      <c r="G88" s="91">
        <f t="shared" si="4"/>
        <v>6.1199645705533072E-7</v>
      </c>
      <c r="H88" s="91">
        <f t="shared" si="5"/>
        <v>-4.9417394433442986E-2</v>
      </c>
      <c r="J88" s="91">
        <f t="shared" si="6"/>
        <v>7.1641791044776131</v>
      </c>
      <c r="K88" s="91" t="str">
        <f t="shared" si="7"/>
        <v>1+0.0471052296601889j</v>
      </c>
      <c r="L88" s="91">
        <f t="shared" si="8"/>
        <v>0.99963713665877008</v>
      </c>
      <c r="M88" s="91" t="str">
        <f t="shared" si="9"/>
        <v>0.00854650053701492j</v>
      </c>
      <c r="N88" s="91" t="str">
        <f t="shared" si="10"/>
        <v>0.99963713665877+0.00854650053701492j</v>
      </c>
      <c r="O88" s="91" t="str">
        <f t="shared" si="11"/>
        <v>1.0006927259105+0.0385668032198848j</v>
      </c>
      <c r="P88" s="91" t="str">
        <f t="shared" si="12"/>
        <v>7.16914191697075+0.276299485754399j</v>
      </c>
      <c r="R88" s="91">
        <f t="shared" si="13"/>
        <v>11.82089552238806</v>
      </c>
      <c r="S88" s="91" t="str">
        <f t="shared" si="14"/>
        <v>1+0.000142311872085163j</v>
      </c>
      <c r="T88" s="91" t="str">
        <f t="shared" si="15"/>
        <v>0.99963713665877+0.00854650053701492j</v>
      </c>
      <c r="U88" s="91" t="str">
        <f t="shared" si="16"/>
        <v>1.00029109522336-0.00840972809244696j</v>
      </c>
      <c r="V88" s="91" t="str">
        <f t="shared" si="17"/>
        <v>11.8243365286105-0.0994105171525073j</v>
      </c>
      <c r="X88" s="91" t="str">
        <f t="shared" si="18"/>
        <v>1.34217760775171+0.0505683622333992j</v>
      </c>
      <c r="Y88" s="91">
        <f t="shared" si="19"/>
        <v>2.5623602524696878</v>
      </c>
      <c r="Z88" s="91">
        <f t="shared" si="20"/>
        <v>-177.84232433636225</v>
      </c>
      <c r="AB88" s="91" t="str">
        <f t="shared" si="21"/>
        <v>11.0681565236356-0.093053099535624j</v>
      </c>
      <c r="AC88" s="91">
        <f t="shared" si="22"/>
        <v>20.881812803129396</v>
      </c>
      <c r="AD88" s="91">
        <f t="shared" si="23"/>
        <v>179.51830964330716</v>
      </c>
      <c r="AF88" s="91" t="str">
        <f t="shared" si="24"/>
        <v>4.72252464949334-0.141690124424817j</v>
      </c>
      <c r="AG88" s="91">
        <f t="shared" si="25"/>
        <v>13.487392354053556</v>
      </c>
      <c r="AH88" s="91">
        <f t="shared" si="26"/>
        <v>178.28146763077046</v>
      </c>
      <c r="AJ88" s="91" t="str">
        <f t="shared" si="27"/>
        <v>46874.9999962916-0.416929312716516j</v>
      </c>
      <c r="AK88" s="91" t="str">
        <f t="shared" si="28"/>
        <v>15000-4.26935616255489E-07j</v>
      </c>
      <c r="AL88" s="91" t="str">
        <f t="shared" si="43"/>
        <v>10000-11711367.7323372j</v>
      </c>
      <c r="AM88" s="91" t="str">
        <f t="shared" si="44"/>
        <v>963.138786101912-3634562.96686085j</v>
      </c>
      <c r="AN88" s="91" t="str">
        <f t="shared" si="45"/>
        <v>10963.1387861019-3634562.96686085j</v>
      </c>
      <c r="AO88" s="91" t="str">
        <f t="shared" si="46"/>
        <v>14999.5578056783-61.9024963525324j</v>
      </c>
      <c r="AP88" s="91" t="str">
        <f t="shared" si="47"/>
        <v>0.242424242427765+1.63351029254489E-06j</v>
      </c>
      <c r="AQ88" s="91" t="str">
        <f t="shared" si="29"/>
        <v>1+0.259576854683337j</v>
      </c>
      <c r="AR88" s="91">
        <f t="shared" si="30"/>
        <v>9.9950745509146708E-8</v>
      </c>
      <c r="AS88" s="91" t="str">
        <f t="shared" si="31"/>
        <v>0.0000144470838059276j</v>
      </c>
      <c r="AT88" s="91" t="str">
        <f t="shared" si="32"/>
        <v>9.99507455091467E-08+0.0000144470838059276j</v>
      </c>
      <c r="AU88" s="91" t="str">
        <f t="shared" si="33"/>
        <v>5.53362545888208-20.727152554286j</v>
      </c>
      <c r="AW88" s="91" t="str">
        <f t="shared" si="48"/>
        <v>1.33488788612167-5.02651655654346j</v>
      </c>
      <c r="AX88" s="91">
        <f t="shared" si="34"/>
        <v>14.321318559272703</v>
      </c>
      <c r="AY88" s="91">
        <f t="shared" si="35"/>
        <v>104.87269455863139</v>
      </c>
      <c r="AZ88" s="91" t="str">
        <f t="shared" si="36"/>
        <v>14.3070151196461-55.7584874718048j</v>
      </c>
      <c r="BA88" s="91">
        <f t="shared" si="37"/>
        <v>35.203131362402061</v>
      </c>
      <c r="BB88" s="91">
        <f t="shared" si="38"/>
        <v>104.39100420193853</v>
      </c>
      <c r="BD88" s="91" t="str">
        <f t="shared" si="39"/>
        <v>5.59183319019956-23.9269887700405j</v>
      </c>
      <c r="BE88" s="91">
        <f t="shared" si="40"/>
        <v>27.808710913326205</v>
      </c>
      <c r="BF88" s="91">
        <f t="shared" si="41"/>
        <v>103.15416218940184</v>
      </c>
      <c r="BH88" s="91">
        <f t="shared" si="49"/>
        <v>-26.808710913326205</v>
      </c>
      <c r="BI88" s="112">
        <f t="shared" si="50"/>
        <v>-103.15416218940184</v>
      </c>
      <c r="BJ88" s="95"/>
      <c r="BK88" s="95"/>
      <c r="BL88" s="95"/>
      <c r="BM88" s="95"/>
      <c r="BN88" s="46"/>
      <c r="BO88" s="46"/>
      <c r="BP88" s="46"/>
    </row>
    <row r="89" spans="1:68" s="91" customFormat="1">
      <c r="A89" s="91">
        <v>25</v>
      </c>
      <c r="B89" s="91">
        <f t="shared" si="42"/>
        <v>316.22776601683796</v>
      </c>
      <c r="C89" s="91" t="str">
        <f t="shared" si="0"/>
        <v>1986.91765315922j</v>
      </c>
      <c r="D89" s="91">
        <f t="shared" si="1"/>
        <v>0.99999966942148766</v>
      </c>
      <c r="E89" s="91" t="str">
        <f t="shared" si="2"/>
        <v>-0.000903144387799645j</v>
      </c>
      <c r="F89" s="91" t="str">
        <f t="shared" si="3"/>
        <v>0.999999669421488-0.000903144387799645j</v>
      </c>
      <c r="G89" s="91">
        <f t="shared" si="4"/>
        <v>6.7104081748206959E-7</v>
      </c>
      <c r="H89" s="91">
        <f t="shared" si="5"/>
        <v>-5.1746364748765442E-2</v>
      </c>
      <c r="J89" s="91">
        <f t="shared" si="6"/>
        <v>7.1641791044776131</v>
      </c>
      <c r="K89" s="91" t="str">
        <f t="shared" si="7"/>
        <v>1+0.0493252307396776j</v>
      </c>
      <c r="L89" s="91">
        <f t="shared" si="8"/>
        <v>0.99960212825816175</v>
      </c>
      <c r="M89" s="91" t="str">
        <f t="shared" si="9"/>
        <v>0.00894928469824065j</v>
      </c>
      <c r="N89" s="91" t="str">
        <f t="shared" si="10"/>
        <v>0.999602128258162+0.00894928469824065j</v>
      </c>
      <c r="O89" s="91" t="str">
        <f t="shared" si="11"/>
        <v>1.00075959276119+0.0403852163659423j</v>
      </c>
      <c r="P89" s="91" t="str">
        <f t="shared" si="12"/>
        <v>7.16962096306524+0.289326923218691j</v>
      </c>
      <c r="R89" s="91">
        <f t="shared" si="13"/>
        <v>11.82089552238806</v>
      </c>
      <c r="S89" s="91" t="str">
        <f t="shared" si="14"/>
        <v>1+0.000149018823986941j</v>
      </c>
      <c r="T89" s="91" t="str">
        <f t="shared" si="15"/>
        <v>0.999602128258162+0.00894928469824065j</v>
      </c>
      <c r="U89" s="91" t="str">
        <f t="shared" si="16"/>
        <v>1.00031918573114-0.00880662626596541j</v>
      </c>
      <c r="V89" s="91" t="str">
        <f t="shared" si="17"/>
        <v>11.8246685835681-0.104102208994696j</v>
      </c>
      <c r="X89" s="91" t="str">
        <f t="shared" si="18"/>
        <v>1.34227155600433+0.0529525871812396j</v>
      </c>
      <c r="Y89" s="91">
        <f t="shared" si="19"/>
        <v>2.5635614188429585</v>
      </c>
      <c r="Z89" s="91">
        <f t="shared" si="20"/>
        <v>-177.74085407972058</v>
      </c>
      <c r="AB89" s="91" t="str">
        <f t="shared" si="21"/>
        <v>11.0684673432943-0.0974447522549424j</v>
      </c>
      <c r="AC89" s="91">
        <f t="shared" si="22"/>
        <v>20.882086357327839</v>
      </c>
      <c r="AD89" s="91">
        <f t="shared" si="23"/>
        <v>179.49559151885074</v>
      </c>
      <c r="AF89" s="91" t="str">
        <f t="shared" si="24"/>
        <v>4.72217294597902-0.148358556449611j</v>
      </c>
      <c r="AG89" s="91">
        <f t="shared" si="25"/>
        <v>13.487122386595418</v>
      </c>
      <c r="AH89" s="91">
        <f t="shared" si="26"/>
        <v>178.20050554473056</v>
      </c>
      <c r="AJ89" s="91" t="str">
        <f t="shared" si="27"/>
        <v>46874.9999959338-0.436578585861372j</v>
      </c>
      <c r="AK89" s="91" t="str">
        <f t="shared" si="28"/>
        <v>15000-4.47056471960824E-07j</v>
      </c>
      <c r="AL89" s="91" t="str">
        <f t="shared" si="43"/>
        <v>10000-11184269.3565527j</v>
      </c>
      <c r="AM89" s="91" t="str">
        <f t="shared" si="44"/>
        <v>963.138753878868-3470980.73903692j</v>
      </c>
      <c r="AN89" s="91" t="str">
        <f t="shared" si="45"/>
        <v>10963.1387538789-3470980.73903692j</v>
      </c>
      <c r="AO89" s="91" t="str">
        <f t="shared" si="46"/>
        <v>14999.5151459699-64.8195510533609j</v>
      </c>
      <c r="AP89" s="91" t="str">
        <f t="shared" si="47"/>
        <v>0.242424242428105+1.71049526085796E-06j</v>
      </c>
      <c r="AQ89" s="91" t="str">
        <f t="shared" si="29"/>
        <v>1+0.271810334952181j</v>
      </c>
      <c r="AR89" s="91">
        <f t="shared" si="30"/>
        <v>9.9945993524717232E-8</v>
      </c>
      <c r="AS89" s="91" t="str">
        <f t="shared" si="31"/>
        <v>0.0000151279538892706j</v>
      </c>
      <c r="AT89" s="91" t="str">
        <f t="shared" si="32"/>
        <v>9.99459935247172E-08+0.0000151279538892706j</v>
      </c>
      <c r="AU89" s="91" t="str">
        <f t="shared" si="33"/>
        <v>5.52100226433321-19.7943621546745j</v>
      </c>
      <c r="AW89" s="91" t="str">
        <f t="shared" si="48"/>
        <v>1.33182748077168-4.80046392799695j</v>
      </c>
      <c r="AX89" s="91">
        <f t="shared" si="34"/>
        <v>13.947706013734052</v>
      </c>
      <c r="AY89" s="91">
        <f t="shared" si="35"/>
        <v>105.50599589024877</v>
      </c>
      <c r="AZ89" s="91" t="str">
        <f t="shared" si="36"/>
        <v>14.2735089596509-53.2635578186068j</v>
      </c>
      <c r="BA89" s="91">
        <f t="shared" si="37"/>
        <v>34.82979237106192</v>
      </c>
      <c r="BB89" s="91">
        <f t="shared" si="38"/>
        <v>105.00158740909956</v>
      </c>
      <c r="BD89" s="91" t="str">
        <f t="shared" si="39"/>
        <v>5.5769297997654-22.8662088914226j</v>
      </c>
      <c r="BE89" s="91">
        <f t="shared" si="40"/>
        <v>27.434828400329479</v>
      </c>
      <c r="BF89" s="91">
        <f t="shared" si="41"/>
        <v>103.70650143497942</v>
      </c>
      <c r="BH89" s="91">
        <f t="shared" si="49"/>
        <v>-26.434828400329479</v>
      </c>
      <c r="BI89" s="112">
        <f t="shared" si="50"/>
        <v>-103.70650143497942</v>
      </c>
      <c r="BJ89" s="95"/>
      <c r="BK89" s="95"/>
      <c r="BL89" s="95"/>
      <c r="BM89" s="95"/>
      <c r="BN89" s="46"/>
      <c r="BO89" s="46"/>
      <c r="BP89" s="46"/>
    </row>
    <row r="90" spans="1:68" s="91" customFormat="1">
      <c r="A90" s="91">
        <v>26</v>
      </c>
      <c r="B90" s="91">
        <f t="shared" si="42"/>
        <v>331.13112148259114</v>
      </c>
      <c r="C90" s="91" t="str">
        <f t="shared" si="0"/>
        <v>2080.55819724932j</v>
      </c>
      <c r="D90" s="91">
        <f t="shared" si="1"/>
        <v>0.99999963752786902</v>
      </c>
      <c r="E90" s="91" t="str">
        <f t="shared" si="2"/>
        <v>-0.000945708271476964j</v>
      </c>
      <c r="F90" s="91" t="str">
        <f t="shared" si="3"/>
        <v>0.999999637527869-0.000945708271476964j</v>
      </c>
      <c r="G90" s="91">
        <f t="shared" si="4"/>
        <v>7.3578166766642191E-7</v>
      </c>
      <c r="H90" s="91">
        <f t="shared" si="5"/>
        <v>-5.418509609309205E-2</v>
      </c>
      <c r="J90" s="91">
        <f t="shared" si="6"/>
        <v>7.1641791044776131</v>
      </c>
      <c r="K90" s="91" t="str">
        <f t="shared" si="7"/>
        <v>1+0.0516498572467144j</v>
      </c>
      <c r="L90" s="91">
        <f t="shared" si="8"/>
        <v>0.99956374231021283</v>
      </c>
      <c r="M90" s="91" t="str">
        <f t="shared" si="9"/>
        <v>0.00937105149216289j</v>
      </c>
      <c r="N90" s="91" t="str">
        <f t="shared" si="10"/>
        <v>0.999563742310213+0.00937105149216289j</v>
      </c>
      <c r="O90" s="91" t="str">
        <f t="shared" si="11"/>
        <v>1.00083291766572+0.0422894495377751j</v>
      </c>
      <c r="P90" s="91" t="str">
        <f t="shared" si="12"/>
        <v>7.17014627581411+0.302969190718389j</v>
      </c>
      <c r="R90" s="91">
        <f t="shared" si="13"/>
        <v>11.82089552238806</v>
      </c>
      <c r="S90" s="91" t="str">
        <f t="shared" si="14"/>
        <v>1+0.000156041864793699j</v>
      </c>
      <c r="T90" s="91" t="str">
        <f t="shared" si="15"/>
        <v>0.999563742310213+0.00937105149216289j</v>
      </c>
      <c r="U90" s="91" t="str">
        <f t="shared" si="16"/>
        <v>1.00034998760753-0.00922231268408705j</v>
      </c>
      <c r="V90" s="91" t="str">
        <f t="shared" si="17"/>
        <v>11.8250326893308-0.109015994713387j</v>
      </c>
      <c r="X90" s="91" t="str">
        <f t="shared" si="18"/>
        <v>1.34237457761035+0.0554493270375214j</v>
      </c>
      <c r="Y90" s="91">
        <f t="shared" si="19"/>
        <v>2.5648782514932629</v>
      </c>
      <c r="Z90" s="91">
        <f t="shared" si="20"/>
        <v>-177.63463389382997</v>
      </c>
      <c r="AB90" s="91" t="str">
        <f t="shared" si="21"/>
        <v>11.0688081640721-0.102044295690338j</v>
      </c>
      <c r="AC90" s="91">
        <f t="shared" si="22"/>
        <v>20.882386311101438</v>
      </c>
      <c r="AD90" s="91">
        <f t="shared" si="23"/>
        <v>179.4718002382927</v>
      </c>
      <c r="AF90" s="91" t="str">
        <f t="shared" si="24"/>
        <v>4.72178735929074-0.15533989766423j</v>
      </c>
      <c r="AG90" s="91">
        <f t="shared" si="25"/>
        <v>13.486826390882747</v>
      </c>
      <c r="AH90" s="91">
        <f t="shared" si="26"/>
        <v>178.1157322528671</v>
      </c>
      <c r="AJ90" s="91" t="str">
        <f t="shared" si="27"/>
        <v>46874.9999955415-0.457153900719309j</v>
      </c>
      <c r="AK90" s="91" t="str">
        <f t="shared" si="28"/>
        <v>15000-4.68125594381097E-07j</v>
      </c>
      <c r="AL90" s="91" t="str">
        <f t="shared" si="43"/>
        <v>10000-10680894.3155745j</v>
      </c>
      <c r="AM90" s="91" t="str">
        <f t="shared" si="44"/>
        <v>963.138718547002-3314760.92672296j</v>
      </c>
      <c r="AN90" s="91" t="str">
        <f t="shared" si="45"/>
        <v>10963.138718547-3314760.92672296j</v>
      </c>
      <c r="AO90" s="91" t="str">
        <f t="shared" si="46"/>
        <v>14999.4683710155-67.8740348906694j</v>
      </c>
      <c r="AP90" s="91" t="str">
        <f t="shared" si="47"/>
        <v>0.242424242428477+1.79110841894926E-06j</v>
      </c>
      <c r="AQ90" s="91" t="str">
        <f t="shared" si="29"/>
        <v>1+0.284620361383707j</v>
      </c>
      <c r="AR90" s="91">
        <f t="shared" si="30"/>
        <v>9.9940783077401899E-8</v>
      </c>
      <c r="AS90" s="91" t="str">
        <f t="shared" si="31"/>
        <v>0.0000158409123910529j</v>
      </c>
      <c r="AT90" s="91" t="str">
        <f t="shared" si="32"/>
        <v>9.99407830774019E-08+0.0000158409123910529j</v>
      </c>
      <c r="AU90" s="91" t="str">
        <f t="shared" si="33"/>
        <v>5.50948968128412-18.9035435519502j</v>
      </c>
      <c r="AW90" s="91" t="str">
        <f t="shared" si="48"/>
        <v>1.3290362968385-4.58459016354237j</v>
      </c>
      <c r="AX90" s="91">
        <f t="shared" si="34"/>
        <v>13.576453055362705</v>
      </c>
      <c r="AY90" s="91">
        <f t="shared" si="35"/>
        <v>106.16645422923298</v>
      </c>
      <c r="AZ90" s="91" t="str">
        <f t="shared" si="36"/>
        <v>14.2430165385267-50.8815696040004j</v>
      </c>
      <c r="BA90" s="91">
        <f t="shared" si="37"/>
        <v>34.458839366464176</v>
      </c>
      <c r="BB90" s="91">
        <f t="shared" si="38"/>
        <v>105.63825446752574</v>
      </c>
      <c r="BD90" s="91" t="str">
        <f t="shared" si="39"/>
        <v>5.56325701961354-21.8539122440861j</v>
      </c>
      <c r="BE90" s="91">
        <f t="shared" si="40"/>
        <v>27.063279446245506</v>
      </c>
      <c r="BF90" s="91">
        <f t="shared" si="41"/>
        <v>104.2821864821001</v>
      </c>
      <c r="BH90" s="91">
        <f t="shared" si="49"/>
        <v>-26.063279446245506</v>
      </c>
      <c r="BI90" s="112">
        <f t="shared" si="50"/>
        <v>-104.2821864821001</v>
      </c>
      <c r="BJ90" s="95"/>
      <c r="BK90" s="95"/>
      <c r="BL90" s="95"/>
      <c r="BM90" s="95"/>
      <c r="BN90" s="46"/>
      <c r="BO90" s="46"/>
      <c r="BP90" s="46"/>
    </row>
    <row r="91" spans="1:68" s="91" customFormat="1">
      <c r="A91" s="91">
        <v>27</v>
      </c>
      <c r="B91" s="91">
        <f t="shared" si="42"/>
        <v>346.73685045253171</v>
      </c>
      <c r="C91" s="91" t="str">
        <f t="shared" si="0"/>
        <v>2178.61188422107j</v>
      </c>
      <c r="D91" s="91">
        <f t="shared" si="1"/>
        <v>0.99999960255721165</v>
      </c>
      <c r="E91" s="91" t="str">
        <f t="shared" si="2"/>
        <v>-0.000990278129191395j</v>
      </c>
      <c r="F91" s="91" t="str">
        <f t="shared" si="3"/>
        <v>0.999999602557212-0.000990278129191395j</v>
      </c>
      <c r="G91" s="91">
        <f t="shared" si="4"/>
        <v>8.0676861044030181E-7</v>
      </c>
      <c r="H91" s="91">
        <f t="shared" si="5"/>
        <v>-5.6738761350216729E-2</v>
      </c>
      <c r="J91" s="91">
        <f t="shared" si="6"/>
        <v>7.1641791044776131</v>
      </c>
      <c r="K91" s="91" t="str">
        <f t="shared" si="7"/>
        <v>1+0.054084040025788j</v>
      </c>
      <c r="L91" s="91">
        <f t="shared" si="8"/>
        <v>0.99952165295524853</v>
      </c>
      <c r="M91" s="91" t="str">
        <f t="shared" si="9"/>
        <v>0.00981269554269871j</v>
      </c>
      <c r="N91" s="91" t="str">
        <f t="shared" si="10"/>
        <v>0.999521652955249+0.00981269554269871j</v>
      </c>
      <c r="O91" s="91" t="str">
        <f t="shared" si="11"/>
        <v>1.0009133250741+0.0442835652147572j</v>
      </c>
      <c r="P91" s="91" t="str">
        <f t="shared" si="12"/>
        <v>7.17072232888908+0.317255392583335j</v>
      </c>
      <c r="R91" s="91">
        <f t="shared" si="13"/>
        <v>11.82089552238806</v>
      </c>
      <c r="S91" s="91" t="str">
        <f t="shared" si="14"/>
        <v>1+0.00016339589131658j</v>
      </c>
      <c r="T91" s="91" t="str">
        <f t="shared" si="15"/>
        <v>0.999521652955249+0.00981269554269871j</v>
      </c>
      <c r="U91" s="91" t="str">
        <f t="shared" si="16"/>
        <v>1.00038376269274-0.00965768512298437j</v>
      </c>
      <c r="V91" s="91" t="str">
        <f t="shared" si="17"/>
        <v>11.8254319410843-0.11416248682692j</v>
      </c>
      <c r="X91" s="91" t="str">
        <f t="shared" si="18"/>
        <v>1.3424875498522+0.0580639066663568j</v>
      </c>
      <c r="Y91" s="91">
        <f t="shared" si="19"/>
        <v>2.5663218653071196</v>
      </c>
      <c r="Z91" s="91">
        <f t="shared" si="20"/>
        <v>-177.52344467872555</v>
      </c>
      <c r="AB91" s="91" t="str">
        <f t="shared" si="21"/>
        <v>11.069181883214-0.106861663677321j</v>
      </c>
      <c r="AC91" s="91">
        <f t="shared" si="22"/>
        <v>20.882715212962928</v>
      </c>
      <c r="AD91" s="91">
        <f t="shared" si="23"/>
        <v>179.4468848570317</v>
      </c>
      <c r="AF91" s="91" t="str">
        <f t="shared" si="24"/>
        <v>4.72136463024887-0.162648693236371j</v>
      </c>
      <c r="AG91" s="91">
        <f t="shared" si="25"/>
        <v>13.486501859337736</v>
      </c>
      <c r="AH91" s="91">
        <f t="shared" si="26"/>
        <v>178.02696879272565</v>
      </c>
      <c r="AJ91" s="91" t="str">
        <f t="shared" si="27"/>
        <v>46874.9999951114-0.478698900291622j</v>
      </c>
      <c r="AK91" s="91" t="str">
        <f t="shared" si="28"/>
        <v>15000-4.90187673949742E-07j</v>
      </c>
      <c r="AL91" s="91" t="str">
        <f t="shared" si="43"/>
        <v>10000-10200174.8834522j</v>
      </c>
      <c r="AM91" s="91" t="str">
        <f t="shared" si="44"/>
        <v>963.138679806378-3165572.16675235j</v>
      </c>
      <c r="AN91" s="91" t="str">
        <f t="shared" si="45"/>
        <v>10963.1386798064-3165572.16675235j</v>
      </c>
      <c r="AO91" s="91" t="str">
        <f t="shared" si="46"/>
        <v>14999.4170838821-71.072417676233j</v>
      </c>
      <c r="AP91" s="91" t="str">
        <f t="shared" si="47"/>
        <v>0.242424242428886+1.87552075813507E-06j</v>
      </c>
      <c r="AQ91" s="91" t="str">
        <f t="shared" si="29"/>
        <v>1+0.298034105761442j</v>
      </c>
      <c r="AR91" s="91">
        <f t="shared" si="30"/>
        <v>9.9935069935528488E-8</v>
      </c>
      <c r="AS91" s="91" t="str">
        <f t="shared" si="31"/>
        <v>0.0000165874715918447j</v>
      </c>
      <c r="AT91" s="91" t="str">
        <f t="shared" si="32"/>
        <v>9.99350699355285E-08+0.0000165874715918447j</v>
      </c>
      <c r="AU91" s="91" t="str">
        <f t="shared" si="33"/>
        <v>5.49899000357109-18.0528090969961j</v>
      </c>
      <c r="AW91" s="91" t="str">
        <f t="shared" si="48"/>
        <v>1.32649064581724-4.3784378257543j</v>
      </c>
      <c r="AX91" s="91">
        <f t="shared" si="34"/>
        <v>13.207753542222218</v>
      </c>
      <c r="AY91" s="91">
        <f t="shared" si="35"/>
        <v>106.854698884539</v>
      </c>
      <c r="AZ91" s="91" t="str">
        <f t="shared" si="36"/>
        <v>14.2152790745652-48.6074756548827j</v>
      </c>
      <c r="BA91" s="91">
        <f t="shared" si="37"/>
        <v>34.090468755185121</v>
      </c>
      <c r="BB91" s="91">
        <f t="shared" si="38"/>
        <v>106.30158374157074</v>
      </c>
      <c r="BD91" s="91" t="str">
        <f t="shared" si="39"/>
        <v>5.55069882674186-20.8879534563925j</v>
      </c>
      <c r="BE91" s="91">
        <f t="shared" si="40"/>
        <v>26.694255401559928</v>
      </c>
      <c r="BF91" s="91">
        <f t="shared" si="41"/>
        <v>104.88166767726469</v>
      </c>
      <c r="BH91" s="91">
        <f t="shared" si="49"/>
        <v>-25.694255401559928</v>
      </c>
      <c r="BI91" s="112">
        <f t="shared" si="50"/>
        <v>-104.88166767726469</v>
      </c>
      <c r="BJ91" s="95"/>
      <c r="BK91" s="95"/>
      <c r="BL91" s="95"/>
      <c r="BM91" s="95"/>
      <c r="BN91" s="46"/>
      <c r="BO91" s="46"/>
      <c r="BP91" s="46"/>
    </row>
    <row r="92" spans="1:68" s="91" customFormat="1">
      <c r="A92" s="91">
        <v>28</v>
      </c>
      <c r="B92" s="91">
        <f t="shared" si="42"/>
        <v>363.0780547701014</v>
      </c>
      <c r="C92" s="91" t="str">
        <f t="shared" si="0"/>
        <v>2281.28669909085j</v>
      </c>
      <c r="D92" s="91">
        <f t="shared" si="1"/>
        <v>0.99999956421264846</v>
      </c>
      <c r="E92" s="91" t="str">
        <f t="shared" si="2"/>
        <v>-0.00103694849958675j</v>
      </c>
      <c r="F92" s="91" t="str">
        <f t="shared" si="3"/>
        <v>0.999999564212648-0.00103694849958675j</v>
      </c>
      <c r="G92" s="91">
        <f t="shared" si="4"/>
        <v>8.8460424996575565E-7</v>
      </c>
      <c r="H92" s="91">
        <f t="shared" si="5"/>
        <v>-5.9412777195306646E-2</v>
      </c>
      <c r="J92" s="91">
        <f t="shared" si="6"/>
        <v>7.1641791044776131</v>
      </c>
      <c r="K92" s="91" t="str">
        <f t="shared" si="7"/>
        <v>1+0.0566329423049303j</v>
      </c>
      <c r="L92" s="91">
        <f t="shared" si="8"/>
        <v>0.99947550289524045</v>
      </c>
      <c r="M92" s="91" t="str">
        <f t="shared" si="9"/>
        <v>0.0102751536360917j</v>
      </c>
      <c r="N92" s="91" t="str">
        <f t="shared" si="10"/>
        <v>0.99947550289524+0.0102751536360917j</v>
      </c>
      <c r="O92" s="91" t="str">
        <f t="shared" si="11"/>
        <v>1.00100149996335+0.0463718199881748j</v>
      </c>
      <c r="P92" s="91" t="str">
        <f t="shared" si="12"/>
        <v>7.17135402958818+0.332216023795879j</v>
      </c>
      <c r="R92" s="91">
        <f t="shared" si="13"/>
        <v>11.82089552238806</v>
      </c>
      <c r="S92" s="91" t="str">
        <f t="shared" si="14"/>
        <v>1+0.000171096502431814j</v>
      </c>
      <c r="T92" s="91" t="str">
        <f t="shared" si="15"/>
        <v>0.99947550289524+0.0102751536360917j</v>
      </c>
      <c r="U92" s="91" t="str">
        <f t="shared" si="16"/>
        <v>1.00042079813985-0.0101136854979587j</v>
      </c>
      <c r="V92" s="91" t="str">
        <f t="shared" si="17"/>
        <v>11.8258697332352-0.119552819617661j</v>
      </c>
      <c r="X92" s="91" t="str">
        <f t="shared" si="18"/>
        <v>1.34261143503597+0.0608019051737658j</v>
      </c>
      <c r="Y92" s="91">
        <f t="shared" si="19"/>
        <v>2.5679044385780134</v>
      </c>
      <c r="Z92" s="91">
        <f t="shared" si="20"/>
        <v>-177.40705770933954</v>
      </c>
      <c r="AB92" s="91" t="str">
        <f t="shared" si="21"/>
        <v>11.0695916780502-0.111907278448014j</v>
      </c>
      <c r="AC92" s="91">
        <f t="shared" si="22"/>
        <v>20.883075857610137</v>
      </c>
      <c r="AD92" s="91">
        <f t="shared" si="23"/>
        <v>179.42079197487246</v>
      </c>
      <c r="AF92" s="91" t="str">
        <f t="shared" si="24"/>
        <v>4.72090118721403-0.170300144019229j</v>
      </c>
      <c r="AG92" s="91">
        <f t="shared" si="25"/>
        <v>13.486146043179247</v>
      </c>
      <c r="AH92" s="91">
        <f t="shared" si="26"/>
        <v>177.93402786435425</v>
      </c>
      <c r="AJ92" s="91" t="str">
        <f t="shared" si="27"/>
        <v>46874.9999946398-0.501259284410886j</v>
      </c>
      <c r="AK92" s="91" t="str">
        <f t="shared" si="28"/>
        <v>15000-5.13289507295442E-07j</v>
      </c>
      <c r="AL92" s="91" t="str">
        <f t="shared" si="43"/>
        <v>10000-9741091.38981891j</v>
      </c>
      <c r="AM92" s="91" t="str">
        <f t="shared" si="44"/>
        <v>963.138637328134-3023098.00976304j</v>
      </c>
      <c r="AN92" s="91" t="str">
        <f t="shared" si="45"/>
        <v>10963.1386373281-3023098.00976304j</v>
      </c>
      <c r="AO92" s="91" t="str">
        <f t="shared" si="46"/>
        <v>14999.3608493607-74.4214730943054j</v>
      </c>
      <c r="AP92" s="91" t="str">
        <f t="shared" si="47"/>
        <v>0.242424242429334+1.96391132830414E-06j</v>
      </c>
      <c r="AQ92" s="91" t="str">
        <f t="shared" si="29"/>
        <v>1+0.312080020435628j</v>
      </c>
      <c r="AR92" s="91">
        <f t="shared" si="30"/>
        <v>9.9928805600032821E-8</v>
      </c>
      <c r="AS92" s="91" t="str">
        <f t="shared" si="31"/>
        <v>0.0000173692150438039j</v>
      </c>
      <c r="AT92" s="91" t="str">
        <f t="shared" si="32"/>
        <v>9.99288056000328E-08+0.0000173692150438039j</v>
      </c>
      <c r="AU92" s="91" t="str">
        <f t="shared" si="33"/>
        <v>5.48941411948788-17.2403559198502j</v>
      </c>
      <c r="AW92" s="91" t="str">
        <f t="shared" si="48"/>
        <v>1.32416892253898-4.18157003833448j</v>
      </c>
      <c r="AX92" s="91">
        <f t="shared" si="34"/>
        <v>12.84181395770802</v>
      </c>
      <c r="AY92" s="91">
        <f t="shared" si="35"/>
        <v>107.57132200401664</v>
      </c>
      <c r="AZ92" s="91" t="str">
        <f t="shared" si="36"/>
        <v>14.1900611626404-46.4364570378581j</v>
      </c>
      <c r="BA92" s="91">
        <f t="shared" si="37"/>
        <v>33.724889815318136</v>
      </c>
      <c r="BB92" s="91">
        <f t="shared" si="38"/>
        <v>106.99211397888911</v>
      </c>
      <c r="BD92" s="91" t="str">
        <f t="shared" si="39"/>
        <v>5.53914865873132-19.966285116606j</v>
      </c>
      <c r="BE92" s="91">
        <f t="shared" si="40"/>
        <v>26.327960000887245</v>
      </c>
      <c r="BF92" s="91">
        <f t="shared" si="41"/>
        <v>105.50534986837086</v>
      </c>
      <c r="BH92" s="91">
        <f t="shared" si="49"/>
        <v>-25.327960000887245</v>
      </c>
      <c r="BI92" s="112">
        <f t="shared" si="50"/>
        <v>-105.50534986837086</v>
      </c>
      <c r="BJ92" s="95"/>
      <c r="BK92" s="95"/>
      <c r="BL92" s="95"/>
      <c r="BM92" s="95"/>
      <c r="BN92" s="46"/>
      <c r="BO92" s="46"/>
      <c r="BP92" s="46"/>
    </row>
    <row r="93" spans="1:68" s="91" customFormat="1">
      <c r="A93" s="91">
        <v>29</v>
      </c>
      <c r="B93" s="91">
        <f t="shared" si="42"/>
        <v>380.18939632056117</v>
      </c>
      <c r="C93" s="91" t="str">
        <f t="shared" si="0"/>
        <v>2388.80042890683j</v>
      </c>
      <c r="D93" s="91">
        <f t="shared" si="1"/>
        <v>0.99999952216867083</v>
      </c>
      <c r="E93" s="91" t="str">
        <f t="shared" si="2"/>
        <v>-0.00108581837677583j</v>
      </c>
      <c r="F93" s="91" t="str">
        <f t="shared" si="3"/>
        <v>0.999999522168671-0.00108581837677583j</v>
      </c>
      <c r="G93" s="91">
        <f t="shared" si="4"/>
        <v>9.6994935473691645E-7</v>
      </c>
      <c r="H93" s="91">
        <f t="shared" si="5"/>
        <v>-6.2212815584560655E-2</v>
      </c>
      <c r="J93" s="91">
        <f t="shared" si="6"/>
        <v>7.1641791044776131</v>
      </c>
      <c r="K93" s="91" t="str">
        <f t="shared" si="7"/>
        <v>1+0.059301970647612j</v>
      </c>
      <c r="L93" s="91">
        <f t="shared" si="8"/>
        <v>0.99942490036069098</v>
      </c>
      <c r="M93" s="91" t="str">
        <f t="shared" si="9"/>
        <v>0.0107594067079606j</v>
      </c>
      <c r="N93" s="91" t="str">
        <f t="shared" si="10"/>
        <v>0.999424900360691+0.0107594067079606j</v>
      </c>
      <c r="O93" s="91" t="str">
        <f t="shared" si="11"/>
        <v>1.001098193734+0.0485586741025849j</v>
      </c>
      <c r="P93" s="91" t="str">
        <f t="shared" si="12"/>
        <v>7.1720467610794+0.347883038346877j</v>
      </c>
      <c r="R93" s="91">
        <f t="shared" si="13"/>
        <v>11.82089552238806</v>
      </c>
      <c r="S93" s="91" t="str">
        <f t="shared" si="14"/>
        <v>1+0.000179160032168012j</v>
      </c>
      <c r="T93" s="91" t="str">
        <f t="shared" si="15"/>
        <v>0.999424900360691+0.0107594067079606j</v>
      </c>
      <c r="U93" s="91" t="str">
        <f t="shared" si="16"/>
        <v>1.00046140886728-0.0105913022155383j</v>
      </c>
      <c r="V93" s="91" t="str">
        <f t="shared" si="17"/>
        <v>11.8263497884013-0.125198676935915j</v>
      </c>
      <c r="X93" s="91" t="str">
        <f t="shared" si="18"/>
        <v>1.34274728877242+0.0636691683769163j</v>
      </c>
      <c r="Y93" s="91">
        <f t="shared" si="19"/>
        <v>2.5696393138077123</v>
      </c>
      <c r="Z93" s="91">
        <f t="shared" si="20"/>
        <v>-177.28523428466116</v>
      </c>
      <c r="AB93" s="91" t="str">
        <f t="shared" si="21"/>
        <v>11.0700410331328-0.117192076656975j</v>
      </c>
      <c r="AC93" s="91">
        <f t="shared" si="22"/>
        <v>20.883471309740365</v>
      </c>
      <c r="AD93" s="91">
        <f t="shared" si="23"/>
        <v>179.39346561217948</v>
      </c>
      <c r="AF93" s="91" t="str">
        <f t="shared" si="24"/>
        <v>4.72039311634093-0.178310133059811j</v>
      </c>
      <c r="AG93" s="91">
        <f t="shared" si="25"/>
        <v>13.485755929298078</v>
      </c>
      <c r="AH93" s="91">
        <f t="shared" si="26"/>
        <v>177.83671345165845</v>
      </c>
      <c r="AJ93" s="91" t="str">
        <f t="shared" si="27"/>
        <v>46874.9999941226-0.524882906676413j</v>
      </c>
      <c r="AK93" s="91" t="str">
        <f t="shared" si="28"/>
        <v>15000-5.37480096504037E-07j</v>
      </c>
      <c r="AL93" s="91" t="str">
        <f t="shared" si="43"/>
        <v>10000-9302670.05703431j</v>
      </c>
      <c r="AM93" s="91" t="str">
        <f t="shared" si="44"/>
        <v>963.138590751671-2887036.24896626j</v>
      </c>
      <c r="AN93" s="91" t="str">
        <f t="shared" si="45"/>
        <v>10963.1385907517-2887036.24896626j</v>
      </c>
      <c r="AO93" s="91" t="str">
        <f t="shared" si="46"/>
        <v>14999.2991902783-77.9282928686159j</v>
      </c>
      <c r="AP93" s="91" t="str">
        <f t="shared" si="47"/>
        <v>0.242424242429825+0.0000020564676177065j</v>
      </c>
      <c r="AQ93" s="91" t="str">
        <f t="shared" si="29"/>
        <v>1+0.326787898674454j</v>
      </c>
      <c r="AR93" s="91">
        <f t="shared" si="30"/>
        <v>9.9921936892748486E-8</v>
      </c>
      <c r="AS93" s="91" t="str">
        <f t="shared" si="31"/>
        <v>0.0000181878009296022j</v>
      </c>
      <c r="AT93" s="91" t="str">
        <f t="shared" si="32"/>
        <v>9.99219368927485E-08+0.0000181878009296022j</v>
      </c>
      <c r="AU93" s="91" t="str">
        <f t="shared" si="33"/>
        <v>5.48068075600809-16.4644621371451j</v>
      </c>
      <c r="AW93" s="91" t="str">
        <f t="shared" si="48"/>
        <v>1.32205142193208-3.99356956709158j</v>
      </c>
      <c r="AX93" s="91">
        <f t="shared" si="34"/>
        <v>12.478853643465985</v>
      </c>
      <c r="AY93" s="91">
        <f t="shared" si="35"/>
        <v>108.31686965589547</v>
      </c>
      <c r="AZ93" s="91" t="str">
        <f t="shared" si="36"/>
        <v>14.1671487778582-44.3639129279579j</v>
      </c>
      <c r="BA93" s="91">
        <f t="shared" si="37"/>
        <v>33.362324953206382</v>
      </c>
      <c r="BB93" s="91">
        <f t="shared" si="38"/>
        <v>107.71033526807497</v>
      </c>
      <c r="BD93" s="91" t="str">
        <f t="shared" si="39"/>
        <v>5.52850851064524-19.0869534590844j</v>
      </c>
      <c r="BE93" s="91">
        <f t="shared" si="40"/>
        <v>25.96460957276409</v>
      </c>
      <c r="BF93" s="91">
        <f t="shared" si="41"/>
        <v>106.15358310755397</v>
      </c>
      <c r="BH93" s="91">
        <f t="shared" si="49"/>
        <v>-24.96460957276409</v>
      </c>
      <c r="BI93" s="112">
        <f t="shared" si="50"/>
        <v>-106.15358310755397</v>
      </c>
      <c r="BJ93" s="95"/>
      <c r="BK93" s="95"/>
      <c r="BL93" s="95"/>
      <c r="BM93" s="95"/>
      <c r="BN93" s="46"/>
      <c r="BO93" s="46"/>
      <c r="BP93" s="46"/>
    </row>
    <row r="94" spans="1:68" s="91" customFormat="1">
      <c r="A94" s="91">
        <v>30</v>
      </c>
      <c r="B94" s="91">
        <f t="shared" si="42"/>
        <v>398.10717055349727</v>
      </c>
      <c r="C94" s="91" t="str">
        <f t="shared" si="0"/>
        <v>2501.38112470457j</v>
      </c>
      <c r="D94" s="91">
        <f t="shared" si="1"/>
        <v>0.99999947606836614</v>
      </c>
      <c r="E94" s="91" t="str">
        <f t="shared" si="2"/>
        <v>-0.00113699142032026j</v>
      </c>
      <c r="F94" s="91" t="str">
        <f t="shared" si="3"/>
        <v>0.999999476068366-0.00113699142032026j</v>
      </c>
      <c r="G94" s="91">
        <f t="shared" si="4"/>
        <v>1.0635284101687853E-6</v>
      </c>
      <c r="H94" s="91">
        <f t="shared" si="5"/>
        <v>-6.5144815786384896E-2</v>
      </c>
      <c r="J94" s="91">
        <f t="shared" si="6"/>
        <v>7.1641791044776131</v>
      </c>
      <c r="K94" s="91" t="str">
        <f t="shared" si="7"/>
        <v>1+0.0620967864207909j</v>
      </c>
      <c r="L94" s="91">
        <f t="shared" si="8"/>
        <v>0.9993694157848878</v>
      </c>
      <c r="M94" s="91" t="str">
        <f t="shared" si="9"/>
        <v>0.0112664819239958j</v>
      </c>
      <c r="N94" s="91" t="str">
        <f t="shared" si="10"/>
        <v>0.999369415784888+0.0112664819239958j</v>
      </c>
      <c r="O94" s="91" t="str">
        <f t="shared" si="11"/>
        <v>1.00120423068699+0.0508488015051143j</v>
      </c>
      <c r="P94" s="91" t="str">
        <f t="shared" si="12"/>
        <v>7.17280642880232+0.36428992123067j</v>
      </c>
      <c r="R94" s="91">
        <f t="shared" si="13"/>
        <v>11.82089552238806</v>
      </c>
      <c r="S94" s="91" t="str">
        <f t="shared" si="14"/>
        <v>1+0.000187603584352843j</v>
      </c>
      <c r="T94" s="91" t="str">
        <f t="shared" si="15"/>
        <v>0.999369415784888+0.0112664819239958j</v>
      </c>
      <c r="U94" s="91" t="str">
        <f t="shared" si="16"/>
        <v>1.00050594024997-0.0110915726769748j</v>
      </c>
      <c r="V94" s="91" t="str">
        <f t="shared" si="17"/>
        <v>11.8268761892235-0.131112321793493j</v>
      </c>
      <c r="X94" s="91" t="str">
        <f t="shared" si="18"/>
        <v>1.34289626907257+0.0666718219331938j</v>
      </c>
      <c r="Y94" s="91">
        <f t="shared" si="19"/>
        <v>2.5715411078726094</v>
      </c>
      <c r="Z94" s="91">
        <f t="shared" si="20"/>
        <v>-177.1577253753205</v>
      </c>
      <c r="AB94" s="91" t="str">
        <f t="shared" si="21"/>
        <v>11.0705337700133-0.122727537082217j</v>
      </c>
      <c r="AC94" s="91">
        <f t="shared" si="22"/>
        <v>20.883904930174765</v>
      </c>
      <c r="AD94" s="91">
        <f t="shared" si="23"/>
        <v>179.36484707898609</v>
      </c>
      <c r="AF94" s="91" t="str">
        <f t="shared" si="24"/>
        <v>4.71983612904299-0.186695252711625j</v>
      </c>
      <c r="AG94" s="91">
        <f t="shared" si="25"/>
        <v>13.485328214931048</v>
      </c>
      <c r="AH94" s="91">
        <f t="shared" si="26"/>
        <v>177.73482042801658</v>
      </c>
      <c r="AJ94" s="91" t="str">
        <f t="shared" si="27"/>
        <v>46874.9999935556-0.549619875958158j</v>
      </c>
      <c r="AK94" s="91" t="str">
        <f t="shared" si="28"/>
        <v>15000-5.62810753058529E-07j</v>
      </c>
      <c r="AL94" s="91" t="str">
        <f t="shared" si="43"/>
        <v>10000-8883980.93467134j</v>
      </c>
      <c r="AM94" s="91" t="str">
        <f t="shared" si="44"/>
        <v>963.138539681609-2757098.27912521j</v>
      </c>
      <c r="AN94" s="91" t="str">
        <f t="shared" si="45"/>
        <v>10963.1385396816-2757098.27912521j</v>
      </c>
      <c r="AO94" s="91" t="str">
        <f t="shared" si="46"/>
        <v>14999.2315834539-81.6003015742405j</v>
      </c>
      <c r="AP94" s="91" t="str">
        <f t="shared" si="47"/>
        <v>0.242424242430363+2.15338595064115E-06j</v>
      </c>
      <c r="AQ94" s="91" t="str">
        <f t="shared" si="29"/>
        <v>1+0.342188937859585j</v>
      </c>
      <c r="AR94" s="91">
        <f t="shared" si="30"/>
        <v>9.991440550497553E-8</v>
      </c>
      <c r="AS94" s="91" t="str">
        <f t="shared" si="31"/>
        <v>0.0000190449655796532j</v>
      </c>
      <c r="AT94" s="91" t="str">
        <f t="shared" si="32"/>
        <v>9.99144055049755E-08+0.0000190449655796532j</v>
      </c>
      <c r="AU94" s="91" t="str">
        <f t="shared" si="33"/>
        <v>5.47271578943397-15.7234832272589j</v>
      </c>
      <c r="AW94" s="91" t="str">
        <f t="shared" si="48"/>
        <v>1.32012017188543-3.81403794159716j</v>
      </c>
      <c r="AX94" s="91">
        <f t="shared" si="34"/>
        <v>12.119104917705519</v>
      </c>
      <c r="AY94" s="91">
        <f t="shared" si="35"/>
        <v>109.09183214136017</v>
      </c>
      <c r="AZ94" s="91" t="str">
        <f t="shared" si="36"/>
        <v>14.146347460423-42.3854509299113j</v>
      </c>
      <c r="BA94" s="91">
        <f t="shared" si="37"/>
        <v>33.00300984788025</v>
      </c>
      <c r="BB94" s="91">
        <f t="shared" si="38"/>
        <v>108.45667922034622</v>
      </c>
      <c r="BD94" s="91" t="str">
        <f t="shared" si="39"/>
        <v>5.51868810458506-18.2480942433908j</v>
      </c>
      <c r="BE94" s="91">
        <f t="shared" si="40"/>
        <v>25.604433132636512</v>
      </c>
      <c r="BF94" s="91">
        <f t="shared" si="41"/>
        <v>106.82665256937678</v>
      </c>
      <c r="BH94" s="91">
        <f t="shared" si="49"/>
        <v>-24.604433132636512</v>
      </c>
      <c r="BI94" s="112">
        <f t="shared" si="50"/>
        <v>-106.82665256937678</v>
      </c>
      <c r="BJ94" s="95"/>
      <c r="BK94" s="95"/>
      <c r="BL94" s="95"/>
      <c r="BM94" s="95"/>
      <c r="BN94" s="46"/>
      <c r="BO94" s="46"/>
      <c r="BP94" s="46"/>
    </row>
    <row r="95" spans="1:68" s="91" customFormat="1">
      <c r="A95" s="91">
        <v>31</v>
      </c>
      <c r="B95" s="91">
        <f t="shared" si="42"/>
        <v>416.86938347033549</v>
      </c>
      <c r="C95" s="91" t="str">
        <f t="shared" si="0"/>
        <v>2619.26758523382j</v>
      </c>
      <c r="D95" s="91">
        <f t="shared" si="1"/>
        <v>0.99999942552038723</v>
      </c>
      <c r="E95" s="91" t="str">
        <f t="shared" si="2"/>
        <v>-0.00119057617510628j</v>
      </c>
      <c r="F95" s="91" t="str">
        <f t="shared" si="3"/>
        <v>0.999999425520387-0.00119057617510628j</v>
      </c>
      <c r="G95" s="91">
        <f t="shared" si="4"/>
        <v>1.1661358249982502E-6</v>
      </c>
      <c r="H95" s="91">
        <f t="shared" si="5"/>
        <v>-6.8214996979596085E-2</v>
      </c>
      <c r="J95" s="91">
        <f t="shared" si="6"/>
        <v>7.1641791044776131</v>
      </c>
      <c r="K95" s="91" t="str">
        <f t="shared" si="7"/>
        <v>1+0.0650233178034296j</v>
      </c>
      <c r="L95" s="91">
        <f t="shared" si="8"/>
        <v>0.99930857815729746</v>
      </c>
      <c r="M95" s="91" t="str">
        <f t="shared" si="9"/>
        <v>0.0117974548587155j</v>
      </c>
      <c r="N95" s="91" t="str">
        <f t="shared" si="10"/>
        <v>0.999308578157297+0.0117974548587155j</v>
      </c>
      <c r="O95" s="91" t="str">
        <f t="shared" si="11"/>
        <v>1.00132051513946+0.0532471004352676j</v>
      </c>
      <c r="P95" s="91" t="str">
        <f t="shared" si="12"/>
        <v>7.17363951144688+0.381471764312365j</v>
      </c>
      <c r="R95" s="91">
        <f t="shared" si="13"/>
        <v>11.82089552238806</v>
      </c>
      <c r="S95" s="91" t="str">
        <f t="shared" si="14"/>
        <v>1+0.000196445068892536j</v>
      </c>
      <c r="T95" s="91" t="str">
        <f t="shared" si="15"/>
        <v>0.999308578157297+0.0117974548587155j</v>
      </c>
      <c r="U95" s="91" t="str">
        <f t="shared" si="16"/>
        <v>1.00055477107268-0.0116155859463489j</v>
      </c>
      <c r="V95" s="91" t="str">
        <f t="shared" si="17"/>
        <v>11.8274534132771-0.137306627903109j</v>
      </c>
      <c r="X95" s="91" t="str">
        <f t="shared" si="18"/>
        <v>1.34305964634008+0.0698162851708754j</v>
      </c>
      <c r="Y95" s="91">
        <f t="shared" si="19"/>
        <v>2.5736258323900203</v>
      </c>
      <c r="Z95" s="91">
        <f t="shared" si="20"/>
        <v>-177.02427127167002</v>
      </c>
      <c r="AB95" s="91" t="str">
        <f t="shared" si="21"/>
        <v>11.0710740799206-0.128525710147627j</v>
      </c>
      <c r="AC95" s="91">
        <f t="shared" si="22"/>
        <v>20.884380404518218</v>
      </c>
      <c r="AD95" s="91">
        <f t="shared" si="23"/>
        <v>179.33487483654585</v>
      </c>
      <c r="AF95" s="91" t="str">
        <f t="shared" si="24"/>
        <v>4.71922552641395-0.195472832286123j</v>
      </c>
      <c r="AG95" s="91">
        <f t="shared" si="25"/>
        <v>13.484859279925974</v>
      </c>
      <c r="AH95" s="91">
        <f t="shared" si="26"/>
        <v>177.6281341457227</v>
      </c>
      <c r="AJ95" s="91" t="str">
        <f t="shared" si="27"/>
        <v>46874.9999929338-0.575522662684344j</v>
      </c>
      <c r="AK95" s="91" t="str">
        <f t="shared" si="28"/>
        <v>15000-5.8933520667761E-07j</v>
      </c>
      <c r="AL95" s="91" t="str">
        <f t="shared" si="43"/>
        <v>10000-8484135.92696694j</v>
      </c>
      <c r="AM95" s="91" t="str">
        <f t="shared" si="44"/>
        <v>963.138483684393-2633008.4843848j</v>
      </c>
      <c r="AN95" s="91" t="str">
        <f t="shared" si="45"/>
        <v>10963.1384836844-2633008.4843848j</v>
      </c>
      <c r="AO95" s="91" t="str">
        <f t="shared" si="46"/>
        <v>14999.1574552652-85.4452721213362j</v>
      </c>
      <c r="AP95" s="91" t="str">
        <f t="shared" si="47"/>
        <v>0.242424242430954+2.25487190388631E-06j</v>
      </c>
      <c r="AQ95" s="91" t="str">
        <f t="shared" si="29"/>
        <v>1+0.358315805659986j</v>
      </c>
      <c r="AR95" s="91">
        <f t="shared" si="30"/>
        <v>9.9906147502495783E-8</v>
      </c>
      <c r="AS95" s="91" t="str">
        <f t="shared" si="31"/>
        <v>0.0000199425271551016j</v>
      </c>
      <c r="AT95" s="91" t="str">
        <f t="shared" si="32"/>
        <v>9.99061475024958E-08+0.0000199425271551016j</v>
      </c>
      <c r="AU95" s="91" t="str">
        <f t="shared" si="33"/>
        <v>5.46545161663848-15.0158485660136j</v>
      </c>
      <c r="AW95" s="91" t="str">
        <f t="shared" si="48"/>
        <v>1.31835878079907-3.64259461578215j</v>
      </c>
      <c r="AX95" s="91">
        <f t="shared" si="34"/>
        <v>11.762813055517983</v>
      </c>
      <c r="AY95" s="91">
        <f t="shared" si="35"/>
        <v>109.89663356766142</v>
      </c>
      <c r="AZ95" s="91" t="str">
        <f t="shared" si="36"/>
        <v>14.127480666367-40.4968778329758j</v>
      </c>
      <c r="BA95" s="91">
        <f t="shared" si="37"/>
        <v>32.647193460036227</v>
      </c>
      <c r="BB95" s="91">
        <f t="shared" si="38"/>
        <v>109.23150840420722</v>
      </c>
      <c r="BD95" s="91" t="str">
        <f t="shared" si="39"/>
        <v>5.50960412490183-17.4479288180293j</v>
      </c>
      <c r="BE95" s="91">
        <f t="shared" si="40"/>
        <v>25.247672335443994</v>
      </c>
      <c r="BF95" s="91">
        <f t="shared" si="41"/>
        <v>107.52476771338405</v>
      </c>
      <c r="BH95" s="91">
        <f t="shared" si="49"/>
        <v>-24.247672335443994</v>
      </c>
      <c r="BI95" s="112">
        <f t="shared" si="50"/>
        <v>-107.52476771338405</v>
      </c>
      <c r="BJ95" s="95"/>
      <c r="BK95" s="95"/>
      <c r="BL95" s="95"/>
      <c r="BM95" s="95"/>
      <c r="BN95" s="46"/>
      <c r="BO95" s="46"/>
      <c r="BP95" s="46"/>
    </row>
    <row r="96" spans="1:68" s="91" customFormat="1">
      <c r="A96" s="91">
        <v>32</v>
      </c>
      <c r="B96" s="91">
        <f t="shared" si="42"/>
        <v>436.51583224016599</v>
      </c>
      <c r="C96" s="91" t="str">
        <f t="shared" si="0"/>
        <v>2742.70986348268j</v>
      </c>
      <c r="D96" s="91">
        <f t="shared" si="1"/>
        <v>0.99999937009563045</v>
      </c>
      <c r="E96" s="91" t="str">
        <f t="shared" si="2"/>
        <v>-0.00124668630158304j</v>
      </c>
      <c r="F96" s="91" t="str">
        <f t="shared" si="3"/>
        <v>0.99999937009563-0.00124668630158304j</v>
      </c>
      <c r="G96" s="91">
        <f t="shared" si="4"/>
        <v>1.2786426391332653E-6</v>
      </c>
      <c r="H96" s="91">
        <f t="shared" si="5"/>
        <v>-7.1429871445390161E-2</v>
      </c>
      <c r="J96" s="91">
        <f t="shared" si="6"/>
        <v>7.1641791044776131</v>
      </c>
      <c r="K96" s="91" t="str">
        <f t="shared" si="7"/>
        <v>1+0.0680877723609575j</v>
      </c>
      <c r="L96" s="91">
        <f t="shared" si="8"/>
        <v>0.99924187102513951</v>
      </c>
      <c r="M96" s="91" t="str">
        <f t="shared" si="9"/>
        <v>0.0123534517769028j</v>
      </c>
      <c r="N96" s="91" t="str">
        <f t="shared" si="10"/>
        <v>0.99924187102514+0.0123534517769028j</v>
      </c>
      <c r="O96" s="91" t="str">
        <f t="shared" si="11"/>
        <v>1.00144803924367+0.0557587045906378j</v>
      </c>
      <c r="P96" s="91" t="str">
        <f t="shared" si="12"/>
        <v>7.17455311696958+0.399465346320987j</v>
      </c>
      <c r="R96" s="91">
        <f t="shared" si="13"/>
        <v>11.82089552238806</v>
      </c>
      <c r="S96" s="91" t="str">
        <f t="shared" si="14"/>
        <v>1+0.000205703239761201j</v>
      </c>
      <c r="T96" s="91" t="str">
        <f t="shared" si="15"/>
        <v>0.99924187102514+0.0123534517769028j</v>
      </c>
      <c r="U96" s="91" t="str">
        <f t="shared" si="16"/>
        <v>1.0006083167712-0.0121644855980359j</v>
      </c>
      <c r="V96" s="91" t="str">
        <f t="shared" si="17"/>
        <v>11.8280863713849-0.143795113337977j</v>
      </c>
      <c r="X96" s="91" t="str">
        <f t="shared" si="18"/>
        <v>1.34323881435035+0.0731092856667459j</v>
      </c>
      <c r="Y96" s="91">
        <f t="shared" si="19"/>
        <v>2.5759110251801758</v>
      </c>
      <c r="Z96" s="91">
        <f t="shared" si="20"/>
        <v>-176.88460123483506</v>
      </c>
      <c r="AB96" s="91" t="str">
        <f t="shared" si="21"/>
        <v>11.0716665596249-0.134599249429995j</v>
      </c>
      <c r="AC96" s="91">
        <f t="shared" si="22"/>
        <v>20.884901774602476</v>
      </c>
      <c r="AD96" s="91">
        <f t="shared" si="23"/>
        <v>179.30348435076328</v>
      </c>
      <c r="AF96" s="91" t="str">
        <f t="shared" si="24"/>
        <v>4.71855616033333-0.204660966160782j</v>
      </c>
      <c r="AG96" s="91">
        <f t="shared" si="25"/>
        <v>13.484345156374149</v>
      </c>
      <c r="AH96" s="91">
        <f t="shared" si="26"/>
        <v>177.5164300088494</v>
      </c>
      <c r="AJ96" s="91" t="str">
        <f t="shared" si="27"/>
        <v>46874.9999922521-0.602646210138285j</v>
      </c>
      <c r="AK96" s="91" t="str">
        <f t="shared" si="28"/>
        <v>15000-6.17109719283603E-07j</v>
      </c>
      <c r="AL96" s="91" t="str">
        <f t="shared" si="43"/>
        <v>10000-8102286.9090515j</v>
      </c>
      <c r="AM96" s="91" t="str">
        <f t="shared" si="44"/>
        <v>963.138422284679-2514503.65365335j</v>
      </c>
      <c r="AN96" s="91" t="str">
        <f t="shared" si="45"/>
        <v>10963.1384222847-2514503.65365335j</v>
      </c>
      <c r="AO96" s="91" t="str">
        <f t="shared" si="46"/>
        <v>14999.0761767895-89.4713419385599j</v>
      </c>
      <c r="AP96" s="91" t="str">
        <f t="shared" si="47"/>
        <v>0.242424242431602+2.36114074275524E-06j</v>
      </c>
      <c r="AQ96" s="91" t="str">
        <f t="shared" si="29"/>
        <v>1+0.375202709324431j</v>
      </c>
      <c r="AR96" s="91">
        <f t="shared" ref="AR96:AR127" si="51">(IMPRODUCT(C96,C96))*_res1*_Cap1*_cap2 + (1/Roerr)</f>
        <v>9.9897092782833039E-8</v>
      </c>
      <c r="AS96" s="91" t="str">
        <f t="shared" si="31"/>
        <v>0.0000208823895043872j</v>
      </c>
      <c r="AT96" s="91" t="str">
        <f t="shared" si="32"/>
        <v>9.9897092782833E-08+0.0000208823895043872j</v>
      </c>
      <c r="AU96" s="91" t="str">
        <f t="shared" si="33"/>
        <v>5.45882658158007-14.3400581160303j</v>
      </c>
      <c r="AW96" s="91" t="str">
        <f t="shared" si="48"/>
        <v>1.31675229853232-3.47887616580435j</v>
      </c>
      <c r="AX96" s="91">
        <f t="shared" si="34"/>
        <v>11.41023610628727</v>
      </c>
      <c r="AY96" s="91">
        <f t="shared" si="35"/>
        <v>110.73162073654098</v>
      </c>
      <c r="AZ96" s="91" t="str">
        <f t="shared" si="36"/>
        <v>14.1103882701924-38.6941907810799j</v>
      </c>
      <c r="BA96" s="91">
        <f t="shared" si="37"/>
        <v>32.295137880889776</v>
      </c>
      <c r="BB96" s="91">
        <f t="shared" si="38"/>
        <v>110.03510508730427</v>
      </c>
      <c r="BD96" s="91" t="str">
        <f t="shared" si="39"/>
        <v>5.50117951262554-16.684760360805j</v>
      </c>
      <c r="BE96" s="91">
        <f t="shared" si="40"/>
        <v>24.894581262661436</v>
      </c>
      <c r="BF96" s="91">
        <f t="shared" si="41"/>
        <v>108.24805074539043</v>
      </c>
      <c r="BH96" s="91">
        <f t="shared" si="49"/>
        <v>-23.894581262661436</v>
      </c>
      <c r="BI96" s="112">
        <f t="shared" si="50"/>
        <v>-108.24805074539043</v>
      </c>
      <c r="BJ96" s="95"/>
      <c r="BK96" s="95"/>
      <c r="BL96" s="95"/>
      <c r="BM96" s="95"/>
      <c r="BN96" s="46"/>
      <c r="BO96" s="46"/>
      <c r="BP96" s="46"/>
    </row>
    <row r="97" spans="1:68" s="91" customFormat="1">
      <c r="A97" s="91">
        <v>33</v>
      </c>
      <c r="B97" s="91">
        <f t="shared" si="42"/>
        <v>457.08818961487509</v>
      </c>
      <c r="C97" s="91" t="str">
        <f t="shared" si="0"/>
        <v>2871.9697970735j</v>
      </c>
      <c r="D97" s="91">
        <f t="shared" si="1"/>
        <v>0.99999930932359316</v>
      </c>
      <c r="E97" s="91" t="str">
        <f t="shared" si="2"/>
        <v>-0.00130544081685159j</v>
      </c>
      <c r="F97" s="91" t="str">
        <f t="shared" si="3"/>
        <v>0.999999309323593-0.00130544081685159j</v>
      </c>
      <c r="G97" s="91">
        <f t="shared" si="4"/>
        <v>1.4020039412444678E-6</v>
      </c>
      <c r="H97" s="91">
        <f t="shared" si="5"/>
        <v>-7.479625838105175E-2</v>
      </c>
      <c r="J97" s="91">
        <f t="shared" si="6"/>
        <v>7.1641791044776131</v>
      </c>
      <c r="K97" s="91" t="str">
        <f t="shared" si="7"/>
        <v>1+0.0712966502123496j</v>
      </c>
      <c r="L97" s="91">
        <f t="shared" si="8"/>
        <v>0.9991687281092011</v>
      </c>
      <c r="M97" s="91" t="str">
        <f t="shared" si="9"/>
        <v>0.012935652022565j</v>
      </c>
      <c r="N97" s="91" t="str">
        <f t="shared" si="10"/>
        <v>0.999168728109201+0.012935652022565j</v>
      </c>
      <c r="O97" s="91" t="str">
        <f t="shared" si="11"/>
        <v>1.0015878915805+0.0583889949070479j</v>
      </c>
      <c r="P97" s="91" t="str">
        <f t="shared" si="12"/>
        <v>7.17555504415881+0.418309217244522j</v>
      </c>
      <c r="R97" s="91">
        <f t="shared" si="13"/>
        <v>11.82089552238806</v>
      </c>
      <c r="S97" s="91" t="str">
        <f t="shared" si="14"/>
        <v>1+0.000215397734780512j</v>
      </c>
      <c r="T97" s="91" t="str">
        <f t="shared" si="15"/>
        <v>0.999168728109201+0.012935652022565j</v>
      </c>
      <c r="U97" s="91" t="str">
        <f t="shared" si="16"/>
        <v>1.00066703299-0.0127394727600397j</v>
      </c>
      <c r="V97" s="91" t="str">
        <f t="shared" si="17"/>
        <v>11.8287804496728-0.150591976506738j</v>
      </c>
      <c r="X97" s="91" t="str">
        <f t="shared" si="18"/>
        <v>1.34343530231666+0.0765578746199425j</v>
      </c>
      <c r="Y97" s="91">
        <f t="shared" si="19"/>
        <v>2.5784158937953672</v>
      </c>
      <c r="Z97" s="91">
        <f t="shared" si="20"/>
        <v>-176.73843315366341</v>
      </c>
      <c r="AB97" s="91" t="str">
        <f t="shared" si="21"/>
        <v>11.0723162508031-0.140961445333296j</v>
      </c>
      <c r="AC97" s="91">
        <f t="shared" si="22"/>
        <v>20.8854734729859</v>
      </c>
      <c r="AD97" s="91">
        <f t="shared" si="23"/>
        <v>179.27060793688196</v>
      </c>
      <c r="AF97" s="91" t="str">
        <f t="shared" si="24"/>
        <v>4.7178223909586-0.214278542242259j</v>
      </c>
      <c r="AG97" s="91">
        <f t="shared" si="25"/>
        <v>13.483781495364063</v>
      </c>
      <c r="AH97" s="91">
        <f t="shared" si="26"/>
        <v>177.39947302915468</v>
      </c>
      <c r="AJ97" s="91" t="str">
        <f t="shared" si="27"/>
        <v>46874.9999915046-0.631048051000413j</v>
      </c>
      <c r="AK97" s="91" t="str">
        <f t="shared" si="28"/>
        <v>15000-6.46193204341538E-07j</v>
      </c>
      <c r="AL97" s="91" t="str">
        <f t="shared" si="43"/>
        <v>10000-7737623.92796271j</v>
      </c>
      <c r="AM97" s="91" t="str">
        <f t="shared" si="44"/>
        <v>963.138354961241-2401332.42229666j</v>
      </c>
      <c r="AN97" s="91" t="str">
        <f t="shared" si="45"/>
        <v>10963.1383549612-2401332.42229666j</v>
      </c>
      <c r="AO97" s="91" t="str">
        <f t="shared" si="46"/>
        <v>14998.9870584768-93.687029884677j</v>
      </c>
      <c r="AP97" s="91" t="str">
        <f t="shared" si="47"/>
        <v>0.242424242432312+2.47241787770278E-06j</v>
      </c>
      <c r="AQ97" s="91" t="str">
        <f t="shared" si="29"/>
        <v>1+0.392885468239655j</v>
      </c>
      <c r="AR97" s="91">
        <f t="shared" si="51"/>
        <v>9.9887164480150657E-8</v>
      </c>
      <c r="AS97" s="91" t="str">
        <f t="shared" si="31"/>
        <v>0.0000218665462015623j</v>
      </c>
      <c r="AT97" s="91" t="str">
        <f t="shared" si="32"/>
        <v>9.98871644801507E-08+0.0000218665462015623j</v>
      </c>
      <c r="AU97" s="91" t="str">
        <f t="shared" si="33"/>
        <v>5.45278445223486-13.6946792631179j</v>
      </c>
      <c r="AW97" s="91" t="str">
        <f t="shared" si="48"/>
        <v>1.31528708957212-3.32253552358198j</v>
      </c>
      <c r="AX97" s="91">
        <f t="shared" si="34"/>
        <v>11.06164452225088</v>
      </c>
      <c r="AY97" s="91">
        <f t="shared" si="35"/>
        <v>111.59705143242196</v>
      </c>
      <c r="AZ97" s="91" t="str">
        <f t="shared" si="36"/>
        <v>14.0949252067656-36.9735688408016j</v>
      </c>
      <c r="BA97" s="91">
        <f t="shared" si="37"/>
        <v>31.94711799523677</v>
      </c>
      <c r="BB97" s="91">
        <f t="shared" si="38"/>
        <v>110.86765936930402</v>
      </c>
      <c r="BD97" s="91" t="str">
        <f t="shared" si="39"/>
        <v>5.49334281318087-15.956970288094j</v>
      </c>
      <c r="BE97" s="91">
        <f t="shared" si="40"/>
        <v>24.545426017614943</v>
      </c>
      <c r="BF97" s="91">
        <f t="shared" si="41"/>
        <v>108.99652446157671</v>
      </c>
      <c r="BH97" s="91">
        <f t="shared" si="49"/>
        <v>-23.545426017614943</v>
      </c>
      <c r="BI97" s="112">
        <f t="shared" si="50"/>
        <v>-108.99652446157671</v>
      </c>
      <c r="BJ97" s="95"/>
      <c r="BK97" s="95"/>
      <c r="BL97" s="95"/>
      <c r="BM97" s="95"/>
      <c r="BN97" s="46"/>
      <c r="BO97" s="46"/>
      <c r="BP97" s="46"/>
    </row>
    <row r="98" spans="1:68" s="91" customFormat="1">
      <c r="A98" s="91">
        <v>34</v>
      </c>
      <c r="B98" s="91">
        <f t="shared" si="42"/>
        <v>478.6300923226384</v>
      </c>
      <c r="C98" s="91" t="str">
        <f t="shared" si="0"/>
        <v>3007.32156365561j</v>
      </c>
      <c r="D98" s="91">
        <f t="shared" si="1"/>
        <v>0.99999924268837925</v>
      </c>
      <c r="E98" s="91" t="str">
        <f t="shared" si="2"/>
        <v>-0.00136696434711619j</v>
      </c>
      <c r="F98" s="91" t="str">
        <f t="shared" si="3"/>
        <v>0.999999242688379-0.00136696434711619j</v>
      </c>
      <c r="G98" s="91">
        <f t="shared" si="4"/>
        <v>1.5372669440250567E-6</v>
      </c>
      <c r="H98" s="91">
        <f t="shared" si="5"/>
        <v>-7.8321298364725705E-2</v>
      </c>
      <c r="J98" s="91">
        <f t="shared" si="6"/>
        <v>7.1641791044776131</v>
      </c>
      <c r="K98" s="91" t="str">
        <f t="shared" si="7"/>
        <v>1+0.0746567578177505j</v>
      </c>
      <c r="L98" s="91">
        <f t="shared" si="8"/>
        <v>0.99908852849667229</v>
      </c>
      <c r="M98" s="91" t="str">
        <f t="shared" si="9"/>
        <v>0.0135452905204802j</v>
      </c>
      <c r="N98" s="91" t="str">
        <f t="shared" si="10"/>
        <v>0.999088528496672+0.0135452905204802j</v>
      </c>
      <c r="O98" s="91" t="str">
        <f t="shared" si="11"/>
        <v>1.00174126660617+0.0611436119951603j</v>
      </c>
      <c r="P98" s="91" t="str">
        <f t="shared" si="12"/>
        <v>7.17665385031286+0.438043787428014j</v>
      </c>
      <c r="R98" s="91">
        <f t="shared" si="13"/>
        <v>11.82089552238806</v>
      </c>
      <c r="S98" s="91" t="str">
        <f t="shared" si="14"/>
        <v>1+0.000225549117274171j</v>
      </c>
      <c r="T98" s="91" t="str">
        <f t="shared" si="15"/>
        <v>0.999088528496672+0.0135452905204802j</v>
      </c>
      <c r="U98" s="91" t="str">
        <f t="shared" si="16"/>
        <v>1.00073141948734-0.0133418093716995j</v>
      </c>
      <c r="V98" s="91" t="str">
        <f t="shared" si="17"/>
        <v>11.8295415557309-0.157712134662478j</v>
      </c>
      <c r="X98" s="91" t="str">
        <f t="shared" si="18"/>
        <v>1.34365078815334+0.0801694430757286j</v>
      </c>
      <c r="Y98" s="91">
        <f t="shared" si="19"/>
        <v>2.5811614721553862</v>
      </c>
      <c r="Z98" s="91">
        <f t="shared" si="20"/>
        <v>-176.58547321102569</v>
      </c>
      <c r="AB98" s="91" t="str">
        <f t="shared" si="21"/>
        <v>11.073028683248-0.147626261135019j</v>
      </c>
      <c r="AC98" s="91">
        <f t="shared" si="22"/>
        <v>20.886100360806292</v>
      </c>
      <c r="AD98" s="91">
        <f t="shared" si="23"/>
        <v>179.2361745947434</v>
      </c>
      <c r="AF98" s="91" t="str">
        <f t="shared" si="24"/>
        <v>4.71701804028286-0.224345270660801j</v>
      </c>
      <c r="AG98" s="91">
        <f t="shared" si="25"/>
        <v>13.483163530588056</v>
      </c>
      <c r="AH98" s="91">
        <f t="shared" si="26"/>
        <v>177.27701736469731</v>
      </c>
      <c r="AJ98" s="91" t="str">
        <f t="shared" si="27"/>
        <v>46874.999990685-0.660788429382861j</v>
      </c>
      <c r="AK98" s="91" t="str">
        <f t="shared" si="28"/>
        <v>15000-6.76647351822513E-07j</v>
      </c>
      <c r="AL98" s="91" t="str">
        <f t="shared" si="43"/>
        <v>10000-7389373.48462651j</v>
      </c>
      <c r="AM98" s="91" t="str">
        <f t="shared" si="44"/>
        <v>963.138281142558-2293254.7389599j</v>
      </c>
      <c r="AN98" s="91" t="str">
        <f t="shared" si="45"/>
        <v>10963.1382811426-2293254.7389599j</v>
      </c>
      <c r="AO98" s="91" t="str">
        <f t="shared" si="46"/>
        <v>14998.8893443103-98.1012539175819j</v>
      </c>
      <c r="AP98" s="91" t="str">
        <f t="shared" si="47"/>
        <v>0.24242424243309+2.58893934245135E-06j</v>
      </c>
      <c r="AQ98" s="91" t="str">
        <f t="shared" si="29"/>
        <v>1+0.411401589908087j</v>
      </c>
      <c r="AR98" s="91">
        <f t="shared" si="51"/>
        <v>9.9876278312734718E-8</v>
      </c>
      <c r="AS98" s="91" t="str">
        <f t="shared" si="31"/>
        <v>0.0000228970847749298j</v>
      </c>
      <c r="AT98" s="91" t="str">
        <f t="shared" si="32"/>
        <v>9.98762783127347E-08+0.0000228970847749298j</v>
      </c>
      <c r="AU98" s="91" t="str">
        <f t="shared" si="33"/>
        <v>5.44727394351804-13.0783437933307j</v>
      </c>
      <c r="AW98" s="91" t="str">
        <f t="shared" si="48"/>
        <v>1.31395071734788-3.17324124445176j</v>
      </c>
      <c r="AX98" s="91">
        <f t="shared" si="34"/>
        <v>10.717320571927747</v>
      </c>
      <c r="AY98" s="91">
        <f t="shared" si="35"/>
        <v>112.49308222870506</v>
      </c>
      <c r="AZ98" s="91" t="str">
        <f t="shared" si="36"/>
        <v>14.0809602409695-35.3313649503976j</v>
      </c>
      <c r="BA98" s="91">
        <f t="shared" si="37"/>
        <v>31.603420932734029</v>
      </c>
      <c r="BB98" s="91">
        <f t="shared" si="38"/>
        <v>111.72925682344848</v>
      </c>
      <c r="BD98" s="91" t="str">
        <f t="shared" si="39"/>
        <v>5.486027571914-15.2630148255669j</v>
      </c>
      <c r="BE98" s="91">
        <f t="shared" si="40"/>
        <v>24.200484102515777</v>
      </c>
      <c r="BF98" s="91">
        <f t="shared" si="41"/>
        <v>109.77009959340241</v>
      </c>
      <c r="BH98" s="91">
        <f t="shared" si="49"/>
        <v>-23.200484102515777</v>
      </c>
      <c r="BI98" s="112">
        <f t="shared" si="50"/>
        <v>-109.77009959340241</v>
      </c>
      <c r="BJ98" s="95"/>
      <c r="BK98" s="95"/>
      <c r="BL98" s="95"/>
      <c r="BM98" s="95"/>
      <c r="BN98" s="46"/>
      <c r="BO98" s="46"/>
      <c r="BP98" s="46"/>
    </row>
    <row r="99" spans="1:68" s="91" customFormat="1">
      <c r="A99" s="91">
        <v>35</v>
      </c>
      <c r="B99" s="91">
        <f t="shared" si="42"/>
        <v>501.18723362727235</v>
      </c>
      <c r="C99" s="91" t="str">
        <f t="shared" si="0"/>
        <v>3149.05226247286j</v>
      </c>
      <c r="D99" s="91">
        <f t="shared" si="1"/>
        <v>0.99999916962432012</v>
      </c>
      <c r="E99" s="91" t="str">
        <f t="shared" si="2"/>
        <v>-0.00143138739203312j</v>
      </c>
      <c r="F99" s="91" t="str">
        <f t="shared" si="3"/>
        <v>0.99999916962432-0.00143138739203312j</v>
      </c>
      <c r="G99" s="91">
        <f t="shared" si="4"/>
        <v>1.6855799234843569E-6</v>
      </c>
      <c r="H99" s="91">
        <f t="shared" si="5"/>
        <v>-8.201246850192051E-2</v>
      </c>
      <c r="J99" s="91">
        <f t="shared" si="6"/>
        <v>7.1641791044776131</v>
      </c>
      <c r="K99" s="91" t="str">
        <f t="shared" si="7"/>
        <v>1+0.0781752224158887j</v>
      </c>
      <c r="L99" s="91">
        <f t="shared" si="8"/>
        <v>0.99900059137019526</v>
      </c>
      <c r="M99" s="91" t="str">
        <f t="shared" si="9"/>
        <v>0.014183660395638j</v>
      </c>
      <c r="N99" s="91" t="str">
        <f t="shared" si="10"/>
        <v>0.999000591370195+0.014183660395638j</v>
      </c>
      <c r="O99" s="91" t="str">
        <f t="shared" si="11"/>
        <v>1.00190947503955+0.0640284692795069j</v>
      </c>
      <c r="P99" s="91" t="str">
        <f t="shared" si="12"/>
        <v>7.17785892565648+0.45871142170393j</v>
      </c>
      <c r="R99" s="91">
        <f t="shared" si="13"/>
        <v>11.82089552238806</v>
      </c>
      <c r="S99" s="91" t="str">
        <f t="shared" si="14"/>
        <v>1+0.000236178919685465j</v>
      </c>
      <c r="T99" s="91" t="str">
        <f t="shared" si="15"/>
        <v>0.999000591370195+0.014183660395638j</v>
      </c>
      <c r="U99" s="91" t="str">
        <f t="shared" si="16"/>
        <v>1.0008020244225-0.0139728216765566j</v>
      </c>
      <c r="V99" s="91" t="str">
        <f t="shared" si="17"/>
        <v>11.8303761692928-0.165171265191535j</v>
      </c>
      <c r="X99" s="91" t="str">
        <f t="shared" si="18"/>
        <v>1.34388711305863+0.0839517390578122j</v>
      </c>
      <c r="Y99" s="91">
        <f t="shared" si="19"/>
        <v>2.5841707914106493</v>
      </c>
      <c r="Z99" s="91">
        <f t="shared" si="20"/>
        <v>-176.42541556351966</v>
      </c>
      <c r="AB99" s="91" t="str">
        <f t="shared" si="21"/>
        <v>11.0738099223067-0.154608371634502j</v>
      </c>
      <c r="AC99" s="91">
        <f t="shared" si="22"/>
        <v>20.886787769319564</v>
      </c>
      <c r="AD99" s="91">
        <f t="shared" si="23"/>
        <v>179.20010983385629</v>
      </c>
      <c r="AF99" s="91" t="str">
        <f t="shared" si="24"/>
        <v>4.71613634141307-0.234881712546071j</v>
      </c>
      <c r="AG99" s="91">
        <f t="shared" si="25"/>
        <v>13.482486038512704</v>
      </c>
      <c r="AH99" s="91">
        <f t="shared" si="26"/>
        <v>177.14880584087874</v>
      </c>
      <c r="AJ99" s="91" t="str">
        <f t="shared" si="27"/>
        <v>46874.9999897863-0.691930428615241j</v>
      </c>
      <c r="AK99" s="91" t="str">
        <f t="shared" si="28"/>
        <v>15000-7.08536759056394E-07j</v>
      </c>
      <c r="AL99" s="91" t="str">
        <f t="shared" si="43"/>
        <v>10000-7056796.89316166j</v>
      </c>
      <c r="AM99" s="91" t="str">
        <f t="shared" si="44"/>
        <v>963.138200202014-2190041.35638647j</v>
      </c>
      <c r="AN99" s="91" t="str">
        <f t="shared" si="45"/>
        <v>10963.138200202-2190041.35638647j</v>
      </c>
      <c r="AO99" s="91" t="str">
        <f t="shared" si="46"/>
        <v>14998.7822054064-102.723349550582j</v>
      </c>
      <c r="AP99" s="91" t="str">
        <f t="shared" si="47"/>
        <v>0.242424242433944+2.71095229464987E-06j</v>
      </c>
      <c r="AQ99" s="91" t="str">
        <f t="shared" si="29"/>
        <v>1+0.430790349506287j</v>
      </c>
      <c r="AR99" s="91">
        <f t="shared" si="51"/>
        <v>9.9864341867523567E-8</v>
      </c>
      <c r="AS99" s="91" t="str">
        <f t="shared" si="31"/>
        <v>0.0000239761911349706j</v>
      </c>
      <c r="AT99" s="91" t="str">
        <f t="shared" si="32"/>
        <v>9.98643418675236E-08+0.0000239761911349706j</v>
      </c>
      <c r="AU99" s="91" t="str">
        <f t="shared" si="33"/>
        <v>5.44224828215286-12.489745004587j</v>
      </c>
      <c r="AW99" s="91" t="str">
        <f t="shared" si="48"/>
        <v>1.31273183871265-3.03067680747149j</v>
      </c>
      <c r="AX99" s="91">
        <f t="shared" si="34"/>
        <v>10.377557512674764</v>
      </c>
      <c r="AY99" s="91">
        <f t="shared" si="35"/>
        <v>113.41975596814635</v>
      </c>
      <c r="AZ99" s="91" t="str">
        <f t="shared" si="36"/>
        <v>14.0683748547105-33.7640982338587j</v>
      </c>
      <c r="BA99" s="91">
        <f t="shared" si="37"/>
        <v>31.264345281994331</v>
      </c>
      <c r="BB99" s="91">
        <f t="shared" si="38"/>
        <v>112.61986580200272</v>
      </c>
      <c r="BD99" s="91" t="str">
        <f t="shared" si="39"/>
        <v>5.4791717723702-14.6014217331846j</v>
      </c>
      <c r="BE99" s="91">
        <f t="shared" si="40"/>
        <v>23.86004355118747</v>
      </c>
      <c r="BF99" s="91">
        <f t="shared" si="41"/>
        <v>110.56856180902523</v>
      </c>
      <c r="BH99" s="91">
        <f t="shared" si="49"/>
        <v>-22.86004355118747</v>
      </c>
      <c r="BI99" s="112">
        <f t="shared" si="50"/>
        <v>-110.56856180902523</v>
      </c>
      <c r="BJ99" s="95"/>
      <c r="BK99" s="95"/>
      <c r="BL99" s="95"/>
      <c r="BM99" s="95"/>
      <c r="BN99" s="46"/>
      <c r="BO99" s="46"/>
      <c r="BP99" s="46"/>
    </row>
    <row r="100" spans="1:68" s="91" customFormat="1">
      <c r="A100" s="91">
        <v>36</v>
      </c>
      <c r="B100" s="91">
        <f t="shared" si="42"/>
        <v>524.80746024977259</v>
      </c>
      <c r="C100" s="91" t="str">
        <f t="shared" si="0"/>
        <v>3297.46252333961j</v>
      </c>
      <c r="D100" s="91">
        <f t="shared" si="1"/>
        <v>0.99999908951117245</v>
      </c>
      <c r="E100" s="91" t="str">
        <f t="shared" si="2"/>
        <v>-0.001498846601518j</v>
      </c>
      <c r="F100" s="91" t="str">
        <f t="shared" si="3"/>
        <v>0.999999089511172-0.001498846601518j</v>
      </c>
      <c r="G100" s="91">
        <f t="shared" si="4"/>
        <v>1.8482019142696736E-6</v>
      </c>
      <c r="H100" s="91">
        <f t="shared" si="5"/>
        <v>-8.5877598285896167E-2</v>
      </c>
      <c r="J100" s="91">
        <f t="shared" si="6"/>
        <v>7.1641791044776131</v>
      </c>
      <c r="K100" s="91" t="str">
        <f t="shared" si="7"/>
        <v>1+0.0818595071419058j</v>
      </c>
      <c r="L100" s="91">
        <f t="shared" si="8"/>
        <v>0.99890417022838174</v>
      </c>
      <c r="M100" s="91" t="str">
        <f t="shared" si="9"/>
        <v>0.0148521157161315j</v>
      </c>
      <c r="N100" s="91" t="str">
        <f t="shared" si="10"/>
        <v>0.998904170228382+0.0148521157161315j</v>
      </c>
      <c r="O100" s="91" t="str">
        <f t="shared" si="11"/>
        <v>1.00209395528676+0.0670497668902894j</v>
      </c>
      <c r="P100" s="91" t="str">
        <f t="shared" si="12"/>
        <v>7.17918057518873+0.480356538915506j</v>
      </c>
      <c r="R100" s="91">
        <f t="shared" si="13"/>
        <v>11.82089552238806</v>
      </c>
      <c r="S100" s="91" t="str">
        <f t="shared" si="14"/>
        <v>1+0.000247309689250471j</v>
      </c>
      <c r="T100" s="91" t="str">
        <f t="shared" si="15"/>
        <v>0.998904170228382+0.0148521157161315j</v>
      </c>
      <c r="U100" s="91" t="str">
        <f t="shared" si="16"/>
        <v>1.00087944906289-0.0146339039737789j</v>
      </c>
      <c r="V100" s="91" t="str">
        <f t="shared" si="17"/>
        <v>11.8312913978777-0.1729858499587j</v>
      </c>
      <c r="X100" s="91" t="str">
        <f t="shared" si="18"/>
        <v>1.3441462975525+0.0879128856733419j</v>
      </c>
      <c r="Y100" s="91">
        <f t="shared" si="19"/>
        <v>2.5874690662305859</v>
      </c>
      <c r="Z100" s="91">
        <f t="shared" si="20"/>
        <v>-176.25794203931329</v>
      </c>
      <c r="AB100" s="91" t="str">
        <f t="shared" si="21"/>
        <v>11.0746666209644-0.161923204662208j</v>
      </c>
      <c r="AC100" s="91">
        <f t="shared" si="22"/>
        <v>20.887541545483316</v>
      </c>
      <c r="AD100" s="91">
        <f t="shared" si="23"/>
        <v>179.16233548743196</v>
      </c>
      <c r="AF100" s="91" t="str">
        <f t="shared" si="24"/>
        <v>4.71516988319484-0.245909308704736j</v>
      </c>
      <c r="AG100" s="91">
        <f t="shared" si="25"/>
        <v>13.481743294794077</v>
      </c>
      <c r="AH100" s="91">
        <f t="shared" si="26"/>
        <v>177.01456945369108</v>
      </c>
      <c r="AJ100" s="91" t="str">
        <f t="shared" si="27"/>
        <v>46874.9999888009-0.724540105052884j</v>
      </c>
      <c r="AK100" s="91" t="str">
        <f t="shared" si="28"/>
        <v>15000-7.41929067751413E-07j</v>
      </c>
      <c r="AL100" s="91" t="str">
        <f t="shared" si="43"/>
        <v>10000-6739188.71402852j</v>
      </c>
      <c r="AM100" s="91" t="str">
        <f t="shared" si="44"/>
        <v>963.13811145247-2091473.3451539j</v>
      </c>
      <c r="AN100" s="91" t="str">
        <f t="shared" si="45"/>
        <v>10963.1381114525-2091473.3451539j</v>
      </c>
      <c r="AO100" s="91" t="str">
        <f t="shared" si="46"/>
        <v>14998.6647329988-107.563089126303j</v>
      </c>
      <c r="AP100" s="91" t="str">
        <f t="shared" si="47"/>
        <v>0.242424242434879+2.83871554012847E-06j</v>
      </c>
      <c r="AQ100" s="91" t="str">
        <f t="shared" si="29"/>
        <v>1+0.451092873192859j</v>
      </c>
      <c r="AR100" s="91">
        <f t="shared" si="51"/>
        <v>9.9851253815610093E-8</v>
      </c>
      <c r="AS100" s="91" t="str">
        <f t="shared" si="31"/>
        <v>0.0000251061542109527j</v>
      </c>
      <c r="AT100" s="91" t="str">
        <f t="shared" si="32"/>
        <v>9.98512538156101E-08+0.0000251061542109527j</v>
      </c>
      <c r="AU100" s="91" t="str">
        <f t="shared" si="33"/>
        <v>5.43766480980237-11.9276349469833j</v>
      </c>
      <c r="AW100" s="91" t="str">
        <f t="shared" si="48"/>
        <v>1.31162010769728-2.89453994694638j</v>
      </c>
      <c r="AX100" s="91">
        <f t="shared" si="34"/>
        <v>10.042658498284185</v>
      </c>
      <c r="AY100" s="91">
        <f t="shared" si="35"/>
        <v>114.37698911390376</v>
      </c>
      <c r="AZ100" s="91" t="str">
        <f t="shared" si="36"/>
        <v>14.0570622418685-32.268446664633j</v>
      </c>
      <c r="BA100" s="91">
        <f t="shared" si="37"/>
        <v>30.930200043767535</v>
      </c>
      <c r="BB100" s="91">
        <f t="shared" si="38"/>
        <v>113.53932460133569</v>
      </c>
      <c r="BD100" s="91" t="str">
        <f t="shared" si="39"/>
        <v>5.47271731263517-13.9707871775131j</v>
      </c>
      <c r="BE100" s="91">
        <f t="shared" si="40"/>
        <v>23.524401793078304</v>
      </c>
      <c r="BF100" s="91">
        <f t="shared" si="41"/>
        <v>111.39155856759477</v>
      </c>
      <c r="BH100" s="91">
        <f t="shared" si="49"/>
        <v>-22.524401793078304</v>
      </c>
      <c r="BI100" s="112">
        <f t="shared" si="50"/>
        <v>-111.39155856759477</v>
      </c>
      <c r="BJ100" s="95"/>
      <c r="BK100" s="95"/>
      <c r="BL100" s="95"/>
      <c r="BM100" s="95"/>
      <c r="BN100" s="46"/>
      <c r="BO100" s="46"/>
      <c r="BP100" s="46"/>
    </row>
    <row r="101" spans="1:68" s="91" customFormat="1">
      <c r="A101" s="91">
        <v>37</v>
      </c>
      <c r="B101" s="91">
        <f t="shared" si="42"/>
        <v>549.54087385762455</v>
      </c>
      <c r="C101" s="91" t="str">
        <f t="shared" si="0"/>
        <v>3452.86714431686j</v>
      </c>
      <c r="D101" s="91">
        <f t="shared" si="1"/>
        <v>0.9999990016688528</v>
      </c>
      <c r="E101" s="91" t="str">
        <f t="shared" si="2"/>
        <v>-0.00156948506559857j</v>
      </c>
      <c r="F101" s="91" t="str">
        <f t="shared" si="3"/>
        <v>0.999999001668853-0.00156948506559857j</v>
      </c>
      <c r="G101" s="91">
        <f t="shared" si="4"/>
        <v>2.026513446456438E-6</v>
      </c>
      <c r="H101" s="91">
        <f t="shared" si="5"/>
        <v>-8.9924886205575177E-2</v>
      </c>
      <c r="J101" s="91">
        <f t="shared" si="6"/>
        <v>7.1641791044776131</v>
      </c>
      <c r="K101" s="91" t="str">
        <f t="shared" si="7"/>
        <v>1+0.085717426857666j</v>
      </c>
      <c r="L101" s="91">
        <f t="shared" si="8"/>
        <v>0.99879844654873606</v>
      </c>
      <c r="M101" s="91" t="str">
        <f t="shared" si="9"/>
        <v>0.0155520743653167j</v>
      </c>
      <c r="N101" s="91" t="str">
        <f t="shared" si="10"/>
        <v>0.998798446548736+0.0155520743653167j</v>
      </c>
      <c r="O101" s="91" t="str">
        <f t="shared" si="11"/>
        <v>1.00229628601009+0.0702140063632291j</v>
      </c>
      <c r="P101" s="91" t="str">
        <f t="shared" si="12"/>
        <v>7.180630108729+0.503025717229104j</v>
      </c>
      <c r="R101" s="91">
        <f t="shared" si="13"/>
        <v>11.82089552238806</v>
      </c>
      <c r="S101" s="91" t="str">
        <f t="shared" si="14"/>
        <v>1+0.000258965035823764j</v>
      </c>
      <c r="T101" s="91" t="str">
        <f t="shared" si="15"/>
        <v>0.998798446548736+0.0155520743653167j</v>
      </c>
      <c r="U101" s="91" t="str">
        <f t="shared" si="16"/>
        <v>1.0009643529528-0.0153265226545207j</v>
      </c>
      <c r="V101" s="91" t="str">
        <f t="shared" si="17"/>
        <v>11.8322950378898-0.181173223020603j</v>
      </c>
      <c r="X101" s="91" t="str">
        <f t="shared" si="18"/>
        <v>1.34443055911948+0.0920614002608842j</v>
      </c>
      <c r="Y101" s="91">
        <f t="shared" si="19"/>
        <v>2.5910838977971373</v>
      </c>
      <c r="Z101" s="91">
        <f t="shared" si="20"/>
        <v>-176.08272185963887</v>
      </c>
      <c r="AB101" s="91" t="str">
        <f t="shared" si="21"/>
        <v>11.0756060770363-0.169586985741787j</v>
      </c>
      <c r="AC101" s="91">
        <f t="shared" si="22"/>
        <v>20.888368101983865</v>
      </c>
      <c r="AD101" s="91">
        <f t="shared" si="23"/>
        <v>179.12276951444676</v>
      </c>
      <c r="AF101" s="91" t="str">
        <f t="shared" si="24"/>
        <v>4.71411054978326-0.257450407985695j</v>
      </c>
      <c r="AG101" s="91">
        <f t="shared" si="25"/>
        <v>13.480929026593891</v>
      </c>
      <c r="AH101" s="91">
        <f t="shared" si="26"/>
        <v>176.87402685502929</v>
      </c>
      <c r="AJ101" s="91" t="str">
        <f t="shared" si="27"/>
        <v>46874.9999877204-0.758686628191187j</v>
      </c>
      <c r="AK101" s="91" t="str">
        <f t="shared" si="28"/>
        <v>15000-7.76895107471293E-07j</v>
      </c>
      <c r="AL101" s="91" t="str">
        <f t="shared" si="43"/>
        <v>10000-6435875.25769654j</v>
      </c>
      <c r="AM101" s="91" t="str">
        <f t="shared" si="44"/>
        <v>963.138014140566-1997341.62929508j</v>
      </c>
      <c r="AN101" s="91" t="str">
        <f t="shared" si="45"/>
        <v>10963.1380141406-1997341.62929508j</v>
      </c>
      <c r="AO101" s="91" t="str">
        <f t="shared" si="46"/>
        <v>14998.5359307495-112.630701939066j</v>
      </c>
      <c r="AP101" s="91" t="str">
        <f t="shared" si="47"/>
        <v>0.242424242435906+2.97250008186023E-06j</v>
      </c>
      <c r="AQ101" s="91" t="str">
        <f t="shared" si="29"/>
        <v>1+0.472352225342546j</v>
      </c>
      <c r="AR101" s="91">
        <f t="shared" si="51"/>
        <v>9.9836903052056966E-8</v>
      </c>
      <c r="AS101" s="91" t="str">
        <f t="shared" si="31"/>
        <v>0.0000262893708060568j</v>
      </c>
      <c r="AT101" s="91" t="str">
        <f t="shared" si="32"/>
        <v>9.9836903052057E-08+0.0000262893708060568j</v>
      </c>
      <c r="AU101" s="91" t="str">
        <f t="shared" si="33"/>
        <v>5.43348462110034-11.390821786182j</v>
      </c>
      <c r="AW101" s="91" t="str">
        <f t="shared" si="48"/>
        <v>1.31060608772169-2.76454201381753j</v>
      </c>
      <c r="AX101" s="91">
        <f t="shared" si="34"/>
        <v>9.7129352005004783</v>
      </c>
      <c r="AY101" s="91">
        <f t="shared" si="35"/>
        <v>115.36455921012184</v>
      </c>
      <c r="AZ101" s="91" t="str">
        <f t="shared" si="36"/>
        <v>14.0469264026913-30.8412400643711j</v>
      </c>
      <c r="BA101" s="91">
        <f t="shared" si="37"/>
        <v>30.601303302484332</v>
      </c>
      <c r="BB101" s="91">
        <f t="shared" si="38"/>
        <v>114.48732872456868</v>
      </c>
      <c r="BD101" s="91" t="str">
        <f t="shared" si="39"/>
        <v>5.46660951538807-13.3697727446487j</v>
      </c>
      <c r="BE101" s="91">
        <f t="shared" si="40"/>
        <v>23.193864227094334</v>
      </c>
      <c r="BF101" s="91">
        <f t="shared" si="41"/>
        <v>112.23858606515122</v>
      </c>
      <c r="BH101" s="91">
        <f t="shared" si="49"/>
        <v>-22.193864227094334</v>
      </c>
      <c r="BI101" s="112">
        <f t="shared" si="50"/>
        <v>-112.23858606515122</v>
      </c>
      <c r="BJ101" s="95"/>
      <c r="BK101" s="95"/>
      <c r="BL101" s="95"/>
      <c r="BM101" s="95"/>
      <c r="BN101" s="46"/>
      <c r="BO101" s="46"/>
      <c r="BP101" s="46"/>
    </row>
    <row r="102" spans="1:68" s="91" customFormat="1">
      <c r="A102" s="91">
        <v>38</v>
      </c>
      <c r="B102" s="91">
        <f t="shared" si="42"/>
        <v>575.43993733715718</v>
      </c>
      <c r="C102" s="91" t="str">
        <f t="shared" si="0"/>
        <v>3615.59575944117j</v>
      </c>
      <c r="D102" s="91">
        <f t="shared" si="1"/>
        <v>0.99999890535166447</v>
      </c>
      <c r="E102" s="91" t="str">
        <f t="shared" si="2"/>
        <v>-0.0016434526179278j</v>
      </c>
      <c r="F102" s="91" t="str">
        <f t="shared" si="3"/>
        <v>0.999998905351664-0.0016434526179278j</v>
      </c>
      <c r="G102" s="91">
        <f t="shared" si="4"/>
        <v>2.2220282080862931E-6</v>
      </c>
      <c r="H102" s="91">
        <f t="shared" si="5"/>
        <v>-9.4162917136217786E-2</v>
      </c>
      <c r="J102" s="91">
        <f t="shared" si="6"/>
        <v>7.1641791044776131</v>
      </c>
      <c r="K102" s="91" t="str">
        <f t="shared" si="7"/>
        <v>1+0.089757164728127j</v>
      </c>
      <c r="L102" s="91">
        <f t="shared" si="8"/>
        <v>0.99868252283918846</v>
      </c>
      <c r="M102" s="91" t="str">
        <f t="shared" si="9"/>
        <v>0.0162850210493337j</v>
      </c>
      <c r="N102" s="91" t="str">
        <f t="shared" si="10"/>
        <v>0.998682522839188+0.0162850210493337j</v>
      </c>
      <c r="O102" s="91" t="str">
        <f t="shared" si="11"/>
        <v>1.00251819996056+0.0735280062082885j</v>
      </c>
      <c r="P102" s="91" t="str">
        <f t="shared" si="12"/>
        <v>7.18221994001595+0.526767805671321j</v>
      </c>
      <c r="R102" s="91">
        <f t="shared" si="13"/>
        <v>11.82089552238806</v>
      </c>
      <c r="S102" s="91" t="str">
        <f t="shared" si="14"/>
        <v>1+0.000271169681958088j</v>
      </c>
      <c r="T102" s="91" t="str">
        <f t="shared" si="15"/>
        <v>0.998682522839188+0.0162850210493337j</v>
      </c>
      <c r="U102" s="91" t="str">
        <f t="shared" si="16"/>
        <v>1.00105745959008-0.0160522205530177j</v>
      </c>
      <c r="V102" s="91" t="str">
        <f t="shared" si="17"/>
        <v>11.8333956417215-0.189751622059553j</v>
      </c>
      <c r="X102" s="91" t="str">
        <f t="shared" si="18"/>
        <v>1.34474233162339+0.096406214658621j</v>
      </c>
      <c r="Y102" s="91">
        <f t="shared" si="19"/>
        <v>2.5950454948691393</v>
      </c>
      <c r="Z102" s="91">
        <f t="shared" si="20"/>
        <v>-175.89941139033533</v>
      </c>
      <c r="AB102" s="91" t="str">
        <f t="shared" si="21"/>
        <v>11.0766362959792-0.177616786234658j</v>
      </c>
      <c r="AC102" s="91">
        <f t="shared" si="22"/>
        <v>20.889274472146045</v>
      </c>
      <c r="AD102" s="91">
        <f t="shared" si="23"/>
        <v>179.08132578868498</v>
      </c>
      <c r="AF102" s="91" t="str">
        <f t="shared" si="24"/>
        <v>4.71294945473018-0.269528295079254j</v>
      </c>
      <c r="AG102" s="91">
        <f t="shared" si="25"/>
        <v>13.48003636042322</v>
      </c>
      <c r="AH102" s="91">
        <f t="shared" si="26"/>
        <v>176.72688382001888</v>
      </c>
      <c r="AJ102" s="91" t="str">
        <f t="shared" si="27"/>
        <v>46874.9999865357-0.794442427383392j</v>
      </c>
      <c r="AK102" s="91" t="str">
        <f t="shared" si="28"/>
        <v>15000-8.13509045874264E-07j</v>
      </c>
      <c r="AL102" s="91" t="str">
        <f t="shared" si="43"/>
        <v>10000-6146213.15565899j</v>
      </c>
      <c r="AM102" s="91" t="str">
        <f t="shared" si="44"/>
        <v>963.1379074402-1907446.54282024j</v>
      </c>
      <c r="AN102" s="91" t="str">
        <f t="shared" si="45"/>
        <v>10963.1379074402-1907446.54282024j</v>
      </c>
      <c r="AO102" s="91" t="str">
        <f t="shared" si="46"/>
        <v>14998.3947063208-117.936895236835j</v>
      </c>
      <c r="AP102" s="91" t="str">
        <f t="shared" si="47"/>
        <v>0.242424242437031+3.11258969479486E-06j</v>
      </c>
      <c r="AQ102" s="91" t="str">
        <f t="shared" si="29"/>
        <v>1+0.494613499891552j</v>
      </c>
      <c r="AR102" s="91">
        <f t="shared" si="51"/>
        <v>9.9821167752722963E-8</v>
      </c>
      <c r="AS102" s="91" t="str">
        <f t="shared" si="31"/>
        <v>0.000027528350681318j</v>
      </c>
      <c r="AT102" s="91" t="str">
        <f t="shared" si="32"/>
        <v>9.9821167752723E-08+0.000027528350681318j</v>
      </c>
      <c r="AU102" s="91" t="str">
        <f t="shared" si="33"/>
        <v>5.42967223351485-10.8781672844774j</v>
      </c>
      <c r="AW102" s="91" t="str">
        <f t="shared" si="48"/>
        <v>1.30968117151954-2.64040736560556j</v>
      </c>
      <c r="AX102" s="91">
        <f t="shared" si="34"/>
        <v>9.3887061277995834</v>
      </c>
      <c r="AY102" s="91">
        <f t="shared" si="35"/>
        <v>116.38209273324503</v>
      </c>
      <c r="AZ102" s="91" t="str">
        <f t="shared" si="36"/>
        <v>14.0378813299848-29.4794534227148j</v>
      </c>
      <c r="BA102" s="91">
        <f t="shared" si="37"/>
        <v>30.277980599945661</v>
      </c>
      <c r="BB102" s="91">
        <f t="shared" si="38"/>
        <v>115.46341852193007</v>
      </c>
      <c r="BD102" s="91" t="str">
        <f t="shared" si="39"/>
        <v>5.46079666761706-12.7971025872534j</v>
      </c>
      <c r="BE102" s="91">
        <f t="shared" si="40"/>
        <v>22.868742488222846</v>
      </c>
      <c r="BF102" s="91">
        <f t="shared" si="41"/>
        <v>113.10897655326393</v>
      </c>
      <c r="BH102" s="91">
        <f t="shared" si="49"/>
        <v>-21.868742488222846</v>
      </c>
      <c r="BI102" s="112">
        <f t="shared" si="50"/>
        <v>-113.10897655326393</v>
      </c>
      <c r="BJ102" s="95"/>
      <c r="BK102" s="95"/>
      <c r="BL102" s="95"/>
      <c r="BM102" s="95"/>
      <c r="BN102" s="46"/>
      <c r="BO102" s="46"/>
      <c r="BP102" s="46"/>
    </row>
    <row r="103" spans="1:68" s="91" customFormat="1">
      <c r="A103" s="91">
        <v>39</v>
      </c>
      <c r="B103" s="91">
        <f t="shared" si="42"/>
        <v>602.55958607435798</v>
      </c>
      <c r="C103" s="91" t="str">
        <f t="shared" si="0"/>
        <v>3785.99353792262j</v>
      </c>
      <c r="D103" s="91">
        <f t="shared" si="1"/>
        <v>0.9999987997419677</v>
      </c>
      <c r="E103" s="91" t="str">
        <f t="shared" si="2"/>
        <v>-0.00172090615360119j</v>
      </c>
      <c r="F103" s="91" t="str">
        <f t="shared" si="3"/>
        <v>0.999998799741968-0.00172090615360119j</v>
      </c>
      <c r="G103" s="91">
        <f t="shared" si="4"/>
        <v>2.4364059786810013E-6</v>
      </c>
      <c r="H103" s="91">
        <f t="shared" si="5"/>
        <v>-9.8600680549762787E-2</v>
      </c>
      <c r="J103" s="91">
        <f t="shared" si="6"/>
        <v>7.1641791044776131</v>
      </c>
      <c r="K103" s="91" t="str">
        <f t="shared" si="7"/>
        <v>1+0.093987289578929j</v>
      </c>
      <c r="L103" s="91">
        <f t="shared" si="8"/>
        <v>0.9985554150192536</v>
      </c>
      <c r="M103" s="91" t="str">
        <f t="shared" si="9"/>
        <v>0.0170525104463671j</v>
      </c>
      <c r="N103" s="91" t="str">
        <f t="shared" si="10"/>
        <v>0.998555415019254+0.0170525104463671j</v>
      </c>
      <c r="O103" s="91" t="str">
        <f t="shared" si="11"/>
        <v>1.0027615992061+0.0769989184143262j</v>
      </c>
      <c r="P103" s="91" t="str">
        <f t="shared" si="12"/>
        <v>7.1839636958049+0.551634042371292j</v>
      </c>
      <c r="R103" s="91">
        <f t="shared" si="13"/>
        <v>11.82089552238806</v>
      </c>
      <c r="S103" s="91" t="str">
        <f t="shared" si="14"/>
        <v>1+0.000283949515344196j</v>
      </c>
      <c r="T103" s="91" t="str">
        <f t="shared" si="15"/>
        <v>0.998555415019254+0.0170525104463671j</v>
      </c>
      <c r="U103" s="91" t="str">
        <f t="shared" si="16"/>
        <v>1.0011595626613-0.0168126216461349j</v>
      </c>
      <c r="V103" s="91" t="str">
        <f t="shared" si="17"/>
        <v>11.8346025914589-0.198740243936401j</v>
      </c>
      <c r="X103" s="91" t="str">
        <f t="shared" si="18"/>
        <v>1.34508428667882+0.100956696677799j</v>
      </c>
      <c r="Y103" s="91">
        <f t="shared" si="19"/>
        <v>2.5993869143641817</v>
      </c>
      <c r="Z103" s="91">
        <f t="shared" si="20"/>
        <v>-175.70765393083389</v>
      </c>
      <c r="AB103" s="91" t="str">
        <f t="shared" si="21"/>
        <v>11.0777660598842-0.186030575340204j</v>
      </c>
      <c r="AC103" s="91">
        <f t="shared" si="22"/>
        <v>20.890268370207234</v>
      </c>
      <c r="AD103" s="91">
        <f t="shared" si="23"/>
        <v>179.03791387359229</v>
      </c>
      <c r="AF103" s="91" t="str">
        <f t="shared" si="24"/>
        <v>4.71167686912776-0.282167217451133j</v>
      </c>
      <c r="AG103" s="91">
        <f t="shared" si="25"/>
        <v>13.479057765107543</v>
      </c>
      <c r="AH103" s="91">
        <f t="shared" si="26"/>
        <v>176.57283269642255</v>
      </c>
      <c r="AJ103" s="91" t="str">
        <f t="shared" si="27"/>
        <v>46874.9999852367-0.831883345472949j</v>
      </c>
      <c r="AK103" s="91" t="str">
        <f t="shared" si="28"/>
        <v>15000-8.5184854603259E-07j</v>
      </c>
      <c r="AL103" s="91" t="str">
        <f t="shared" si="43"/>
        <v>10000-5869587.99576176j</v>
      </c>
      <c r="AM103" s="91" t="str">
        <f t="shared" si="44"/>
        <v>963.137790445599-1821597.40619851j</v>
      </c>
      <c r="AN103" s="91" t="str">
        <f t="shared" si="45"/>
        <v>10963.1377904456-1821597.40619851j</v>
      </c>
      <c r="AO103" s="91" t="str">
        <f t="shared" si="46"/>
        <v>14998.2398621387-123.49287613406j</v>
      </c>
      <c r="AP103" s="91" t="str">
        <f t="shared" si="47"/>
        <v>0.242424242438265+3.25928152778342E-06j</v>
      </c>
      <c r="AQ103" s="91" t="str">
        <f t="shared" si="29"/>
        <v>1+0.517923915987814j</v>
      </c>
      <c r="AR103" s="91">
        <f t="shared" si="51"/>
        <v>9.9803914340093447E-8</v>
      </c>
      <c r="AS103" s="91" t="str">
        <f t="shared" si="31"/>
        <v>0.0000288257218791645j</v>
      </c>
      <c r="AT103" s="91" t="str">
        <f t="shared" si="32"/>
        <v>9.98039143400934E-08+0.0000288257218791645j</v>
      </c>
      <c r="AU103" s="91" t="str">
        <f t="shared" si="33"/>
        <v>5.42619528624582-10.3885843943742j</v>
      </c>
      <c r="AW103" s="91" t="str">
        <f t="shared" si="48"/>
        <v>1.30883750809751-2.52187278365853j</v>
      </c>
      <c r="AX103" s="91">
        <f t="shared" si="34"/>
        <v>9.0702946308915617</v>
      </c>
      <c r="AY103" s="91">
        <f t="shared" si="35"/>
        <v>117.42905365532866</v>
      </c>
      <c r="AZ103" s="91" t="str">
        <f t="shared" si="36"/>
        <v>14.0298502802272-28.1802005248163j</v>
      </c>
      <c r="BA103" s="91">
        <f t="shared" si="37"/>
        <v>29.960563001098777</v>
      </c>
      <c r="BB103" s="91">
        <f t="shared" si="38"/>
        <v>116.46696752892096</v>
      </c>
      <c r="BD103" s="91" t="str">
        <f t="shared" si="39"/>
        <v>5.45522958621918-12.2515606994022j</v>
      </c>
      <c r="BE103" s="91">
        <f t="shared" si="40"/>
        <v>22.549352395999058</v>
      </c>
      <c r="BF103" s="91">
        <f t="shared" si="41"/>
        <v>114.00188635175132</v>
      </c>
      <c r="BH103" s="91">
        <f t="shared" si="49"/>
        <v>-21.549352395999058</v>
      </c>
      <c r="BI103" s="112">
        <f t="shared" si="50"/>
        <v>-114.00188635175132</v>
      </c>
      <c r="BJ103" s="95"/>
      <c r="BK103" s="95"/>
      <c r="BL103" s="95"/>
      <c r="BM103" s="95"/>
      <c r="BN103" s="46"/>
      <c r="BO103" s="46"/>
      <c r="BP103" s="46"/>
    </row>
    <row r="104" spans="1:68" s="91" customFormat="1">
      <c r="A104" s="91">
        <v>40</v>
      </c>
      <c r="B104" s="91">
        <f t="shared" si="42"/>
        <v>630.95734448019346</v>
      </c>
      <c r="C104" s="91" t="str">
        <f t="shared" si="0"/>
        <v>3964.421916295j</v>
      </c>
      <c r="D104" s="91">
        <f t="shared" si="1"/>
        <v>0.99999868394323788</v>
      </c>
      <c r="E104" s="91" t="str">
        <f t="shared" si="2"/>
        <v>-0.00180200996195227j</v>
      </c>
      <c r="F104" s="91" t="str">
        <f t="shared" si="3"/>
        <v>0.999998683943238-0.00180200996195227j</v>
      </c>
      <c r="G104" s="91">
        <f t="shared" si="4"/>
        <v>2.6714666215786405E-6</v>
      </c>
      <c r="H104" s="91">
        <f t="shared" si="5"/>
        <v>-0.103247589583469</v>
      </c>
      <c r="J104" s="91">
        <f t="shared" si="6"/>
        <v>7.1641791044776131</v>
      </c>
      <c r="K104" s="91" t="str">
        <f t="shared" si="7"/>
        <v>1+0.0984167740720233j</v>
      </c>
      <c r="L104" s="91">
        <f t="shared" si="8"/>
        <v>0.9984160440661356</v>
      </c>
      <c r="M104" s="91" t="str">
        <f t="shared" si="9"/>
        <v>0.0178561705043272j</v>
      </c>
      <c r="N104" s="91" t="str">
        <f t="shared" si="10"/>
        <v>0.998416044066136+0.0178561705043272j</v>
      </c>
      <c r="O104" s="91" t="str">
        <f t="shared" si="11"/>
        <v>1.00302857190272+0.0806342459637835j</v>
      </c>
      <c r="P104" s="91" t="str">
        <f t="shared" si="12"/>
        <v>7.18587633601949+0.577678180039046j</v>
      </c>
      <c r="R104" s="91">
        <f t="shared" si="13"/>
        <v>11.82089552238806</v>
      </c>
      <c r="S104" s="91" t="str">
        <f t="shared" si="14"/>
        <v>1+0.000297331643722125j</v>
      </c>
      <c r="T104" s="91" t="str">
        <f t="shared" si="15"/>
        <v>0.998416044066136+0.0178561705043272j</v>
      </c>
      <c r="U104" s="91" t="str">
        <f t="shared" si="16"/>
        <v>1.00127153289174-0.0176094361395871j</v>
      </c>
      <c r="V104" s="91" t="str">
        <f t="shared" si="17"/>
        <v>11.8359261798546-0.208159304814224j</v>
      </c>
      <c r="X104" s="91" t="str">
        <f t="shared" si="18"/>
        <v>1.34545935718561+0.105722672875232j</v>
      </c>
      <c r="Y104" s="91">
        <f t="shared" si="19"/>
        <v>2.6041443229922034</v>
      </c>
      <c r="Z104" s="91">
        <f t="shared" si="20"/>
        <v>-175.50707954911607</v>
      </c>
      <c r="AB104" s="91" t="str">
        <f t="shared" si="21"/>
        <v>11.0790050032702-0.194847276374477j</v>
      </c>
      <c r="AC104" s="91">
        <f t="shared" si="22"/>
        <v>20.891358257485759</v>
      </c>
      <c r="AD104" s="91">
        <f t="shared" si="23"/>
        <v>178.99243878163065</v>
      </c>
      <c r="AF104" s="91" t="str">
        <f t="shared" si="24"/>
        <v>4.71028214331646-0.295392411060032j</v>
      </c>
      <c r="AG104" s="91">
        <f t="shared" si="25"/>
        <v>13.477984989431182</v>
      </c>
      <c r="AH104" s="91">
        <f t="shared" si="26"/>
        <v>176.41155183632205</v>
      </c>
      <c r="AJ104" s="91" t="str">
        <f t="shared" si="27"/>
        <v>46874.9999838123-0.871088799666343j</v>
      </c>
      <c r="AK104" s="91" t="str">
        <f t="shared" si="28"/>
        <v>15000-8.91994931166375E-07j</v>
      </c>
      <c r="AL104" s="91" t="str">
        <f t="shared" si="43"/>
        <v>10000-5605413.01895291j</v>
      </c>
      <c r="AM104" s="91" t="str">
        <f t="shared" si="44"/>
        <v>963.137662163603-1739612.12190113j</v>
      </c>
      <c r="AN104" s="91" t="str">
        <f t="shared" si="45"/>
        <v>10963.1376621636-1739612.12190113j</v>
      </c>
      <c r="AO104" s="91" t="str">
        <f t="shared" si="46"/>
        <v>14998.0700852709-129.310374466686j</v>
      </c>
      <c r="AP104" s="91" t="str">
        <f t="shared" si="47"/>
        <v>0.242424242439618+3.41288673387088E-06j</v>
      </c>
      <c r="AQ104" s="91" t="str">
        <f t="shared" si="29"/>
        <v>1+0.542332918149156j</v>
      </c>
      <c r="AR104" s="91">
        <f t="shared" si="51"/>
        <v>9.9784996349336123E-8</v>
      </c>
      <c r="AS104" s="91" t="str">
        <f t="shared" si="31"/>
        <v>0.0000301842362978485j</v>
      </c>
      <c r="AT104" s="91" t="str">
        <f t="shared" si="32"/>
        <v>9.97849963493361E-08+0.0000301842362978485j</v>
      </c>
      <c r="AU104" s="91" t="str">
        <f t="shared" si="33"/>
        <v>5.42302426560489-9.92103495972165j</v>
      </c>
      <c r="AW104" s="91" t="str">
        <f t="shared" si="48"/>
        <v>1.30806793611025-2.40868691650364j</v>
      </c>
      <c r="AX104" s="91">
        <f t="shared" si="34"/>
        <v>8.758026592239128</v>
      </c>
      <c r="AY104" s="91">
        <f t="shared" si="35"/>
        <v>118.50473307586481</v>
      </c>
      <c r="AZ104" s="91" t="str">
        <f t="shared" si="36"/>
        <v>14.0227651234632-26.9407278739192j</v>
      </c>
      <c r="BA104" s="91">
        <f t="shared" si="37"/>
        <v>29.649384849724896</v>
      </c>
      <c r="BB104" s="91">
        <f t="shared" si="38"/>
        <v>117.4971718574954</v>
      </c>
      <c r="BD104" s="91" t="str">
        <f t="shared" si="39"/>
        <v>5.44986120595015-11.731988313125j</v>
      </c>
      <c r="BE104" s="91">
        <f t="shared" si="40"/>
        <v>22.236011581670301</v>
      </c>
      <c r="BF104" s="91">
        <f t="shared" si="41"/>
        <v>114.91628491218678</v>
      </c>
      <c r="BH104" s="91">
        <f t="shared" si="49"/>
        <v>-21.236011581670301</v>
      </c>
      <c r="BI104" s="112">
        <f t="shared" si="50"/>
        <v>-114.91628491218678</v>
      </c>
      <c r="BJ104" s="95"/>
      <c r="BK104" s="95"/>
      <c r="BL104" s="95"/>
      <c r="BM104" s="95"/>
      <c r="BN104" s="46"/>
      <c r="BO104" s="46"/>
      <c r="BP104" s="46"/>
    </row>
    <row r="105" spans="1:68" s="91" customFormat="1">
      <c r="A105" s="91">
        <v>41</v>
      </c>
      <c r="B105" s="91">
        <f t="shared" si="42"/>
        <v>660.69344800759632</v>
      </c>
      <c r="C105" s="91" t="str">
        <f t="shared" si="0"/>
        <v>4151.25936507115j</v>
      </c>
      <c r="D105" s="91">
        <f t="shared" si="1"/>
        <v>0.99999855697245543</v>
      </c>
      <c r="E105" s="91" t="str">
        <f t="shared" si="2"/>
        <v>-0.00188693607503234j</v>
      </c>
      <c r="F105" s="91" t="str">
        <f t="shared" si="3"/>
        <v>0.999998556972455-0.00188693607503234j</v>
      </c>
      <c r="G105" s="91">
        <f t="shared" si="4"/>
        <v>2.9292056037532655E-6</v>
      </c>
      <c r="H105" s="91">
        <f t="shared" si="5"/>
        <v>-0.10811350100732364</v>
      </c>
      <c r="J105" s="91">
        <f t="shared" si="6"/>
        <v>7.1641791044776131</v>
      </c>
      <c r="K105" s="91" t="str">
        <f t="shared" si="7"/>
        <v>1+0.103055013737891j</v>
      </c>
      <c r="L105" s="91">
        <f t="shared" si="8"/>
        <v>0.99826322685486613</v>
      </c>
      <c r="M105" s="91" t="str">
        <f t="shared" si="9"/>
        <v>0.0186977058939455j</v>
      </c>
      <c r="N105" s="91" t="str">
        <f t="shared" si="10"/>
        <v>0.998263226854866+0.0186977058939455j</v>
      </c>
      <c r="O105" s="91" t="str">
        <f t="shared" si="11"/>
        <v>1.0033214107725+0.0844418614394415j</v>
      </c>
      <c r="P105" s="91" t="str">
        <f t="shared" si="12"/>
        <v>7.18797428613134+0.604956619267641j</v>
      </c>
      <c r="R105" s="91">
        <f t="shared" si="13"/>
        <v>11.82089552238806</v>
      </c>
      <c r="S105" s="91" t="str">
        <f t="shared" si="14"/>
        <v>1+0.000311344452380336j</v>
      </c>
      <c r="T105" s="91" t="str">
        <f t="shared" si="15"/>
        <v>0.998263226854866+0.0186977058939455j</v>
      </c>
      <c r="U105" s="91" t="str">
        <f t="shared" si="16"/>
        <v>1.001394325572-0.0184444659842286j</v>
      </c>
      <c r="V105" s="91" t="str">
        <f t="shared" si="17"/>
        <v>11.8373776992989-0.218030105365807j</v>
      </c>
      <c r="X105" s="91" t="str">
        <f t="shared" si="18"/>
        <v>1.34587076325525+0.110714452728565j</v>
      </c>
      <c r="Y105" s="91">
        <f t="shared" si="19"/>
        <v>2.6093572815519712</v>
      </c>
      <c r="Z105" s="91">
        <f t="shared" si="20"/>
        <v>-175.29730497244449</v>
      </c>
      <c r="AB105" s="91" t="str">
        <f t="shared" si="21"/>
        <v>11.0803636963663-0.204086827807588j</v>
      </c>
      <c r="AC105" s="91">
        <f t="shared" si="22"/>
        <v>20.892553415030541</v>
      </c>
      <c r="AD105" s="91">
        <f t="shared" si="23"/>
        <v>178.94480071666561</v>
      </c>
      <c r="AF105" s="91" t="str">
        <f t="shared" si="24"/>
        <v>4.70875362163714-0.30923012444819j</v>
      </c>
      <c r="AG105" s="91">
        <f t="shared" si="25"/>
        <v>13.476808993987637</v>
      </c>
      <c r="AH105" s="91">
        <f t="shared" si="26"/>
        <v>176.24270501042952</v>
      </c>
      <c r="AJ105" s="91" t="str">
        <f t="shared" si="27"/>
        <v>46874.9999822506-0.912141949987629j</v>
      </c>
      <c r="AK105" s="91" t="str">
        <f t="shared" si="28"/>
        <v>15000-9.34033357141009E-07j</v>
      </c>
      <c r="AL105" s="91" t="str">
        <f t="shared" si="43"/>
        <v>10000-5353127.87468805j</v>
      </c>
      <c r="AM105" s="91" t="str">
        <f t="shared" si="44"/>
        <v>963.137521505237-1661316.78814812j</v>
      </c>
      <c r="AN105" s="91" t="str">
        <f t="shared" si="45"/>
        <v>10963.1375215052-1661316.78814812j</v>
      </c>
      <c r="AO105" s="91" t="str">
        <f t="shared" si="46"/>
        <v>14997.883936333-135.401666620341j</v>
      </c>
      <c r="AP105" s="91" t="str">
        <f t="shared" si="47"/>
        <v>0.242424242441101+3.57373113029338E-06j</v>
      </c>
      <c r="AQ105" s="91" t="str">
        <f t="shared" si="29"/>
        <v>1+0.567892281141733j</v>
      </c>
      <c r="AR105" s="91">
        <f t="shared" si="51"/>
        <v>9.9764253184955875E-8</v>
      </c>
      <c r="AS105" s="91" t="str">
        <f t="shared" si="31"/>
        <v>0.0000316067755285914j</v>
      </c>
      <c r="AT105" s="91" t="str">
        <f t="shared" si="32"/>
        <v>9.97642531849559E-08+0.0000316067755285914j</v>
      </c>
      <c r="AU105" s="91" t="str">
        <f t="shared" si="33"/>
        <v>5.42013225454872-9.47452751966334j</v>
      </c>
      <c r="AW105" s="91" t="str">
        <f t="shared" si="48"/>
        <v>1.30736592308586-2.3006097481552j</v>
      </c>
      <c r="AX105" s="91">
        <f t="shared" si="34"/>
        <v>8.4522278064263094</v>
      </c>
      <c r="AY105" s="91">
        <f t="shared" si="35"/>
        <v>119.60824030591934</v>
      </c>
      <c r="AZ105" s="91" t="str">
        <f t="shared" si="36"/>
        <v>14.0165657665027-25.7584088969915j</v>
      </c>
      <c r="BA105" s="91">
        <f t="shared" si="37"/>
        <v>29.344781221456806</v>
      </c>
      <c r="BB105" s="91">
        <f t="shared" si="38"/>
        <v>118.55304102258495</v>
      </c>
      <c r="BD105" s="91" t="str">
        <f t="shared" si="39"/>
        <v>5.44464618640674-11.2372814106946j</v>
      </c>
      <c r="BE105" s="91">
        <f t="shared" si="40"/>
        <v>21.929036800413893</v>
      </c>
      <c r="BF105" s="91">
        <f t="shared" si="41"/>
        <v>115.85094531634886</v>
      </c>
      <c r="BH105" s="91">
        <f t="shared" si="49"/>
        <v>-20.929036800413893</v>
      </c>
      <c r="BI105" s="112">
        <f t="shared" si="50"/>
        <v>-115.85094531634886</v>
      </c>
      <c r="BJ105" s="95"/>
      <c r="BK105" s="95"/>
      <c r="BL105" s="95"/>
      <c r="BM105" s="95"/>
      <c r="BN105" s="46"/>
      <c r="BO105" s="46"/>
      <c r="BP105" s="46"/>
    </row>
    <row r="106" spans="1:68" s="91" customFormat="1">
      <c r="A106" s="91">
        <v>42</v>
      </c>
      <c r="B106" s="91">
        <f t="shared" si="42"/>
        <v>691.83097091893671</v>
      </c>
      <c r="C106" s="91" t="str">
        <f t="shared" si="0"/>
        <v>4346.90219152965j</v>
      </c>
      <c r="D106" s="91">
        <f t="shared" si="1"/>
        <v>0.9999984177517609</v>
      </c>
      <c r="E106" s="91" t="str">
        <f t="shared" si="2"/>
        <v>-0.00197586463251348j</v>
      </c>
      <c r="F106" s="91" t="str">
        <f t="shared" si="3"/>
        <v>0.999998417751761-0.00197586463251348j</v>
      </c>
      <c r="G106" s="91">
        <f t="shared" si="4"/>
        <v>3.2118109351111522E-6</v>
      </c>
      <c r="H106" s="91">
        <f t="shared" si="5"/>
        <v>-0.11320873613258257</v>
      </c>
      <c r="J106" s="91">
        <f t="shared" si="6"/>
        <v>7.1641791044776131</v>
      </c>
      <c r="K106" s="91" t="str">
        <f t="shared" si="7"/>
        <v>1+0.107911846904724j</v>
      </c>
      <c r="L106" s="91">
        <f t="shared" si="8"/>
        <v>0.99809566611471368</v>
      </c>
      <c r="M106" s="91" t="str">
        <f t="shared" si="9"/>
        <v>0.0195789016246099j</v>
      </c>
      <c r="N106" s="91" t="str">
        <f t="shared" si="10"/>
        <v>0.998095666114714+0.0195789016246099j</v>
      </c>
      <c r="O106" s="91" t="str">
        <f t="shared" si="11"/>
        <v>1.0036426334713+0.0884300268142642j</v>
      </c>
      <c r="P106" s="91" t="str">
        <f t="shared" si="12"/>
        <v>7.19027558307797+0.633528550311147j</v>
      </c>
      <c r="R106" s="91">
        <f t="shared" si="13"/>
        <v>11.82089552238806</v>
      </c>
      <c r="S106" s="91" t="str">
        <f t="shared" si="14"/>
        <v>1+0.000326017664364724j</v>
      </c>
      <c r="T106" s="91" t="str">
        <f t="shared" si="15"/>
        <v>0.998095666114714+0.0195789016246099j</v>
      </c>
      <c r="U106" s="91" t="str">
        <f t="shared" si="16"/>
        <v>1.00152898882984-0.0193196108717634j</v>
      </c>
      <c r="V106" s="91" t="str">
        <f t="shared" si="17"/>
        <v>11.8389695396005-0.228375101648308j</v>
      </c>
      <c r="X106" s="91" t="str">
        <f t="shared" si="18"/>
        <v>1.34632204078523+0.115942854329135j</v>
      </c>
      <c r="Y106" s="91">
        <f t="shared" si="19"/>
        <v>2.615069053583698</v>
      </c>
      <c r="Z106" s="91">
        <f t="shared" si="20"/>
        <v>-175.07793354510295</v>
      </c>
      <c r="AB106" s="91" t="str">
        <f t="shared" si="21"/>
        <v>11.0818537366384-0.213770249605851j</v>
      </c>
      <c r="AC106" s="91">
        <f t="shared" si="22"/>
        <v>20.893864023394816</v>
      </c>
      <c r="AD106" s="91">
        <f t="shared" si="23"/>
        <v>178.89489479773425</v>
      </c>
      <c r="AF106" s="91" t="str">
        <f t="shared" si="24"/>
        <v>4.70707854967271-0.323707640726149j</v>
      </c>
      <c r="AG106" s="91">
        <f t="shared" si="25"/>
        <v>13.475519876717502</v>
      </c>
      <c r="AH106" s="91">
        <f t="shared" si="26"/>
        <v>176.0659408055686</v>
      </c>
      <c r="AJ106" s="91" t="str">
        <f t="shared" si="27"/>
        <v>46874.9999805382-0.955129875671968j</v>
      </c>
      <c r="AK106" s="91" t="str">
        <f t="shared" si="28"/>
        <v>15000-9.78052993094172E-07j</v>
      </c>
      <c r="AL106" s="91" t="str">
        <f t="shared" si="43"/>
        <v>10000-5112197.43235179j</v>
      </c>
      <c r="AM106" s="91" t="str">
        <f t="shared" si="44"/>
        <v>963.137367276443-1586545.33003936j</v>
      </c>
      <c r="AN106" s="91" t="str">
        <f t="shared" si="45"/>
        <v>10963.1373672764-1586545.33003936j</v>
      </c>
      <c r="AO106" s="91" t="str">
        <f t="shared" si="46"/>
        <v>14997.6798373331-141.779600362235j</v>
      </c>
      <c r="AP106" s="91" t="str">
        <f t="shared" si="47"/>
        <v>0.242424242442727+3.74215588958037E-06j</v>
      </c>
      <c r="AQ106" s="91" t="str">
        <f t="shared" si="29"/>
        <v>1+0.594656219801256j</v>
      </c>
      <c r="AR106" s="91">
        <f t="shared" si="51"/>
        <v>9.9741508757493911E-8</v>
      </c>
      <c r="AS106" s="91" t="str">
        <f t="shared" si="31"/>
        <v>0.0000330963569678246j</v>
      </c>
      <c r="AT106" s="91" t="str">
        <f t="shared" si="32"/>
        <v>9.97415087574939E-08+0.0000330963569678246j</v>
      </c>
      <c r="AU106" s="91" t="str">
        <f t="shared" si="33"/>
        <v>5.41749470424282-9.04811521085658j</v>
      </c>
      <c r="AW106" s="91" t="str">
        <f t="shared" si="48"/>
        <v>1.30672550998699-2.19741209027789j</v>
      </c>
      <c r="AX106" s="91">
        <f t="shared" si="34"/>
        <v>8.153221069298791</v>
      </c>
      <c r="AY106" s="91">
        <f t="shared" si="35"/>
        <v>120.73849580450755</v>
      </c>
      <c r="AZ106" s="91" t="str">
        <f t="shared" si="36"/>
        <v>14.0111996445844-24.6307384220166j</v>
      </c>
      <c r="BA106" s="91">
        <f t="shared" si="37"/>
        <v>29.047085092693582</v>
      </c>
      <c r="BB106" s="91">
        <f t="shared" si="38"/>
        <v>119.63339060224183</v>
      </c>
      <c r="BD106" s="91" t="str">
        <f t="shared" si="39"/>
        <v>5.43954053492292-10.7663883468531j</v>
      </c>
      <c r="BE106" s="91">
        <f t="shared" si="40"/>
        <v>21.6287409460163</v>
      </c>
      <c r="BF106" s="91">
        <f t="shared" si="41"/>
        <v>116.80443661007612</v>
      </c>
      <c r="BH106" s="91">
        <f t="shared" si="49"/>
        <v>-20.6287409460163</v>
      </c>
      <c r="BI106" s="112">
        <f t="shared" si="50"/>
        <v>-116.80443661007612</v>
      </c>
      <c r="BJ106" s="95"/>
      <c r="BK106" s="95"/>
      <c r="BL106" s="95"/>
      <c r="BM106" s="95"/>
      <c r="BN106" s="46"/>
      <c r="BO106" s="46"/>
      <c r="BP106" s="46"/>
    </row>
    <row r="107" spans="1:68" s="91" customFormat="1">
      <c r="A107" s="91">
        <v>43</v>
      </c>
      <c r="B107" s="91">
        <f t="shared" si="42"/>
        <v>724.43596007499025</v>
      </c>
      <c r="C107" s="91" t="str">
        <f t="shared" si="0"/>
        <v>4551.76538033572j</v>
      </c>
      <c r="D107" s="91">
        <f t="shared" si="1"/>
        <v>0.99999826509930501</v>
      </c>
      <c r="E107" s="91" t="str">
        <f t="shared" si="2"/>
        <v>-0.00206898426378896j</v>
      </c>
      <c r="F107" s="91" t="str">
        <f t="shared" si="3"/>
        <v>0.999998265099305-0.00206898426378896j</v>
      </c>
      <c r="G107" s="91">
        <f t="shared" si="4"/>
        <v>3.5216816834819506E-6</v>
      </c>
      <c r="H107" s="91">
        <f t="shared" si="5"/>
        <v>-0.11854410270581751</v>
      </c>
      <c r="J107" s="91">
        <f t="shared" si="6"/>
        <v>7.1641791044776131</v>
      </c>
      <c r="K107" s="91" t="str">
        <f t="shared" si="7"/>
        <v>1+0.112997575566834j</v>
      </c>
      <c r="L107" s="91">
        <f t="shared" si="8"/>
        <v>0.99791193941660683</v>
      </c>
      <c r="M107" s="91" t="str">
        <f t="shared" si="9"/>
        <v>0.0205016268306091j</v>
      </c>
      <c r="N107" s="91" t="str">
        <f t="shared" si="10"/>
        <v>0.997911939416607+0.0205016268306091j</v>
      </c>
      <c r="O107" s="91" t="str">
        <f t="shared" si="11"/>
        <v>1.00399500505032+0.0926074145254975j</v>
      </c>
      <c r="P107" s="91" t="str">
        <f t="shared" si="12"/>
        <v>7.1928000361814+0.663456104063266j</v>
      </c>
      <c r="R107" s="91">
        <f t="shared" si="13"/>
        <v>11.82089552238806</v>
      </c>
      <c r="S107" s="91" t="str">
        <f t="shared" si="14"/>
        <v>1+0.000341382403525179j</v>
      </c>
      <c r="T107" s="91" t="str">
        <f t="shared" si="15"/>
        <v>0.997911939416607+0.0205016268306091j</v>
      </c>
      <c r="U107" s="91" t="str">
        <f t="shared" si="16"/>
        <v>1.00167667272294-0.0202368747660969j</v>
      </c>
      <c r="V107" s="91" t="str">
        <f t="shared" si="17"/>
        <v>11.8407152954712-0.239217982309683j</v>
      </c>
      <c r="X107" s="91" t="str">
        <f t="shared" si="18"/>
        <v>1.34681707296644+0.121419231719926j</v>
      </c>
      <c r="Y107" s="91">
        <f t="shared" si="19"/>
        <v>2.6213269401372346</v>
      </c>
      <c r="Z107" s="91">
        <f t="shared" si="20"/>
        <v>-174.84855526598341</v>
      </c>
      <c r="AB107" s="91" t="str">
        <f t="shared" si="21"/>
        <v>11.0834878494008-0.223919715500772j</v>
      </c>
      <c r="AC107" s="91">
        <f t="shared" si="22"/>
        <v>20.895301250246959</v>
      </c>
      <c r="AD107" s="91">
        <f t="shared" si="23"/>
        <v>178.84261076233398</v>
      </c>
      <c r="AF107" s="91" t="str">
        <f t="shared" si="24"/>
        <v>4.70524297339805-0.338853296895934j</v>
      </c>
      <c r="AG107" s="91">
        <f t="shared" si="25"/>
        <v>13.474106791580951</v>
      </c>
      <c r="AH107" s="91">
        <f t="shared" si="26"/>
        <v>175.88089200608141</v>
      </c>
      <c r="AJ107" s="91" t="str">
        <f t="shared" si="27"/>
        <v>46874.9999786605-1.00014375987237j</v>
      </c>
      <c r="AK107" s="91" t="str">
        <f t="shared" si="28"/>
        <v>15000-1.02414721057554E-06j</v>
      </c>
      <c r="AL107" s="91" t="str">
        <f t="shared" si="43"/>
        <v>10000-4882110.64617378j</v>
      </c>
      <c r="AM107" s="91" t="str">
        <f t="shared" si="44"/>
        <v>963.137198167998-1515139.14728741j</v>
      </c>
      <c r="AN107" s="91" t="str">
        <f t="shared" si="45"/>
        <v>10963.137198168-1515139.14728741j</v>
      </c>
      <c r="AO107" s="91" t="str">
        <f t="shared" si="46"/>
        <v>14997.4560583525-148.457620706495j</v>
      </c>
      <c r="AP107" s="91" t="str">
        <f t="shared" si="47"/>
        <v>0.242424242444511+3.91851826322723E-06j</v>
      </c>
      <c r="AQ107" s="91" t="str">
        <f t="shared" si="29"/>
        <v>1+0.622681504029926j</v>
      </c>
      <c r="AR107" s="91">
        <f t="shared" si="51"/>
        <v>9.9716569988698113E-8</v>
      </c>
      <c r="AS107" s="91" t="str">
        <f t="shared" si="31"/>
        <v>0.0000346561402174925j</v>
      </c>
      <c r="AT107" s="91" t="str">
        <f t="shared" si="32"/>
        <v>9.97165699886981E-08+0.0000346561402174925j</v>
      </c>
      <c r="AU107" s="91" t="str">
        <f t="shared" si="33"/>
        <v>5.41508922571818-8.64089376361299j</v>
      </c>
      <c r="AW107" s="91" t="str">
        <f t="shared" si="48"/>
        <v>1.30614126063703-2.09887509715305j</v>
      </c>
      <c r="AX107" s="91">
        <f t="shared" si="34"/>
        <v>7.8613230061592274</v>
      </c>
      <c r="AY107" s="91">
        <f t="shared" si="35"/>
        <v>121.89422636868998</v>
      </c>
      <c r="AZ107" s="91" t="str">
        <f t="shared" si="36"/>
        <v>14.0066212772454-23.5553274161915j</v>
      </c>
      <c r="BA107" s="91">
        <f t="shared" si="37"/>
        <v>28.756624256406212</v>
      </c>
      <c r="BB107" s="91">
        <f t="shared" si="38"/>
        <v>120.73683713102389</v>
      </c>
      <c r="BD107" s="91" t="str">
        <f t="shared" si="39"/>
        <v>5.43450124243458-10.3183075752983j</v>
      </c>
      <c r="BE107" s="91">
        <f t="shared" si="40"/>
        <v>21.33542979774024</v>
      </c>
      <c r="BF107" s="91">
        <f t="shared" si="41"/>
        <v>117.77511837477121</v>
      </c>
      <c r="BH107" s="91">
        <f t="shared" si="49"/>
        <v>-20.33542979774024</v>
      </c>
      <c r="BI107" s="112">
        <f t="shared" si="50"/>
        <v>-117.77511837477121</v>
      </c>
      <c r="BJ107" s="95"/>
      <c r="BK107" s="95"/>
      <c r="BL107" s="95"/>
      <c r="BM107" s="95"/>
      <c r="BN107" s="46"/>
      <c r="BO107" s="46"/>
      <c r="BP107" s="46"/>
    </row>
    <row r="108" spans="1:68" s="91" customFormat="1">
      <c r="A108" s="91">
        <v>44</v>
      </c>
      <c r="B108" s="91">
        <f t="shared" si="42"/>
        <v>758.57757502918378</v>
      </c>
      <c r="C108" s="91" t="str">
        <f t="shared" si="0"/>
        <v>4766.28347377929j</v>
      </c>
      <c r="D108" s="91">
        <f t="shared" si="1"/>
        <v>0.99999809771921544</v>
      </c>
      <c r="E108" s="91" t="str">
        <f t="shared" si="2"/>
        <v>-0.0021664924880815j</v>
      </c>
      <c r="F108" s="91" t="str">
        <f t="shared" si="3"/>
        <v>0.999998097719215-0.0021664924880815j</v>
      </c>
      <c r="G108" s="91">
        <f t="shared" si="4"/>
        <v>3.8614484086020018E-6</v>
      </c>
      <c r="H108" s="91">
        <f t="shared" si="5"/>
        <v>-0.12413091783493002</v>
      </c>
      <c r="J108" s="91">
        <f t="shared" si="6"/>
        <v>7.1641791044776131</v>
      </c>
      <c r="K108" s="91" t="str">
        <f t="shared" si="7"/>
        <v>1+0.118322987236571j</v>
      </c>
      <c r="L108" s="91">
        <f t="shared" si="8"/>
        <v>0.99771048709808341</v>
      </c>
      <c r="M108" s="91" t="str">
        <f t="shared" si="9"/>
        <v>0.0214678387358171j</v>
      </c>
      <c r="N108" s="91" t="str">
        <f t="shared" si="10"/>
        <v>0.997710487098083+0.0214678387358171j</v>
      </c>
      <c r="O108" s="91" t="str">
        <f t="shared" si="11"/>
        <v>1.00438156274011+0.0969831299457174j</v>
      </c>
      <c r="P108" s="91" t="str">
        <f t="shared" si="12"/>
        <v>7.19556940470527+0.694804513043946j</v>
      </c>
      <c r="R108" s="91">
        <f t="shared" si="13"/>
        <v>11.82089552238806</v>
      </c>
      <c r="S108" s="91" t="str">
        <f t="shared" si="14"/>
        <v>1+0.000357471260533447j</v>
      </c>
      <c r="T108" s="91" t="str">
        <f t="shared" si="15"/>
        <v>0.997710487098083+0.0214678387358171j</v>
      </c>
      <c r="U108" s="91" t="str">
        <f t="shared" si="16"/>
        <v>1.00183863923641-0.0211983730344662j</v>
      </c>
      <c r="V108" s="91" t="str">
        <f t="shared" si="17"/>
        <v>11.842629884705-0.250583752885033j</v>
      </c>
      <c r="X108" s="91" t="str">
        <f t="shared" si="18"/>
        <v>1.34736012504301+0.127155504020354j</v>
      </c>
      <c r="Y108" s="91">
        <f t="shared" si="19"/>
        <v>2.6281826424801791</v>
      </c>
      <c r="Z108" s="91">
        <f t="shared" si="20"/>
        <v>-174.60874692065158</v>
      </c>
      <c r="AB108" s="91" t="str">
        <f t="shared" si="21"/>
        <v>11.0852799984374-0.234558631894544j</v>
      </c>
      <c r="AC108" s="91">
        <f t="shared" si="22"/>
        <v>20.896877346600455</v>
      </c>
      <c r="AD108" s="91">
        <f t="shared" si="23"/>
        <v>178.78783264713266</v>
      </c>
      <c r="AF108" s="91" t="str">
        <f t="shared" si="24"/>
        <v>4.70323162962482-0.354696499868636j</v>
      </c>
      <c r="AG108" s="91">
        <f t="shared" si="25"/>
        <v>13.472557859762253</v>
      </c>
      <c r="AH108" s="91">
        <f t="shared" si="26"/>
        <v>175.68717496017268</v>
      </c>
      <c r="AJ108" s="91" t="str">
        <f t="shared" si="27"/>
        <v>46874.9999766017-1.04727908307132j</v>
      </c>
      <c r="AK108" s="91" t="str">
        <f t="shared" si="28"/>
        <v>15000-1.07241378160034E-06j</v>
      </c>
      <c r="AL108" s="91" t="str">
        <f t="shared" si="43"/>
        <v>10000-4662379.47123228j</v>
      </c>
      <c r="AM108" s="91" t="str">
        <f t="shared" si="44"/>
        <v>963.137012744341-1446946.77780506j</v>
      </c>
      <c r="AN108" s="91" t="str">
        <f t="shared" si="45"/>
        <v>10963.1370127443-1446946.77780506j</v>
      </c>
      <c r="AO108" s="91" t="str">
        <f t="shared" si="46"/>
        <v>14997.2107029504-155.449796841384j</v>
      </c>
      <c r="AP108" s="91" t="str">
        <f t="shared" si="47"/>
        <v>0.242424242446467+4.10319233947344E-06j</v>
      </c>
      <c r="AQ108" s="91" t="str">
        <f t="shared" si="29"/>
        <v>1+0.652027579213007j</v>
      </c>
      <c r="AR108" s="91">
        <f t="shared" si="51"/>
        <v>9.9689225172474869E-8</v>
      </c>
      <c r="AS108" s="91" t="str">
        <f t="shared" si="31"/>
        <v>0.0000362894337869913j</v>
      </c>
      <c r="AT108" s="91" t="str">
        <f t="shared" si="32"/>
        <v>9.96892251724749E-08+0.0000362894337869913j</v>
      </c>
      <c r="AU108" s="91" t="str">
        <f t="shared" si="33"/>
        <v>5.4128953998546-8.25199958779728j</v>
      </c>
      <c r="AW108" s="91" t="str">
        <f t="shared" si="48"/>
        <v>1.30560821558297-2.00478980244006j</v>
      </c>
      <c r="AX108" s="91">
        <f t="shared" si="34"/>
        <v>7.5768406824764387</v>
      </c>
      <c r="AY108" s="91">
        <f t="shared" si="35"/>
        <v>123.07396296291158</v>
      </c>
      <c r="AZ108" s="91" t="str">
        <f t="shared" si="36"/>
        <v>14.002791884701-22.5298979748975j</v>
      </c>
      <c r="BA108" s="91">
        <f t="shared" si="37"/>
        <v>28.473718029076906</v>
      </c>
      <c r="BB108" s="91">
        <f t="shared" si="38"/>
        <v>121.86179561004427</v>
      </c>
      <c r="BD108" s="91" t="str">
        <f t="shared" si="39"/>
        <v>5.42948592953003-9.8920854738524j</v>
      </c>
      <c r="BE108" s="91">
        <f t="shared" si="40"/>
        <v>21.049398542238698</v>
      </c>
      <c r="BF108" s="91">
        <f t="shared" si="41"/>
        <v>118.76113792308431</v>
      </c>
      <c r="BH108" s="91">
        <f t="shared" si="49"/>
        <v>-20.049398542238698</v>
      </c>
      <c r="BI108" s="112">
        <f t="shared" si="50"/>
        <v>-118.76113792308431</v>
      </c>
      <c r="BJ108" s="95"/>
      <c r="BK108" s="95"/>
      <c r="BL108" s="95"/>
      <c r="BM108" s="95"/>
      <c r="BN108" s="46"/>
      <c r="BO108" s="46"/>
      <c r="BP108" s="46"/>
    </row>
    <row r="109" spans="1:68" s="91" customFormat="1">
      <c r="A109" s="91">
        <v>45</v>
      </c>
      <c r="B109" s="91">
        <f t="shared" si="42"/>
        <v>794.32823472428174</v>
      </c>
      <c r="C109" s="91" t="str">
        <f t="shared" si="0"/>
        <v>4990.91149349751j</v>
      </c>
      <c r="D109" s="91">
        <f t="shared" si="1"/>
        <v>0.9999979141905968</v>
      </c>
      <c r="E109" s="91" t="str">
        <f t="shared" si="2"/>
        <v>-0.00226859613340796j</v>
      </c>
      <c r="F109" s="91" t="str">
        <f t="shared" si="3"/>
        <v>0.999997914190597-0.00226859613340796j</v>
      </c>
      <c r="G109" s="91">
        <f t="shared" si="4"/>
        <v>4.2339954745841765E-6</v>
      </c>
      <c r="H109" s="91">
        <f t="shared" si="5"/>
        <v>-0.12998103199578162</v>
      </c>
      <c r="J109" s="91">
        <f t="shared" si="6"/>
        <v>7.1641791044776131</v>
      </c>
      <c r="K109" s="91" t="str">
        <f t="shared" si="7"/>
        <v>1+0.123899377826076j</v>
      </c>
      <c r="L109" s="91">
        <f t="shared" si="8"/>
        <v>0.99748959902325995</v>
      </c>
      <c r="M109" s="91" t="str">
        <f t="shared" si="9"/>
        <v>0.022479586805227j</v>
      </c>
      <c r="N109" s="91" t="str">
        <f t="shared" si="10"/>
        <v>0.99748959902326+0.022479586805227j</v>
      </c>
      <c r="O109" s="91" t="str">
        <f t="shared" si="11"/>
        <v>1.00480564331283+0.101566735376537j</v>
      </c>
      <c r="P109" s="91" t="str">
        <f t="shared" si="12"/>
        <v>7.19860759388296+0.727642283294594j</v>
      </c>
      <c r="R109" s="91">
        <f t="shared" si="13"/>
        <v>11.82089552238806</v>
      </c>
      <c r="S109" s="91" t="str">
        <f t="shared" si="14"/>
        <v>1+0.000374318362012313j</v>
      </c>
      <c r="T109" s="91" t="str">
        <f t="shared" si="15"/>
        <v>0.99748959902326+0.022479586805227j</v>
      </c>
      <c r="U109" s="91" t="str">
        <f t="shared" si="16"/>
        <v>1.00201627327783-0.0222063402516443j</v>
      </c>
      <c r="V109" s="91" t="str">
        <f t="shared" si="17"/>
        <v>11.8447296781499-0.262498828049288j</v>
      </c>
      <c r="X109" s="91" t="str">
        <f t="shared" si="18"/>
        <v>1.34795588268194+0.133164186495748j</v>
      </c>
      <c r="Y109" s="91">
        <f t="shared" si="19"/>
        <v>2.6356926546166211</v>
      </c>
      <c r="Z109" s="91">
        <f t="shared" si="20"/>
        <v>-174.35807232451688</v>
      </c>
      <c r="AB109" s="91" t="str">
        <f t="shared" si="21"/>
        <v>11.0872455076615-0.245711724213065j</v>
      </c>
      <c r="AC109" s="91">
        <f t="shared" si="22"/>
        <v>20.898605752529939</v>
      </c>
      <c r="AD109" s="91">
        <f t="shared" si="23"/>
        <v>178.73043844372552</v>
      </c>
      <c r="AF109" s="91" t="str">
        <f t="shared" si="24"/>
        <v>4.70102782710428-0.371267738432786j</v>
      </c>
      <c r="AG109" s="91">
        <f t="shared" si="25"/>
        <v>13.470860072762999</v>
      </c>
      <c r="AH109" s="91">
        <f t="shared" si="26"/>
        <v>175.48438893249769</v>
      </c>
      <c r="AJ109" s="91" t="str">
        <f t="shared" si="27"/>
        <v>46874.9999743443-1.09663582560774j</v>
      </c>
      <c r="AK109" s="91" t="str">
        <f t="shared" si="28"/>
        <v>15000-1.12295508603694E-06j</v>
      </c>
      <c r="AL109" s="91" t="str">
        <f t="shared" si="43"/>
        <v>10000-4452537.82824536j</v>
      </c>
      <c r="AM109" s="91" t="str">
        <f t="shared" si="44"/>
        <v>963.136809431429-1381823.57643391j</v>
      </c>
      <c r="AN109" s="91" t="str">
        <f t="shared" si="45"/>
        <v>10963.1368094314-1381823.57643391j</v>
      </c>
      <c r="AO109" s="91" t="str">
        <f t="shared" si="46"/>
        <v>14996.9416921759-162.770850145397j</v>
      </c>
      <c r="AP109" s="91" t="str">
        <f t="shared" si="47"/>
        <v>0.242424242448611+4.29656983679427E-06j</v>
      </c>
      <c r="AQ109" s="91" t="str">
        <f t="shared" si="29"/>
        <v>1+0.682756692310459j</v>
      </c>
      <c r="AR109" s="91">
        <f t="shared" si="51"/>
        <v>9.9659242177708528E-8</v>
      </c>
      <c r="AS109" s="91" t="str">
        <f t="shared" si="31"/>
        <v>0.0000379997021109615j</v>
      </c>
      <c r="AT109" s="91" t="str">
        <f t="shared" si="32"/>
        <v>9.96592421777085E-08+0.0000379997021109615j</v>
      </c>
      <c r="AU109" s="91" t="str">
        <f t="shared" si="33"/>
        <v>5.41089460407834-7.88060794449942j</v>
      </c>
      <c r="AW109" s="91" t="str">
        <f t="shared" si="48"/>
        <v>1.30512185000325-1.91495667676851j</v>
      </c>
      <c r="AX109" s="91">
        <f t="shared" si="34"/>
        <v>7.300068053954889</v>
      </c>
      <c r="AY109" s="91">
        <f t="shared" si="35"/>
        <v>124.27604153708901</v>
      </c>
      <c r="AZ109" s="91" t="str">
        <f t="shared" si="36"/>
        <v>13.9996790615573-21.5522785519405j</v>
      </c>
      <c r="BA109" s="91">
        <f t="shared" si="37"/>
        <v>28.198673806484827</v>
      </c>
      <c r="BB109" s="91">
        <f t="shared" si="38"/>
        <v>123.00647998081455</v>
      </c>
      <c r="BD109" s="91" t="str">
        <f t="shared" si="39"/>
        <v>5.42445250004649-9.48681426281781j</v>
      </c>
      <c r="BE109" s="91">
        <f t="shared" si="40"/>
        <v>20.770928126717884</v>
      </c>
      <c r="BF109" s="91">
        <f t="shared" si="41"/>
        <v>119.76043046958675</v>
      </c>
      <c r="BH109" s="91">
        <f t="shared" si="49"/>
        <v>-19.770928126717884</v>
      </c>
      <c r="BI109" s="112">
        <f t="shared" si="50"/>
        <v>-119.76043046958675</v>
      </c>
      <c r="BJ109" s="95"/>
      <c r="BK109" s="95"/>
      <c r="BL109" s="95"/>
      <c r="BM109" s="95"/>
      <c r="BN109" s="46"/>
      <c r="BO109" s="46"/>
      <c r="BP109" s="46"/>
    </row>
    <row r="110" spans="1:68" s="91" customFormat="1">
      <c r="A110" s="91">
        <v>46</v>
      </c>
      <c r="B110" s="91">
        <f t="shared" si="42"/>
        <v>831.76377110267106</v>
      </c>
      <c r="C110" s="91" t="str">
        <f t="shared" si="0"/>
        <v>5226.12590563659j</v>
      </c>
      <c r="D110" s="91">
        <f t="shared" si="1"/>
        <v>0.99999771295546802</v>
      </c>
      <c r="E110" s="91" t="str">
        <f t="shared" si="2"/>
        <v>-0.00237551177528936j</v>
      </c>
      <c r="F110" s="91" t="str">
        <f t="shared" si="3"/>
        <v>0.999997712955468-0.00237551177528936j</v>
      </c>
      <c r="G110" s="91">
        <f t="shared" si="4"/>
        <v>4.6424854954519628E-6</v>
      </c>
      <c r="H110" s="91">
        <f t="shared" si="5"/>
        <v>-0.13610685417040405</v>
      </c>
      <c r="J110" s="91">
        <f t="shared" si="6"/>
        <v>7.1641791044776131</v>
      </c>
      <c r="K110" s="91" t="str">
        <f t="shared" si="7"/>
        <v>1+0.129738575607428j</v>
      </c>
      <c r="L110" s="91">
        <f t="shared" si="8"/>
        <v>0.997247400065428</v>
      </c>
      <c r="M110" s="91" t="str">
        <f t="shared" si="9"/>
        <v>0.0235390170921415j</v>
      </c>
      <c r="N110" s="91" t="str">
        <f t="shared" si="10"/>
        <v>0.997247400065428+0.0235390170921415j</v>
      </c>
      <c r="O110" s="91" t="str">
        <f t="shared" si="11"/>
        <v>1.0052709133101+0.106368275705536j</v>
      </c>
      <c r="P110" s="91" t="str">
        <f t="shared" si="12"/>
        <v>7.20194087147534+0.762041378188915j</v>
      </c>
      <c r="R110" s="91">
        <f t="shared" si="13"/>
        <v>11.82089552238806</v>
      </c>
      <c r="S110" s="91" t="str">
        <f t="shared" si="14"/>
        <v>1+0.000391959442922744j</v>
      </c>
      <c r="T110" s="91" t="str">
        <f t="shared" si="15"/>
        <v>0.997247400065428+0.0235390170921415j</v>
      </c>
      <c r="U110" s="91" t="str">
        <f t="shared" si="16"/>
        <v>1.00221109477298-0.0232631387611041j</v>
      </c>
      <c r="V110" s="91" t="str">
        <f t="shared" si="17"/>
        <v>11.8470326426896-0.274991132817828j</v>
      </c>
      <c r="X110" s="91" t="str">
        <f t="shared" si="18"/>
        <v>1.34860949435344+0.139458423747778j</v>
      </c>
      <c r="Y110" s="91">
        <f t="shared" si="19"/>
        <v>2.6439186875189074</v>
      </c>
      <c r="Z110" s="91">
        <f t="shared" si="20"/>
        <v>-174.09608269593505</v>
      </c>
      <c r="AB110" s="91" t="str">
        <f t="shared" si="21"/>
        <v>11.0894011949537-0.257405131634666j</v>
      </c>
      <c r="AC110" s="91">
        <f t="shared" si="22"/>
        <v>20.900501213330038</v>
      </c>
      <c r="AD110" s="91">
        <f t="shared" si="23"/>
        <v>178.67029972674999</v>
      </c>
      <c r="AF110" s="91" t="str">
        <f t="shared" si="24"/>
        <v>4.69861331762835-0.38859859031724j</v>
      </c>
      <c r="AG110" s="91">
        <f t="shared" si="25"/>
        <v>13.468999186692599</v>
      </c>
      <c r="AH110" s="91">
        <f t="shared" si="26"/>
        <v>175.27211544464015</v>
      </c>
      <c r="AJ110" s="91" t="str">
        <f t="shared" si="27"/>
        <v>46874.9999718691-1.14831867974859j</v>
      </c>
      <c r="AK110" s="91" t="str">
        <f t="shared" si="28"/>
        <v>15000-1.17587832876823E-06j</v>
      </c>
      <c r="AL110" s="91" t="str">
        <f t="shared" si="43"/>
        <v>10000-4252140.6149543j</v>
      </c>
      <c r="AM110" s="91" t="str">
        <f t="shared" si="44"/>
        <v>963.136586503354-1319631.40813263j</v>
      </c>
      <c r="AN110" s="91" t="str">
        <f t="shared" si="45"/>
        <v>10963.1365865034-1319631.40813263j</v>
      </c>
      <c r="AO110" s="91" t="str">
        <f t="shared" si="46"/>
        <v>14996.6467470505-170.436183316867j</v>
      </c>
      <c r="AP110" s="91" t="str">
        <f t="shared" si="47"/>
        <v>0.242424242450962+4.49906093478768E-06j</v>
      </c>
      <c r="AQ110" s="91" t="str">
        <f t="shared" si="29"/>
        <v>1+0.714934023891085j</v>
      </c>
      <c r="AR110" s="91">
        <f t="shared" si="51"/>
        <v>9.9626366477692171E-8</v>
      </c>
      <c r="AS110" s="91" t="str">
        <f t="shared" si="31"/>
        <v>0.0000397905728978178j</v>
      </c>
      <c r="AT110" s="91" t="str">
        <f t="shared" si="32"/>
        <v>9.96263664776922E-08+0.0000397905728978178j</v>
      </c>
      <c r="AU110" s="91" t="str">
        <f t="shared" si="33"/>
        <v>5.40906985430493-7.52593119966903j</v>
      </c>
      <c r="AW110" s="91" t="str">
        <f t="shared" si="48"/>
        <v>1.30467803530377-1.82918520523914j</v>
      </c>
      <c r="AX110" s="91">
        <f t="shared" si="34"/>
        <v>7.031282325664808</v>
      </c>
      <c r="AY110" s="91">
        <f t="shared" si="35"/>
        <v>125.49860712544037</v>
      </c>
      <c r="AZ110" s="91" t="str">
        <f t="shared" si="36"/>
        <v>13.9972565051887-20.6203994221888j</v>
      </c>
      <c r="BA110" s="91">
        <f t="shared" si="37"/>
        <v>27.931783538994853</v>
      </c>
      <c r="BB110" s="91">
        <f t="shared" si="38"/>
        <v>124.16890685219032</v>
      </c>
      <c r="BD110" s="91" t="str">
        <f t="shared" si="39"/>
        <v>5.41935879971039-9.10163001108229j</v>
      </c>
      <c r="BE110" s="91">
        <f t="shared" si="40"/>
        <v>20.500281512357404</v>
      </c>
      <c r="BF110" s="91">
        <f t="shared" si="41"/>
        <v>120.77072257008044</v>
      </c>
      <c r="BH110" s="91">
        <f t="shared" si="49"/>
        <v>-19.500281512357404</v>
      </c>
      <c r="BI110" s="112">
        <f t="shared" si="50"/>
        <v>-120.77072257008044</v>
      </c>
      <c r="BJ110" s="95"/>
      <c r="BK110" s="95"/>
      <c r="BL110" s="95"/>
      <c r="BM110" s="95"/>
      <c r="BN110" s="46"/>
      <c r="BO110" s="46"/>
      <c r="BP110" s="46"/>
    </row>
    <row r="111" spans="1:68" s="91" customFormat="1">
      <c r="A111" s="91">
        <v>47</v>
      </c>
      <c r="B111" s="91">
        <f t="shared" si="42"/>
        <v>870.9635899560808</v>
      </c>
      <c r="C111" s="91" t="str">
        <f t="shared" si="0"/>
        <v>5472.42563150043j</v>
      </c>
      <c r="D111" s="91">
        <f t="shared" si="1"/>
        <v>0.99999749230553714</v>
      </c>
      <c r="E111" s="91" t="str">
        <f t="shared" si="2"/>
        <v>-0.00248746619613656j</v>
      </c>
      <c r="F111" s="91" t="str">
        <f t="shared" si="3"/>
        <v>0.999997492305537-0.00248746619613656j</v>
      </c>
      <c r="G111" s="91">
        <f t="shared" si="4"/>
        <v>5.0903862628185616E-6</v>
      </c>
      <c r="H111" s="91">
        <f t="shared" si="5"/>
        <v>-0.14252137817012864</v>
      </c>
      <c r="J111" s="91">
        <f t="shared" si="6"/>
        <v>7.1641791044776131</v>
      </c>
      <c r="K111" s="91" t="str">
        <f t="shared" si="7"/>
        <v>1+0.135852966301998j</v>
      </c>
      <c r="L111" s="91">
        <f t="shared" si="8"/>
        <v>0.99698183418903663</v>
      </c>
      <c r="M111" s="91" t="str">
        <f t="shared" si="9"/>
        <v>0.0246483767902394j</v>
      </c>
      <c r="N111" s="91" t="str">
        <f t="shared" si="10"/>
        <v>0.996981834189037+0.0246483767902394j</v>
      </c>
      <c r="O111" s="91" t="str">
        <f t="shared" si="11"/>
        <v>1.00578140245942+0.11139830588378j</v>
      </c>
      <c r="P111" s="91" t="str">
        <f t="shared" si="12"/>
        <v>7.20559810717197+0.798077415286782j</v>
      </c>
      <c r="R111" s="91">
        <f t="shared" si="13"/>
        <v>11.82089552238806</v>
      </c>
      <c r="S111" s="91" t="str">
        <f t="shared" si="14"/>
        <v>1+0.000410431922362532j</v>
      </c>
      <c r="T111" s="91" t="str">
        <f t="shared" si="15"/>
        <v>0.996981834189037+0.0246483767902394j</v>
      </c>
      <c r="U111" s="91" t="str">
        <f t="shared" si="16"/>
        <v>1.00242477197612-0.0243712680892916j</v>
      </c>
      <c r="V111" s="91" t="str">
        <f t="shared" si="17"/>
        <v>11.8495584985834-0.288090213831626j</v>
      </c>
      <c r="X111" s="91" t="str">
        <f t="shared" si="18"/>
        <v>1.34932661817261+0.146052025222755j</v>
      </c>
      <c r="Y111" s="91">
        <f t="shared" si="19"/>
        <v>2.6529281269846221</v>
      </c>
      <c r="Z111" s="91">
        <f t="shared" si="20"/>
        <v>-173.82231718051057</v>
      </c>
      <c r="AB111" s="91" t="str">
        <f t="shared" si="21"/>
        <v>11.09176551944-0.269666511258435j</v>
      </c>
      <c r="AC111" s="91">
        <f t="shared" si="22"/>
        <v>20.902579907172424</v>
      </c>
      <c r="AD111" s="91">
        <f t="shared" si="23"/>
        <v>178.60728125130547</v>
      </c>
      <c r="AF111" s="91" t="str">
        <f t="shared" si="24"/>
        <v>4.69596815645066-0.406721723364655j</v>
      </c>
      <c r="AG111" s="91">
        <f t="shared" si="25"/>
        <v>13.466959607012852</v>
      </c>
      <c r="AH111" s="91">
        <f t="shared" si="26"/>
        <v>175.04991760552423</v>
      </c>
      <c r="AJ111" s="91" t="str">
        <f t="shared" si="27"/>
        <v>46874.9999691551-1.20243727175525j</v>
      </c>
      <c r="AK111" s="91" t="str">
        <f t="shared" si="28"/>
        <v>15000-0.0000012312957670876j</v>
      </c>
      <c r="AL111" s="91" t="str">
        <f t="shared" si="43"/>
        <v>10000-4060762.76200201j</v>
      </c>
      <c r="AM111" s="91" t="str">
        <f t="shared" si="44"/>
        <v>963.136342067688-1260238.354974j</v>
      </c>
      <c r="AN111" s="91" t="str">
        <f t="shared" si="45"/>
        <v>10963.1363420677-1260238.354974j</v>
      </c>
      <c r="AO111" s="91" t="str">
        <f t="shared" si="46"/>
        <v>14996.3233693813-178.46191063921j</v>
      </c>
      <c r="AP111" s="91" t="str">
        <f t="shared" si="47"/>
        <v>0.242424242453539+4.71109514422073E-06j</v>
      </c>
      <c r="AQ111" s="91" t="str">
        <f t="shared" si="29"/>
        <v>1+0.748627826389259j</v>
      </c>
      <c r="AR111" s="91">
        <f t="shared" si="51"/>
        <v>9.9590318989441297E-8</v>
      </c>
      <c r="AS111" s="91" t="str">
        <f t="shared" si="31"/>
        <v>0.0000416658448246053j</v>
      </c>
      <c r="AT111" s="91" t="str">
        <f t="shared" si="32"/>
        <v>9.95903189894413E-08+0.0000416658448246053j</v>
      </c>
      <c r="AU111" s="91" t="str">
        <f t="shared" si="33"/>
        <v>5.40740566078587-7.1872171560648j</v>
      </c>
      <c r="AW111" s="91" t="str">
        <f t="shared" si="48"/>
        <v>1.30427300407623-1.74729348395082j</v>
      </c>
      <c r="AX111" s="91">
        <f t="shared" si="34"/>
        <v>6.77074030139093</v>
      </c>
      <c r="AY111" s="91">
        <f t="shared" si="35"/>
        <v>126.73962143884191</v>
      </c>
      <c r="AZ111" s="91" t="str">
        <f t="shared" si="36"/>
        <v>13.9955037965876-19.7322883683657j</v>
      </c>
      <c r="BA111" s="91">
        <f t="shared" si="37"/>
        <v>27.673320208563364</v>
      </c>
      <c r="BB111" s="91">
        <f t="shared" si="38"/>
        <v>125.34690269014746</v>
      </c>
      <c r="BD111" s="91" t="str">
        <f t="shared" si="39"/>
        <v>5.41416227744394-8.73571072456267j</v>
      </c>
      <c r="BE111" s="91">
        <f t="shared" si="40"/>
        <v>20.237699908403801</v>
      </c>
      <c r="BF111" s="91">
        <f t="shared" si="41"/>
        <v>121.78953904436628</v>
      </c>
      <c r="BH111" s="91">
        <f t="shared" si="49"/>
        <v>-19.237699908403801</v>
      </c>
      <c r="BI111" s="112">
        <f t="shared" si="50"/>
        <v>-121.78953904436628</v>
      </c>
      <c r="BJ111" s="95"/>
      <c r="BK111" s="95"/>
      <c r="BL111" s="95"/>
      <c r="BM111" s="95"/>
      <c r="BN111" s="46"/>
      <c r="BO111" s="46"/>
      <c r="BP111" s="46"/>
    </row>
    <row r="112" spans="1:68" s="91" customFormat="1">
      <c r="A112" s="91">
        <v>48</v>
      </c>
      <c r="B112" s="91">
        <f t="shared" si="42"/>
        <v>912.01083935590987</v>
      </c>
      <c r="C112" s="91" t="str">
        <f t="shared" si="0"/>
        <v>5730.33310582957j</v>
      </c>
      <c r="D112" s="91">
        <f t="shared" si="1"/>
        <v>0.99999725036769882</v>
      </c>
      <c r="E112" s="91" t="str">
        <f t="shared" si="2"/>
        <v>-0.00260469686628617j</v>
      </c>
      <c r="F112" s="91" t="str">
        <f t="shared" si="3"/>
        <v>0.999997250367699-0.00260469686628617j</v>
      </c>
      <c r="G112" s="91">
        <f t="shared" si="4"/>
        <v>5.5815001229171673E-6</v>
      </c>
      <c r="H112" s="91">
        <f t="shared" si="5"/>
        <v>-0.14923821019952038</v>
      </c>
      <c r="J112" s="91">
        <f t="shared" si="6"/>
        <v>7.1641791044776131</v>
      </c>
      <c r="K112" s="91" t="str">
        <f t="shared" si="7"/>
        <v>1+0.142255519352219j</v>
      </c>
      <c r="L112" s="91">
        <f t="shared" si="8"/>
        <v>0.99669064699593379</v>
      </c>
      <c r="M112" s="91" t="str">
        <f t="shared" si="9"/>
        <v>0.0258100190001749j</v>
      </c>
      <c r="N112" s="91" t="str">
        <f t="shared" si="10"/>
        <v>0.996690646995934+0.0258100190001749j</v>
      </c>
      <c r="O112" s="91" t="str">
        <f t="shared" si="11"/>
        <v>1.00634154064289+0.116667920400416j</v>
      </c>
      <c r="P112" s="91" t="str">
        <f t="shared" si="12"/>
        <v>7.2096110374416+0.835829877495518j</v>
      </c>
      <c r="R112" s="91">
        <f t="shared" si="13"/>
        <v>11.82089552238806</v>
      </c>
      <c r="S112" s="91" t="str">
        <f t="shared" si="14"/>
        <v>1+0.000429774982937218j</v>
      </c>
      <c r="T112" s="91" t="str">
        <f t="shared" si="15"/>
        <v>0.996690646995934+0.0258100190001749j</v>
      </c>
      <c r="U112" s="91" t="str">
        <f t="shared" si="16"/>
        <v>1.00265913612194-0.0255333753233995j</v>
      </c>
      <c r="V112" s="91" t="str">
        <f t="shared" si="17"/>
        <v>11.8523288926653-0.301827362031827j</v>
      </c>
      <c r="X112" s="91" t="str">
        <f t="shared" si="18"/>
        <v>1.35011347370964+0.152959503258339j</v>
      </c>
      <c r="Y112" s="91">
        <f t="shared" si="19"/>
        <v>2.6627945270117785</v>
      </c>
      <c r="Z112" s="91">
        <f t="shared" si="20"/>
        <v>-173.53630355053059</v>
      </c>
      <c r="AB112" s="91" t="str">
        <f t="shared" si="21"/>
        <v>11.0943587436143-0.28252515293362j</v>
      </c>
      <c r="AC112" s="91">
        <f t="shared" si="22"/>
        <v>20.904859585430266</v>
      </c>
      <c r="AD112" s="91">
        <f t="shared" si="23"/>
        <v>178.54124051620678</v>
      </c>
      <c r="AF112" s="91" t="str">
        <f t="shared" si="24"/>
        <v>4.69307055134083-0.425670889688559j</v>
      </c>
      <c r="AG112" s="91">
        <f t="shared" si="25"/>
        <v>13.464724262946149</v>
      </c>
      <c r="AH112" s="91">
        <f t="shared" si="26"/>
        <v>174.81733943425778</v>
      </c>
      <c r="AJ112" s="91" t="str">
        <f t="shared" si="27"/>
        <v>46874.9999661792-1.25910639441542j</v>
      </c>
      <c r="AK112" s="91" t="str">
        <f t="shared" si="28"/>
        <v>15000-1.28932494881165E-06j</v>
      </c>
      <c r="AL112" s="91" t="str">
        <f t="shared" si="43"/>
        <v>10000-3877998.33130383j</v>
      </c>
      <c r="AM112" s="91" t="str">
        <f t="shared" si="44"/>
        <v>963.136074049468-1203518.43632928j</v>
      </c>
      <c r="AN112" s="91" t="str">
        <f t="shared" si="45"/>
        <v>10963.1360740495-1203518.43632928j</v>
      </c>
      <c r="AO112" s="91" t="str">
        <f t="shared" si="46"/>
        <v>14995.9688207428-186.864889400299j</v>
      </c>
      <c r="AP112" s="91" t="str">
        <f t="shared" si="47"/>
        <v>0.242424242456366+4.93312221807907E-06j</v>
      </c>
      <c r="AQ112" s="91" t="str">
        <f t="shared" si="29"/>
        <v>1+0.783909568877485j</v>
      </c>
      <c r="AR112" s="91">
        <f t="shared" si="51"/>
        <v>9.9550793704548472E-8</v>
      </c>
      <c r="AS112" s="91" t="str">
        <f t="shared" si="31"/>
        <v>0.0000436294955945031j</v>
      </c>
      <c r="AT112" s="91" t="str">
        <f t="shared" si="32"/>
        <v>9.95507937045485E-08+0.0000436294955945031j</v>
      </c>
      <c r="AU112" s="91" t="str">
        <f t="shared" si="33"/>
        <v>5.40588789663648-6.86374746003117j</v>
      </c>
      <c r="AW112" s="91" t="str">
        <f t="shared" si="48"/>
        <v>1.30390331812163-1.66910783471028j</v>
      </c>
      <c r="AX112" s="91">
        <f t="shared" si="34"/>
        <v>6.5186748135265846</v>
      </c>
      <c r="AY112" s="91">
        <f t="shared" si="35"/>
        <v>127.99687406398382</v>
      </c>
      <c r="AZ112" s="91" t="str">
        <f t="shared" si="36"/>
        <v>13.9944062319661-18.8860665844161j</v>
      </c>
      <c r="BA112" s="91">
        <f t="shared" si="37"/>
        <v>27.423534398956832</v>
      </c>
      <c r="BB112" s="91">
        <f t="shared" si="38"/>
        <v>126.53811458019044</v>
      </c>
      <c r="BD112" s="91" t="str">
        <f t="shared" si="39"/>
        <v>5.40881964708491-8.38827451158376j</v>
      </c>
      <c r="BE112" s="91">
        <f t="shared" si="40"/>
        <v>19.983399076472704</v>
      </c>
      <c r="BF112" s="91">
        <f t="shared" si="41"/>
        <v>122.81421349824146</v>
      </c>
      <c r="BH112" s="91">
        <f t="shared" si="49"/>
        <v>-18.983399076472704</v>
      </c>
      <c r="BI112" s="112">
        <f t="shared" si="50"/>
        <v>-122.81421349824146</v>
      </c>
      <c r="BJ112" s="95"/>
      <c r="BK112" s="95"/>
      <c r="BL112" s="95"/>
      <c r="BM112" s="95"/>
      <c r="BN112" s="46"/>
      <c r="BO112" s="46"/>
      <c r="BP112" s="46"/>
    </row>
    <row r="113" spans="1:68" s="91" customFormat="1">
      <c r="A113" s="91">
        <v>49</v>
      </c>
      <c r="B113" s="91">
        <f t="shared" si="42"/>
        <v>954.99258602143584</v>
      </c>
      <c r="C113" s="91" t="str">
        <f t="shared" si="0"/>
        <v>6000.39538495532j</v>
      </c>
      <c r="D113" s="91">
        <f t="shared" si="1"/>
        <v>0.99999698508813439</v>
      </c>
      <c r="E113" s="91" t="str">
        <f t="shared" si="2"/>
        <v>-0.00272745244770696j</v>
      </c>
      <c r="F113" s="91" t="str">
        <f t="shared" si="3"/>
        <v>0.999996985088134-0.00272745244770696j</v>
      </c>
      <c r="G113" s="91">
        <f t="shared" si="4"/>
        <v>6.1199962754945224E-6</v>
      </c>
      <c r="H113" s="91">
        <f t="shared" si="5"/>
        <v>-0.15627159771962143</v>
      </c>
      <c r="J113" s="91">
        <f t="shared" si="6"/>
        <v>7.1641791044776131</v>
      </c>
      <c r="K113" s="91" t="str">
        <f t="shared" si="7"/>
        <v>1+0.148959815431516j</v>
      </c>
      <c r="L113" s="91">
        <f t="shared" si="8"/>
        <v>0.99637136658770054</v>
      </c>
      <c r="M113" s="91" t="str">
        <f t="shared" si="9"/>
        <v>0.0270264077208193j</v>
      </c>
      <c r="N113" s="91" t="str">
        <f t="shared" si="10"/>
        <v>0.996371366587701+0.0270264077208193j</v>
      </c>
      <c r="O113" s="91" t="str">
        <f t="shared" si="11"/>
        <v>1.00695619882883+0.122188784952649j</v>
      </c>
      <c r="P113" s="91" t="str">
        <f t="shared" si="12"/>
        <v>7.21401455877371+0.875382339959277j</v>
      </c>
      <c r="R113" s="91">
        <f t="shared" si="13"/>
        <v>11.82089552238806</v>
      </c>
      <c r="S113" s="91" t="str">
        <f t="shared" si="14"/>
        <v>1+0.000450029653871649j</v>
      </c>
      <c r="T113" s="91" t="str">
        <f t="shared" si="15"/>
        <v>0.996371366587701+0.0270264077208193j</v>
      </c>
      <c r="U113" s="91" t="str">
        <f t="shared" si="16"/>
        <v>1.00291619756017-0.0267522665795685j</v>
      </c>
      <c r="V113" s="91" t="str">
        <f t="shared" si="17"/>
        <v>11.8553675890695-0.316235748224153j</v>
      </c>
      <c r="X113" s="91" t="str">
        <f t="shared" si="18"/>
        <v>1.3509768993408+0.16019611391595j</v>
      </c>
      <c r="Y113" s="91">
        <f t="shared" si="19"/>
        <v>2.6735981405336777</v>
      </c>
      <c r="Z113" s="91">
        <f t="shared" si="20"/>
        <v>-173.23755910637067</v>
      </c>
      <c r="AB113" s="91" t="str">
        <f t="shared" si="21"/>
        <v>11.0972031118668-0.296012106154529j</v>
      </c>
      <c r="AC113" s="91">
        <f t="shared" si="22"/>
        <v>20.907359726964508</v>
      </c>
      <c r="AD113" s="91">
        <f t="shared" si="23"/>
        <v>178.47202728911824</v>
      </c>
      <c r="AF113" s="91" t="str">
        <f t="shared" si="24"/>
        <v>4.68989669958398-0.445480911526091j</v>
      </c>
      <c r="AG113" s="91">
        <f t="shared" si="25"/>
        <v>13.462274470704491</v>
      </c>
      <c r="AH113" s="91">
        <f t="shared" si="26"/>
        <v>174.57390517842592</v>
      </c>
      <c r="AJ113" s="91" t="str">
        <f t="shared" si="27"/>
        <v>46874.9999629162-1.31844625053405j</v>
      </c>
      <c r="AK113" s="91" t="str">
        <f t="shared" si="28"/>
        <v>15000-1.35008896161495E-06j</v>
      </c>
      <c r="AL113" s="91" t="str">
        <f t="shared" si="43"/>
        <v>10000-3703459.65499867j</v>
      </c>
      <c r="AM113" s="91" t="str">
        <f t="shared" si="44"/>
        <v>963.135780173489-1149351.34164646j</v>
      </c>
      <c r="AN113" s="91" t="str">
        <f t="shared" si="45"/>
        <v>10963.1357801735-1149351.34164646j</v>
      </c>
      <c r="AO113" s="91" t="str">
        <f t="shared" si="46"/>
        <v>14995.5800994603-195.662752480425j</v>
      </c>
      <c r="AP113" s="91" t="str">
        <f t="shared" si="47"/>
        <v>0.242424242459465+5.16561310555365E-06j</v>
      </c>
      <c r="AQ113" s="91" t="str">
        <f t="shared" si="29"/>
        <v>1+0.820854088661888j</v>
      </c>
      <c r="AR113" s="91">
        <f t="shared" si="51"/>
        <v>9.9507455091467146E-8</v>
      </c>
      <c r="AS113" s="91" t="str">
        <f t="shared" si="31"/>
        <v>0.0000456856903740651j</v>
      </c>
      <c r="AT113" s="91" t="str">
        <f t="shared" si="32"/>
        <v>9.95074550914671E-08+0.0000456856903740651j</v>
      </c>
      <c r="AU113" s="91" t="str">
        <f t="shared" si="33"/>
        <v>5.40450367792998-6.55483607976681j</v>
      </c>
      <c r="AW113" s="91" t="str">
        <f t="shared" si="48"/>
        <v>1.30356583926751-1.59446243711773j</v>
      </c>
      <c r="AX113" s="91">
        <f t="shared" si="34"/>
        <v>6.2752913298304414</v>
      </c>
      <c r="AY113" s="91">
        <f t="shared" si="35"/>
        <v>129.26799726598352</v>
      </c>
      <c r="AZ113" s="91" t="str">
        <f t="shared" si="36"/>
        <v>13.9939547038472-18.0799447885303j</v>
      </c>
      <c r="BA113" s="91">
        <f t="shared" si="37"/>
        <v>27.182651056794967</v>
      </c>
      <c r="BB113" s="91">
        <f t="shared" si="38"/>
        <v>127.7400245551018</v>
      </c>
      <c r="BD113" s="91" t="str">
        <f t="shared" si="39"/>
        <v>5.40328654738981-8.05857781976024j</v>
      </c>
      <c r="BE113" s="91">
        <f t="shared" si="40"/>
        <v>19.737565800534941</v>
      </c>
      <c r="BF113" s="91">
        <f t="shared" si="41"/>
        <v>123.8419024444095</v>
      </c>
      <c r="BH113" s="91">
        <f t="shared" si="49"/>
        <v>-18.737565800534941</v>
      </c>
      <c r="BI113" s="112">
        <f t="shared" si="50"/>
        <v>-123.8419024444095</v>
      </c>
      <c r="BJ113" s="95"/>
      <c r="BK113" s="95"/>
      <c r="BL113" s="95"/>
      <c r="BM113" s="95"/>
      <c r="BN113" s="46"/>
      <c r="BO113" s="46"/>
      <c r="BP113" s="46"/>
    </row>
    <row r="114" spans="1:68" s="91" customFormat="1">
      <c r="A114" s="91">
        <v>50</v>
      </c>
      <c r="B114" s="91">
        <f t="shared" si="42"/>
        <v>1000</v>
      </c>
      <c r="C114" s="91" t="str">
        <f t="shared" si="0"/>
        <v>6283.18530717959j</v>
      </c>
      <c r="D114" s="91">
        <f t="shared" si="1"/>
        <v>0.99999669421487603</v>
      </c>
      <c r="E114" s="91" t="str">
        <f t="shared" si="2"/>
        <v>-0.00285599332144527j</v>
      </c>
      <c r="F114" s="91" t="str">
        <f t="shared" si="3"/>
        <v>0.999996694214876-0.00285599332144527j</v>
      </c>
      <c r="G114" s="91">
        <f t="shared" si="4"/>
        <v>6.710446198995352E-6</v>
      </c>
      <c r="H114" s="91">
        <f t="shared" si="5"/>
        <v>-0.16363645967178186</v>
      </c>
      <c r="J114" s="91">
        <f t="shared" si="6"/>
        <v>7.1641791044776131</v>
      </c>
      <c r="K114" s="91" t="str">
        <f t="shared" si="7"/>
        <v>1+0.155980075250733j</v>
      </c>
      <c r="L114" s="91">
        <f t="shared" si="8"/>
        <v>0.99602128258161693</v>
      </c>
      <c r="M114" s="91" t="str">
        <f t="shared" si="9"/>
        <v>0.0283001230757332j</v>
      </c>
      <c r="N114" s="91" t="str">
        <f t="shared" si="10"/>
        <v>0.996021282581617+0.0283001230757332j</v>
      </c>
      <c r="O114" s="91" t="str">
        <f t="shared" si="11"/>
        <v>1.00763073443089+0.127973170534137j</v>
      </c>
      <c r="P114" s="91" t="str">
        <f t="shared" si="12"/>
        <v>7.21884705263921+0.916822714274415j</v>
      </c>
      <c r="R114" s="91">
        <f t="shared" si="13"/>
        <v>11.82089552238806</v>
      </c>
      <c r="S114" s="91" t="str">
        <f t="shared" si="14"/>
        <v>1+0.000471238898038469j</v>
      </c>
      <c r="T114" s="91" t="str">
        <f t="shared" si="15"/>
        <v>0.996021282581617+0.0283001230757332j</v>
      </c>
      <c r="U114" s="91" t="str">
        <f t="shared" si="16"/>
        <v>1.00319816352967-0.0280309197076951j</v>
      </c>
      <c r="V114" s="91" t="str">
        <f t="shared" si="17"/>
        <v>11.8587006793358-0.331350573261112j</v>
      </c>
      <c r="X114" s="91" t="str">
        <f t="shared" si="18"/>
        <v>1.35192441578707+0.167777900876562j</v>
      </c>
      <c r="Y114" s="91">
        <f t="shared" si="19"/>
        <v>2.6854264892607498</v>
      </c>
      <c r="Z114" s="91">
        <f t="shared" si="20"/>
        <v>-172.9255918098616</v>
      </c>
      <c r="AB114" s="91" t="str">
        <f t="shared" si="21"/>
        <v>11.1003230471533-0.310160320638415j</v>
      </c>
      <c r="AC114" s="91">
        <f t="shared" si="22"/>
        <v>20.910101707803186</v>
      </c>
      <c r="AD114" s="91">
        <f t="shared" si="23"/>
        <v>178.39948308905576</v>
      </c>
      <c r="AF114" s="91" t="str">
        <f t="shared" si="24"/>
        <v>4.68642061224799-0.466187657318534j</v>
      </c>
      <c r="AG114" s="91">
        <f t="shared" si="25"/>
        <v>13.459589784644187</v>
      </c>
      <c r="AH114" s="91">
        <f t="shared" si="26"/>
        <v>174.31911863145334</v>
      </c>
      <c r="AJ114" s="91" t="str">
        <f t="shared" si="27"/>
        <v>46874.9999593385-1.3805827078995j</v>
      </c>
      <c r="AK114" s="91" t="str">
        <f t="shared" si="28"/>
        <v>15000-1.41371669411541E-06j</v>
      </c>
      <c r="AL114" s="91" t="str">
        <f t="shared" si="43"/>
        <v>10000-3536776.51315322j</v>
      </c>
      <c r="AM114" s="91" t="str">
        <f t="shared" si="44"/>
        <v>963.135457945106-1097622.17525538j</v>
      </c>
      <c r="AN114" s="91" t="str">
        <f t="shared" si="45"/>
        <v>10963.1354579451-1097622.17525538j</v>
      </c>
      <c r="AO114" s="91" t="str">
        <f t="shared" si="46"/>
        <v>14995.1539154032-204.873942117914j</v>
      </c>
      <c r="AP114" s="91" t="str">
        <f t="shared" si="47"/>
        <v>0.242424242462863+5.40906095098681E-06j</v>
      </c>
      <c r="AQ114" s="91" t="str">
        <f t="shared" si="29"/>
        <v>1+0.859539750022168j</v>
      </c>
      <c r="AR114" s="91">
        <f t="shared" si="51"/>
        <v>9.9459935247172388E-8</v>
      </c>
      <c r="AS114" s="91" t="str">
        <f t="shared" si="31"/>
        <v>0.0000478387906280978j</v>
      </c>
      <c r="AT114" s="91" t="str">
        <f t="shared" si="32"/>
        <v>9.94599352471724E-08+0.0000478387906280978j</v>
      </c>
      <c r="AU114" s="91" t="str">
        <f t="shared" si="33"/>
        <v>5.40324125433972-6.25982785189455j</v>
      </c>
      <c r="AW114" s="91" t="str">
        <f t="shared" si="48"/>
        <v>1.30325770273146-1.52319897725712j</v>
      </c>
      <c r="AX114" s="91">
        <f t="shared" si="34"/>
        <v>6.0407648354163976</v>
      </c>
      <c r="AY114" s="91">
        <f t="shared" si="35"/>
        <v>130.55048426235004</v>
      </c>
      <c r="AZ114" s="91" t="str">
        <f t="shared" si="36"/>
        <v>13.9941456308279-17.3122195396012j</v>
      </c>
      <c r="BA114" s="91">
        <f t="shared" si="37"/>
        <v>26.950866543219579</v>
      </c>
      <c r="BB114" s="91">
        <f t="shared" si="38"/>
        <v>128.9499673514058</v>
      </c>
      <c r="BD114" s="91" t="str">
        <f t="shared" si="39"/>
        <v>5.39751719831419-7.74591373889153j</v>
      </c>
      <c r="BE114" s="91">
        <f t="shared" si="40"/>
        <v>19.500354620060577</v>
      </c>
      <c r="BF114" s="91">
        <f t="shared" si="41"/>
        <v>124.8696028938034</v>
      </c>
      <c r="BH114" s="91">
        <f t="shared" si="49"/>
        <v>-18.500354620060577</v>
      </c>
      <c r="BI114" s="112">
        <f t="shared" si="50"/>
        <v>-124.8696028938034</v>
      </c>
      <c r="BJ114" s="95"/>
      <c r="BK114" s="95"/>
      <c r="BL114" s="95"/>
      <c r="BM114" s="95"/>
      <c r="BN114" s="46"/>
      <c r="BO114" s="46"/>
      <c r="BP114" s="46"/>
    </row>
    <row r="115" spans="1:68" s="91" customFormat="1">
      <c r="A115" s="91">
        <v>51</v>
      </c>
      <c r="B115" s="91">
        <f t="shared" si="42"/>
        <v>1047.1285480509</v>
      </c>
      <c r="C115" s="91" t="str">
        <f t="shared" si="0"/>
        <v>6579.30270784171j</v>
      </c>
      <c r="D115" s="91">
        <f t="shared" si="1"/>
        <v>0.99999637527869045</v>
      </c>
      <c r="E115" s="91" t="str">
        <f t="shared" si="2"/>
        <v>-0.00299059213992805j</v>
      </c>
      <c r="F115" s="91" t="str">
        <f t="shared" si="3"/>
        <v>0.99999637527869-0.00299059213992805j</v>
      </c>
      <c r="G115" s="91">
        <f t="shared" si="4"/>
        <v>7.3578624122492004E-6</v>
      </c>
      <c r="H115" s="91">
        <f t="shared" si="5"/>
        <v>-0.17134841812623819</v>
      </c>
      <c r="J115" s="91">
        <f t="shared" si="6"/>
        <v>7.1641791044776131</v>
      </c>
      <c r="K115" s="91" t="str">
        <f t="shared" si="7"/>
        <v>1+0.16333118972217j</v>
      </c>
      <c r="L115" s="91">
        <f t="shared" si="8"/>
        <v>0.99563742310212788</v>
      </c>
      <c r="M115" s="91" t="str">
        <f t="shared" si="9"/>
        <v>0.0296338667859542j</v>
      </c>
      <c r="N115" s="91" t="str">
        <f t="shared" si="10"/>
        <v>0.995637423102128+0.0296338667859542j</v>
      </c>
      <c r="O115" s="91" t="str">
        <f t="shared" si="11"/>
        <v>1.00837104162083+0.134033990193111j</v>
      </c>
      <c r="P115" s="91" t="str">
        <f t="shared" si="12"/>
        <v>7.22415074594028+0.960243511831243j</v>
      </c>
      <c r="R115" s="91">
        <f t="shared" si="13"/>
        <v>11.82089552238806</v>
      </c>
      <c r="S115" s="91" t="str">
        <f t="shared" si="14"/>
        <v>1+0.000493447703088128j</v>
      </c>
      <c r="T115" s="91" t="str">
        <f t="shared" si="15"/>
        <v>0.995637423102128+0.0296338667859542j</v>
      </c>
      <c r="U115" s="91" t="str">
        <f t="shared" si="16"/>
        <v>1.00350745774721-0.0293724984014633j</v>
      </c>
      <c r="V115" s="91" t="str">
        <f t="shared" si="17"/>
        <v>11.862356813967-0.347209234835208j</v>
      </c>
      <c r="X115" s="91" t="str">
        <f t="shared" si="18"/>
        <v>1.35296429657314+0.175721742712131j</v>
      </c>
      <c r="Y115" s="91">
        <f t="shared" si="19"/>
        <v>2.698374974232796</v>
      </c>
      <c r="Z115" s="91">
        <f t="shared" si="20"/>
        <v>-172.59990168298611</v>
      </c>
      <c r="AB115" s="91" t="str">
        <f t="shared" si="21"/>
        <v>11.1037453677437-0.325004802452067j</v>
      </c>
      <c r="AC115" s="91">
        <f t="shared" si="22"/>
        <v>20.913108987804513</v>
      </c>
      <c r="AD115" s="91">
        <f t="shared" si="23"/>
        <v>178.32344062110019</v>
      </c>
      <c r="AF115" s="91" t="str">
        <f t="shared" si="24"/>
        <v>4.68261392506912-0.487828006351402j</v>
      </c>
      <c r="AG115" s="91">
        <f t="shared" si="25"/>
        <v>13.456647835403112</v>
      </c>
      <c r="AH115" s="91">
        <f t="shared" si="26"/>
        <v>174.05246245333382</v>
      </c>
      <c r="AJ115" s="91" t="str">
        <f t="shared" si="27"/>
        <v>46874.9999554155-1.44564756626599j</v>
      </c>
      <c r="AK115" s="91" t="str">
        <f t="shared" si="28"/>
        <v>15000-1.48034310926439E-06j</v>
      </c>
      <c r="AL115" s="91" t="str">
        <f t="shared" si="43"/>
        <v>10000-3377595.34847608j</v>
      </c>
      <c r="AM115" s="91" t="str">
        <f t="shared" si="44"/>
        <v>963.135104628944-1048221.21265867j</v>
      </c>
      <c r="AN115" s="91" t="str">
        <f t="shared" si="45"/>
        <v>10963.1351046289-1048221.21265867j</v>
      </c>
      <c r="AO115" s="91" t="str">
        <f t="shared" si="46"/>
        <v>14994.6866623851-214.51774485533j</v>
      </c>
      <c r="AP115" s="91" t="str">
        <f t="shared" si="47"/>
        <v>0.24242424246659+5.66398213989778E-06j</v>
      </c>
      <c r="AQ115" s="91" t="str">
        <f t="shared" si="29"/>
        <v>1+0.900048610432746j</v>
      </c>
      <c r="AR115" s="91">
        <f t="shared" si="51"/>
        <v>9.9407830774019056E-8</v>
      </c>
      <c r="AS115" s="91" t="str">
        <f t="shared" si="31"/>
        <v>0.0000500933633709111j</v>
      </c>
      <c r="AT115" s="91" t="str">
        <f t="shared" si="32"/>
        <v>9.94078307740191E-08+0.0000500933633709111j</v>
      </c>
      <c r="AU115" s="91" t="str">
        <f t="shared" si="33"/>
        <v>5.40208990940235-5.97809709328395j</v>
      </c>
      <c r="AW115" s="91" t="str">
        <f t="shared" si="48"/>
        <v>1.3029762928049-1.45516631225394j</v>
      </c>
      <c r="AX115" s="91">
        <f t="shared" si="34"/>
        <v>5.8152370858928082</v>
      </c>
      <c r="AY115" s="91">
        <f t="shared" si="35"/>
        <v>131.84171070181705</v>
      </c>
      <c r="AZ115" s="91" t="str">
        <f t="shared" si="36"/>
        <v>13.9949809356633-16.5812697516292j</v>
      </c>
      <c r="BA115" s="91">
        <f t="shared" si="37"/>
        <v>26.728346073697338</v>
      </c>
      <c r="BB115" s="91">
        <f t="shared" si="38"/>
        <v>130.16515132291721</v>
      </c>
      <c r="BD115" s="91" t="str">
        <f t="shared" si="39"/>
        <v>5.39146405170661-7.44961036429395j</v>
      </c>
      <c r="BE115" s="91">
        <f t="shared" si="40"/>
        <v>19.271884921295939</v>
      </c>
      <c r="BF115" s="91">
        <f t="shared" si="41"/>
        <v>125.89417315515084</v>
      </c>
      <c r="BH115" s="91">
        <f t="shared" si="49"/>
        <v>-18.271884921295939</v>
      </c>
      <c r="BI115" s="112">
        <f t="shared" si="50"/>
        <v>-125.89417315515084</v>
      </c>
      <c r="BJ115" s="95"/>
      <c r="BK115" s="95"/>
      <c r="BL115" s="95"/>
      <c r="BM115" s="95"/>
      <c r="BN115" s="46"/>
      <c r="BO115" s="46"/>
      <c r="BP115" s="46"/>
    </row>
    <row r="116" spans="1:68" s="91" customFormat="1">
      <c r="A116" s="91">
        <v>52</v>
      </c>
      <c r="B116" s="91">
        <f t="shared" si="42"/>
        <v>1096.4781961431854</v>
      </c>
      <c r="C116" s="91" t="str">
        <f t="shared" si="0"/>
        <v>6889.37569164964j</v>
      </c>
      <c r="D116" s="91">
        <f t="shared" si="1"/>
        <v>0.99999602557211698</v>
      </c>
      <c r="E116" s="91" t="str">
        <f t="shared" si="2"/>
        <v>-0.00313153440529529j</v>
      </c>
      <c r="F116" s="91" t="str">
        <f t="shared" si="3"/>
        <v>0.999996025572117-0.00313153440529529j</v>
      </c>
      <c r="G116" s="91">
        <f t="shared" si="4"/>
        <v>8.0677410875961354E-6</v>
      </c>
      <c r="H116" s="91">
        <f t="shared" si="5"/>
        <v>-0.17942383142264817</v>
      </c>
      <c r="J116" s="91">
        <f t="shared" si="6"/>
        <v>7.1641791044776131</v>
      </c>
      <c r="K116" s="91" t="str">
        <f t="shared" si="7"/>
        <v>1+0.171028751545202j</v>
      </c>
      <c r="L116" s="91">
        <f t="shared" si="8"/>
        <v>0.9952165295524853</v>
      </c>
      <c r="M116" s="91" t="str">
        <f t="shared" si="9"/>
        <v>0.03103046790071j</v>
      </c>
      <c r="N116" s="91" t="str">
        <f t="shared" si="10"/>
        <v>0.995216529552485+0.03103046790071j</v>
      </c>
      <c r="O116" s="91" t="str">
        <f t="shared" si="11"/>
        <v>1.00918360719351+0.140384838743671j</v>
      </c>
      <c r="P116" s="91" t="str">
        <f t="shared" si="12"/>
        <v>7.22997211123709+1.00574212831287j</v>
      </c>
      <c r="R116" s="91">
        <f t="shared" si="13"/>
        <v>11.82089552238806</v>
      </c>
      <c r="S116" s="91" t="str">
        <f t="shared" si="14"/>
        <v>1+0.000516703176873723j</v>
      </c>
      <c r="T116" s="91" t="str">
        <f t="shared" si="15"/>
        <v>0.995216529552485+0.03103046790071j</v>
      </c>
      <c r="U116" s="91" t="str">
        <f t="shared" si="16"/>
        <v>1.00384674200586-0.0307803679084252j</v>
      </c>
      <c r="V116" s="91" t="str">
        <f t="shared" si="17"/>
        <v>11.8663674577409-0.363851513186161j</v>
      </c>
      <c r="X116" s="91" t="str">
        <f t="shared" si="18"/>
        <v>1.35410564623896+0.184045403884162j</v>
      </c>
      <c r="Y116" s="91">
        <f t="shared" si="19"/>
        <v>2.7125475284840412</v>
      </c>
      <c r="Z116" s="91">
        <f t="shared" si="20"/>
        <v>-172.25998250887415</v>
      </c>
      <c r="AB116" s="91" t="str">
        <f t="shared" si="21"/>
        <v>11.1074995262069-0.340582787842838j</v>
      </c>
      <c r="AC116" s="91">
        <f t="shared" si="22"/>
        <v>20.916407316064827</v>
      </c>
      <c r="AD116" s="91">
        <f t="shared" si="23"/>
        <v>178.24372315741556</v>
      </c>
      <c r="AF116" s="91" t="str">
        <f t="shared" si="24"/>
        <v>4.67844569534998-0.510439800063106j</v>
      </c>
      <c r="AG116" s="91">
        <f t="shared" si="25"/>
        <v>13.453424154024848</v>
      </c>
      <c r="AH116" s="91">
        <f t="shared" si="26"/>
        <v>173.77339749980362</v>
      </c>
      <c r="AJ116" s="91" t="str">
        <f t="shared" si="27"/>
        <v>46874.9999511141-1.51377883691852j</v>
      </c>
      <c r="AK116" s="91" t="str">
        <f t="shared" si="28"/>
        <v>15000-1.55010953062118E-06j</v>
      </c>
      <c r="AL116" s="91" t="str">
        <f t="shared" si="43"/>
        <v>10000-3225578.51637514j</v>
      </c>
      <c r="AM116" s="91" t="str">
        <f t="shared" si="44"/>
        <v>963.134717225786-1001043.66779133j</v>
      </c>
      <c r="AN116" s="91" t="str">
        <f t="shared" si="45"/>
        <v>10963.1347172258-1001043.66779133j</v>
      </c>
      <c r="AO116" s="91" t="str">
        <f t="shared" si="46"/>
        <v>14994.1743879489-224.614327661633j</v>
      </c>
      <c r="AP116" s="91" t="str">
        <f t="shared" si="47"/>
        <v>0.242424242470675+5.93091739430542E-06j</v>
      </c>
      <c r="AQ116" s="91" t="str">
        <f t="shared" si="29"/>
        <v>1+0.942466594617671j</v>
      </c>
      <c r="AR116" s="91">
        <f t="shared" si="51"/>
        <v>9.935069935528492E-8</v>
      </c>
      <c r="AS116" s="91" t="str">
        <f t="shared" si="31"/>
        <v>0.0000524541908535682j</v>
      </c>
      <c r="AT116" s="91" t="str">
        <f t="shared" si="32"/>
        <v>9.93506993552849E-08+0.0000524541908535682j</v>
      </c>
      <c r="AU116" s="91" t="str">
        <f t="shared" si="33"/>
        <v>5.40103986955551-5.70904627520991j</v>
      </c>
      <c r="AW116" s="91" t="str">
        <f t="shared" si="48"/>
        <v>1.30271922065066-1.39022014999593j</v>
      </c>
      <c r="AX116" s="91">
        <f t="shared" si="34"/>
        <v>5.5988143203194944</v>
      </c>
      <c r="AY116" s="91">
        <f t="shared" si="35"/>
        <v>133.13895894932378</v>
      </c>
      <c r="AZ116" s="91" t="str">
        <f t="shared" si="36"/>
        <v>13.9964680717569-15.8855534013487j</v>
      </c>
      <c r="BA116" s="91">
        <f t="shared" si="37"/>
        <v>26.515221636384307</v>
      </c>
      <c r="BB116" s="91">
        <f t="shared" si="38"/>
        <v>131.38268210673934</v>
      </c>
      <c r="BD116" s="91" t="str">
        <f t="shared" si="39"/>
        <v>5.38507743469512-7.16902921486453j</v>
      </c>
      <c r="BE116" s="91">
        <f t="shared" si="40"/>
        <v>19.052238474344318</v>
      </c>
      <c r="BF116" s="91">
        <f t="shared" si="41"/>
        <v>126.91235644912737</v>
      </c>
      <c r="BH116" s="91">
        <f t="shared" si="49"/>
        <v>-18.052238474344318</v>
      </c>
      <c r="BI116" s="112">
        <f t="shared" si="50"/>
        <v>-126.91235644912737</v>
      </c>
      <c r="BJ116" s="95"/>
      <c r="BK116" s="95"/>
      <c r="BL116" s="95"/>
      <c r="BM116" s="95"/>
      <c r="BN116" s="46"/>
      <c r="BO116" s="46"/>
      <c r="BP116" s="46"/>
    </row>
    <row r="117" spans="1:68" s="91" customFormat="1">
      <c r="A117" s="91">
        <v>53</v>
      </c>
      <c r="B117" s="91">
        <f t="shared" si="42"/>
        <v>1148.1536214968835</v>
      </c>
      <c r="C117" s="91" t="str">
        <f t="shared" si="0"/>
        <v>7214.06196497425j</v>
      </c>
      <c r="D117" s="91">
        <f t="shared" si="1"/>
        <v>0.99999564212648406</v>
      </c>
      <c r="E117" s="91" t="str">
        <f t="shared" si="2"/>
        <v>-0.0032791190749883j</v>
      </c>
      <c r="F117" s="91" t="str">
        <f t="shared" si="3"/>
        <v>0.999995642126484-0.0032791190749883j</v>
      </c>
      <c r="G117" s="91">
        <f t="shared" si="4"/>
        <v>8.8461086562261129E-6</v>
      </c>
      <c r="H117" s="91">
        <f t="shared" si="5"/>
        <v>-0.18787982887294416</v>
      </c>
      <c r="J117" s="91">
        <f t="shared" si="6"/>
        <v>7.1641791044776131</v>
      </c>
      <c r="K117" s="91" t="str">
        <f t="shared" si="7"/>
        <v>1+0.179089088280486j</v>
      </c>
      <c r="L117" s="91">
        <f t="shared" si="8"/>
        <v>0.99475502895240486</v>
      </c>
      <c r="M117" s="91" t="str">
        <f t="shared" si="9"/>
        <v>0.0324928887982105j</v>
      </c>
      <c r="N117" s="91" t="str">
        <f t="shared" si="10"/>
        <v>0.994755028952405+0.0324928887982105j</v>
      </c>
      <c r="O117" s="91" t="str">
        <f t="shared" si="11"/>
        <v>1.01007557266504+0.147040035750441j</v>
      </c>
      <c r="P117" s="91" t="str">
        <f t="shared" si="12"/>
        <v>7.23636231163014+1.05342115164495j</v>
      </c>
      <c r="R117" s="91">
        <f t="shared" si="13"/>
        <v>11.82089552238806</v>
      </c>
      <c r="S117" s="91" t="str">
        <f t="shared" si="14"/>
        <v>1+0.000541054647373069j</v>
      </c>
      <c r="T117" s="91" t="str">
        <f t="shared" si="15"/>
        <v>0.994755028952405+0.0324928887982105j</v>
      </c>
      <c r="U117" s="91" t="str">
        <f t="shared" si="16"/>
        <v>1.00421894000132-0.0322581125656033j</v>
      </c>
      <c r="V117" s="91" t="str">
        <f t="shared" si="17"/>
        <v>11.8707671713589-0.38131977838743j</v>
      </c>
      <c r="X117" s="91" t="str">
        <f t="shared" si="18"/>
        <v>1.35535848725081+0.192767589865658j</v>
      </c>
      <c r="Y117" s="91">
        <f t="shared" si="19"/>
        <v>2.7280573129517571</v>
      </c>
      <c r="Z117" s="91">
        <f t="shared" si="20"/>
        <v>-171.90532387584824</v>
      </c>
      <c r="AB117" s="91" t="str">
        <f t="shared" si="21"/>
        <v>11.1116178730473-0.356933937268957j</v>
      </c>
      <c r="AC117" s="91">
        <f t="shared" si="22"/>
        <v>20.920024957031575</v>
      </c>
      <c r="AD117" s="91">
        <f t="shared" si="23"/>
        <v>178.16014385779741</v>
      </c>
      <c r="AF117" s="91" t="str">
        <f t="shared" si="24"/>
        <v>4.67388218433547-0.534061777885701j</v>
      </c>
      <c r="AG117" s="91">
        <f t="shared" si="25"/>
        <v>13.449891981032573</v>
      </c>
      <c r="AH117" s="91">
        <f t="shared" si="26"/>
        <v>173.48136216591433</v>
      </c>
      <c r="AJ117" s="91" t="str">
        <f t="shared" si="27"/>
        <v>46874.9999463977-1.58512103541318j</v>
      </c>
      <c r="AK117" s="91" t="str">
        <f t="shared" si="28"/>
        <v>15000-1.62316394211921E-06j</v>
      </c>
      <c r="AL117" s="91" t="str">
        <f t="shared" si="43"/>
        <v>10000-3080403.56876829j</v>
      </c>
      <c r="AM117" s="91" t="str">
        <f t="shared" si="44"/>
        <v>963.134292447021-955989.470755474j</v>
      </c>
      <c r="AN117" s="91" t="str">
        <f t="shared" si="45"/>
        <v>10963.134292447-955989.470755474j</v>
      </c>
      <c r="AO117" s="91" t="str">
        <f t="shared" si="46"/>
        <v>14993.612760291-235.184775216558j</v>
      </c>
      <c r="AP117" s="91" t="str">
        <f t="shared" si="47"/>
        <v>0.242424242475155+6.21043291967213E-06j</v>
      </c>
      <c r="AQ117" s="91" t="str">
        <f t="shared" si="29"/>
        <v>1+0.986883676808477j</v>
      </c>
      <c r="AR117" s="91">
        <f t="shared" si="51"/>
        <v>9.9288056000328199E-8</v>
      </c>
      <c r="AS117" s="91" t="str">
        <f t="shared" si="31"/>
        <v>0.0000549262807076816j</v>
      </c>
      <c r="AT117" s="91" t="str">
        <f t="shared" si="32"/>
        <v>9.92880560003282E-08+0.0000549262807076816j</v>
      </c>
      <c r="AU117" s="91" t="str">
        <f t="shared" si="33"/>
        <v>5.40008222117796-5.45210475706098j</v>
      </c>
      <c r="AW117" s="91" t="str">
        <f t="shared" si="48"/>
        <v>1.30248430402623-1.32822274334337j</v>
      </c>
      <c r="AX117" s="91">
        <f t="shared" si="34"/>
        <v>5.3915655106700475</v>
      </c>
      <c r="AY117" s="91">
        <f t="shared" si="35"/>
        <v>134.43944465667497</v>
      </c>
      <c r="AZ117" s="91" t="str">
        <f t="shared" si="36"/>
        <v>13.9986200986297-15.2236044251892j</v>
      </c>
      <c r="BA117" s="91">
        <f t="shared" si="37"/>
        <v>26.311590467701617</v>
      </c>
      <c r="BB117" s="91">
        <f t="shared" si="38"/>
        <v>132.59958851447237</v>
      </c>
      <c r="BD117" s="91" t="str">
        <f t="shared" si="39"/>
        <v>5.37830518422659-6.90356370001823j</v>
      </c>
      <c r="BE117" s="91">
        <f t="shared" si="40"/>
        <v>18.841457491702617</v>
      </c>
      <c r="BF117" s="91">
        <f t="shared" si="41"/>
        <v>127.92080682258927</v>
      </c>
      <c r="BH117" s="91">
        <f t="shared" si="49"/>
        <v>-17.841457491702617</v>
      </c>
      <c r="BI117" s="112">
        <f t="shared" si="50"/>
        <v>-127.92080682258927</v>
      </c>
      <c r="BJ117" s="95"/>
      <c r="BK117" s="95"/>
      <c r="BL117" s="95"/>
      <c r="BM117" s="95"/>
      <c r="BN117" s="46"/>
      <c r="BO117" s="46"/>
      <c r="BP117" s="46"/>
    </row>
    <row r="118" spans="1:68" s="91" customFormat="1">
      <c r="A118" s="91">
        <v>54</v>
      </c>
      <c r="B118" s="91">
        <f t="shared" si="42"/>
        <v>1202.2644346174134</v>
      </c>
      <c r="C118" s="91" t="str">
        <f t="shared" si="0"/>
        <v>7554.0502309327j</v>
      </c>
      <c r="D118" s="91">
        <f t="shared" si="1"/>
        <v>0.99999522168670829</v>
      </c>
      <c r="E118" s="91" t="str">
        <f t="shared" si="2"/>
        <v>-0.0034336591958785j</v>
      </c>
      <c r="F118" s="91" t="str">
        <f t="shared" si="3"/>
        <v>0.999995221686708-0.0034336591958785j</v>
      </c>
      <c r="G118" s="91">
        <f t="shared" si="4"/>
        <v>9.6995730325239871E-6</v>
      </c>
      <c r="H118" s="91">
        <f t="shared" si="5"/>
        <v>-0.1967343471002054</v>
      </c>
      <c r="J118" s="91">
        <f t="shared" si="6"/>
        <v>7.1641791044776131</v>
      </c>
      <c r="K118" s="91" t="str">
        <f t="shared" si="7"/>
        <v>1+0.187529296982904j</v>
      </c>
      <c r="L118" s="91">
        <f t="shared" si="8"/>
        <v>0.9942490036069096</v>
      </c>
      <c r="M118" s="91" t="str">
        <f t="shared" si="9"/>
        <v>0.0340242314692495j</v>
      </c>
      <c r="N118" s="91" t="str">
        <f t="shared" si="10"/>
        <v>0.99424900360691+0.0340242314692495j</v>
      </c>
      <c r="O118" s="91" t="str">
        <f t="shared" si="11"/>
        <v>1.01105480338231+0.154014672148537j</v>
      </c>
      <c r="P118" s="91" t="str">
        <f t="shared" si="12"/>
        <v>7.24337769587327+1.10338869598952j</v>
      </c>
      <c r="R118" s="91">
        <f t="shared" si="13"/>
        <v>11.82089552238806</v>
      </c>
      <c r="S118" s="91" t="str">
        <f t="shared" si="14"/>
        <v>1+0.000566553767319952j</v>
      </c>
      <c r="T118" s="91" t="str">
        <f t="shared" si="15"/>
        <v>0.99424900360691+0.0340242314692495j</v>
      </c>
      <c r="U118" s="91" t="str">
        <f t="shared" si="16"/>
        <v>1.00462726362998-0.0338095554220294j</v>
      </c>
      <c r="V118" s="91" t="str">
        <f t="shared" si="17"/>
        <v>11.8755939223126-0.399659222302198j</v>
      </c>
      <c r="X118" s="91" t="str">
        <f t="shared" si="18"/>
        <v>1.35673385669267+0.201908006833421j</v>
      </c>
      <c r="Y118" s="91">
        <f t="shared" si="19"/>
        <v>2.7450274564117754</v>
      </c>
      <c r="Z118" s="91">
        <f t="shared" si="20"/>
        <v>-171.53541360920909</v>
      </c>
      <c r="AB118" s="91" t="str">
        <f t="shared" si="21"/>
        <v>11.1161359476917-0.374100552521656j</v>
      </c>
      <c r="AC118" s="91">
        <f t="shared" si="22"/>
        <v>20.923992939498763</v>
      </c>
      <c r="AD118" s="91">
        <f t="shared" si="23"/>
        <v>178.07250502196507</v>
      </c>
      <c r="AF118" s="91" t="str">
        <f t="shared" si="24"/>
        <v>4.66888662462895-0.558733495210877j</v>
      </c>
      <c r="AG118" s="91">
        <f t="shared" si="25"/>
        <v>13.446022059371817</v>
      </c>
      <c r="AH118" s="91">
        <f t="shared" si="26"/>
        <v>173.17577175095684</v>
      </c>
      <c r="AJ118" s="91" t="str">
        <f t="shared" si="27"/>
        <v>46874.9999412262-1.65982548811401j</v>
      </c>
      <c r="AK118" s="91" t="str">
        <f t="shared" si="28"/>
        <v>15000-1.69966130195987E-06j</v>
      </c>
      <c r="AL118" s="91" t="str">
        <f t="shared" si="43"/>
        <v>10000-2941762.57012768j</v>
      </c>
      <c r="AM118" s="91" t="str">
        <f t="shared" si="44"/>
        <v>963.133826686805-912963.055558651j</v>
      </c>
      <c r="AN118" s="91" t="str">
        <f t="shared" si="45"/>
        <v>10963.1338266868-912963.055558651j</v>
      </c>
      <c r="AO118" s="91" t="str">
        <f t="shared" si="46"/>
        <v>14992.9970320619-246.251128332877j</v>
      </c>
      <c r="AP118" s="91" t="str">
        <f t="shared" si="47"/>
        <v>0.242424242480067+6.50312160590158E-06j</v>
      </c>
      <c r="AQ118" s="91" t="str">
        <f t="shared" si="29"/>
        <v>1+1.03339407159159j</v>
      </c>
      <c r="AR118" s="91">
        <f t="shared" si="51"/>
        <v>9.9219368927484899E-8</v>
      </c>
      <c r="AS118" s="91" t="str">
        <f t="shared" si="31"/>
        <v>0.0000575148765672708j</v>
      </c>
      <c r="AT118" s="91" t="str">
        <f t="shared" si="32"/>
        <v>9.92193689274849E-08+0.0000575148765672708j</v>
      </c>
      <c r="AU118" s="91" t="str">
        <f t="shared" si="33"/>
        <v>5.39920883492862-5.20672757693274j</v>
      </c>
      <c r="AW118" s="91" t="str">
        <f t="shared" si="48"/>
        <v>1.30226954876038-1.26904259818554j</v>
      </c>
      <c r="AX118" s="91">
        <f t="shared" si="34"/>
        <v>5.1935212081941433</v>
      </c>
      <c r="AY118" s="91">
        <f t="shared" si="35"/>
        <v>135.74034499534105</v>
      </c>
      <c r="AZ118" s="91" t="str">
        <f t="shared" si="36"/>
        <v>14.0014558074047-14.5940298025657j</v>
      </c>
      <c r="BA118" s="91">
        <f t="shared" si="37"/>
        <v>26.117514147692869</v>
      </c>
      <c r="BB118" s="91">
        <f t="shared" si="38"/>
        <v>133.812850017306</v>
      </c>
      <c r="BD118" s="91" t="str">
        <f t="shared" si="39"/>
        <v>5.37109227141318-6.6526376294384j</v>
      </c>
      <c r="BE118" s="91">
        <f t="shared" si="40"/>
        <v>18.639543267565919</v>
      </c>
      <c r="BF118" s="91">
        <f t="shared" si="41"/>
        <v>128.91611674629775</v>
      </c>
      <c r="BH118" s="91">
        <f t="shared" si="49"/>
        <v>-17.639543267565919</v>
      </c>
      <c r="BI118" s="112">
        <f t="shared" si="50"/>
        <v>-128.91611674629775</v>
      </c>
      <c r="BJ118" s="95"/>
      <c r="BK118" s="95"/>
      <c r="BL118" s="95"/>
      <c r="BM118" s="95"/>
      <c r="BN118" s="46"/>
      <c r="BO118" s="46"/>
      <c r="BP118" s="46"/>
    </row>
    <row r="119" spans="1:68" s="91" customFormat="1">
      <c r="A119" s="91">
        <v>55</v>
      </c>
      <c r="B119" s="91">
        <f t="shared" si="42"/>
        <v>1258.925411794168</v>
      </c>
      <c r="C119" s="91" t="str">
        <f t="shared" si="0"/>
        <v>7910.06165022013j</v>
      </c>
      <c r="D119" s="91">
        <f t="shared" si="1"/>
        <v>0.99999476068366133</v>
      </c>
      <c r="E119" s="91" t="str">
        <f t="shared" si="2"/>
        <v>-0.00359548256828188j</v>
      </c>
      <c r="F119" s="91" t="str">
        <f t="shared" si="3"/>
        <v>0.999994760683661-0.00359548256828188j</v>
      </c>
      <c r="G119" s="91">
        <f t="shared" si="4"/>
        <v>1.0635379688834092E-5</v>
      </c>
      <c r="H119" s="91">
        <f t="shared" si="5"/>
        <v>-0.20600616809073885</v>
      </c>
      <c r="J119" s="91">
        <f t="shared" si="6"/>
        <v>7.1641791044776131</v>
      </c>
      <c r="K119" s="91" t="str">
        <f t="shared" si="7"/>
        <v>1+0.196367280466715j</v>
      </c>
      <c r="L119" s="91">
        <f t="shared" si="8"/>
        <v>0.99369415784887827</v>
      </c>
      <c r="M119" s="91" t="str">
        <f t="shared" si="9"/>
        <v>0.035627744096943j</v>
      </c>
      <c r="N119" s="91" t="str">
        <f t="shared" si="10"/>
        <v>0.993694157848878+0.035627744096943j</v>
      </c>
      <c r="O119" s="91" t="str">
        <f t="shared" si="11"/>
        <v>1.01212996553446+0.161324660908578j</v>
      </c>
      <c r="P119" s="91" t="str">
        <f t="shared" si="12"/>
        <v>7.25108035009762+1.15575876471817j</v>
      </c>
      <c r="R119" s="91">
        <f t="shared" si="13"/>
        <v>11.82089552238806</v>
      </c>
      <c r="S119" s="91" t="str">
        <f t="shared" si="14"/>
        <v>1+0.00059325462376651j</v>
      </c>
      <c r="T119" s="91" t="str">
        <f t="shared" si="15"/>
        <v>0.993694157848878+0.035627744096943j</v>
      </c>
      <c r="U119" s="91" t="str">
        <f t="shared" si="16"/>
        <v>1.00507524203234-0.035438780251831j</v>
      </c>
      <c r="V119" s="91" t="str">
        <f t="shared" si="17"/>
        <v>11.8808894282032-0.418918118797763j</v>
      </c>
      <c r="X119" s="91" t="str">
        <f t="shared" si="18"/>
        <v>1.35824391397421+0.21148742643548j</v>
      </c>
      <c r="Y119" s="91">
        <f t="shared" si="19"/>
        <v>2.7635918397860553</v>
      </c>
      <c r="Z119" s="91">
        <f t="shared" si="20"/>
        <v>-171.14974063947122</v>
      </c>
      <c r="AB119" s="91" t="str">
        <f t="shared" si="21"/>
        <v>11.1210927998522-0.392127820298553j</v>
      </c>
      <c r="AC119" s="91">
        <f t="shared" si="22"/>
        <v>20.928345330910844</v>
      </c>
      <c r="AD119" s="91">
        <f t="shared" si="23"/>
        <v>177.98059726463501</v>
      </c>
      <c r="AF119" s="91" t="str">
        <f t="shared" si="24"/>
        <v>4.66341897234553-0.584495220779513j</v>
      </c>
      <c r="AG119" s="91">
        <f t="shared" si="25"/>
        <v>13.441782410109031</v>
      </c>
      <c r="AH119" s="91">
        <f t="shared" si="26"/>
        <v>172.85601785280937</v>
      </c>
      <c r="AJ119" s="91" t="str">
        <f t="shared" si="27"/>
        <v>46874.9999355558-1.73805065317646j</v>
      </c>
      <c r="AK119" s="91" t="str">
        <f t="shared" si="28"/>
        <v>15000-1.77976387129953E-06j</v>
      </c>
      <c r="AL119" s="91" t="str">
        <f t="shared" si="43"/>
        <v>10000-2809361.4443073j</v>
      </c>
      <c r="AM119" s="91" t="str">
        <f t="shared" si="44"/>
        <v>963.133315991392-871873.157405548j</v>
      </c>
      <c r="AN119" s="91" t="str">
        <f t="shared" si="45"/>
        <v>10963.1333159914-871873.157405548j</v>
      </c>
      <c r="AO119" s="91" t="str">
        <f t="shared" si="46"/>
        <v>14992.3220007557-257.836423479571j</v>
      </c>
      <c r="AP119" s="91" t="str">
        <f t="shared" si="47"/>
        <v>0.242424242485453+6.80960428493779E-06j</v>
      </c>
      <c r="AQ119" s="91" t="str">
        <f t="shared" si="29"/>
        <v>1+1.08209643375011j</v>
      </c>
      <c r="AR119" s="91">
        <f t="shared" si="51"/>
        <v>9.9144055049755316E-8</v>
      </c>
      <c r="AS119" s="91" t="str">
        <f t="shared" si="31"/>
        <v>0.000060225469191213j</v>
      </c>
      <c r="AT119" s="91" t="str">
        <f t="shared" si="32"/>
        <v>9.91440550497553E-08+0.000060225469191213j</v>
      </c>
      <c r="AU119" s="91" t="str">
        <f t="shared" si="33"/>
        <v>5.39841229674198-4.97239429656054j</v>
      </c>
      <c r="AW119" s="91" t="str">
        <f t="shared" si="48"/>
        <v>1.30207313182603-1.21255419472865j</v>
      </c>
      <c r="AX119" s="91">
        <f t="shared" si="34"/>
        <v>5.0046730272626156</v>
      </c>
      <c r="AY119" s="91">
        <f t="shared" si="35"/>
        <v>137.03882785081365</v>
      </c>
      <c r="AZ119" s="91" t="str">
        <f t="shared" si="36"/>
        <v>14.0049998978587-13.9955068234797j</v>
      </c>
      <c r="BA119" s="91">
        <f t="shared" si="37"/>
        <v>25.933018358173499</v>
      </c>
      <c r="BB119" s="91">
        <f t="shared" si="38"/>
        <v>135.0194251154486</v>
      </c>
      <c r="BD119" s="91" t="str">
        <f t="shared" si="39"/>
        <v>5.36338041458384-6.4157037593525j</v>
      </c>
      <c r="BE119" s="91">
        <f t="shared" si="40"/>
        <v>18.446455437371682</v>
      </c>
      <c r="BF119" s="91">
        <f t="shared" si="41"/>
        <v>129.89484570362296</v>
      </c>
      <c r="BH119" s="91">
        <f t="shared" si="49"/>
        <v>-17.446455437371682</v>
      </c>
      <c r="BI119" s="112">
        <f t="shared" si="50"/>
        <v>-129.89484570362296</v>
      </c>
      <c r="BJ119" s="95"/>
      <c r="BK119" s="95"/>
      <c r="BL119" s="95"/>
      <c r="BM119" s="95"/>
      <c r="BN119" s="46"/>
      <c r="BO119" s="46"/>
      <c r="BP119" s="46"/>
    </row>
    <row r="120" spans="1:68" s="91" customFormat="1">
      <c r="A120" s="91">
        <v>56</v>
      </c>
      <c r="B120" s="91">
        <f t="shared" si="42"/>
        <v>1318.2567385564075</v>
      </c>
      <c r="C120" s="91" t="str">
        <f t="shared" si="0"/>
        <v>8282.8513707881j</v>
      </c>
      <c r="D120" s="91">
        <f t="shared" si="1"/>
        <v>0.99999425520387186</v>
      </c>
      <c r="E120" s="91" t="str">
        <f t="shared" si="2"/>
        <v>-0.00376493244126732j</v>
      </c>
      <c r="F120" s="91" t="str">
        <f t="shared" si="3"/>
        <v>0.999994255203872-0.00376493244126732j</v>
      </c>
      <c r="G120" s="91">
        <f t="shared" si="4"/>
        <v>1.1661473172711524E-5</v>
      </c>
      <c r="H120" s="91">
        <f t="shared" si="5"/>
        <v>-0.21571495904018081</v>
      </c>
      <c r="J120" s="91">
        <f t="shared" si="6"/>
        <v>7.1641791044776131</v>
      </c>
      <c r="K120" s="91" t="str">
        <f t="shared" si="7"/>
        <v>1+0.205621785279815j</v>
      </c>
      <c r="L120" s="91">
        <f t="shared" si="8"/>
        <v>0.99308578157297434</v>
      </c>
      <c r="M120" s="91" t="str">
        <f t="shared" si="9"/>
        <v>0.0373068279465609j</v>
      </c>
      <c r="N120" s="91" t="str">
        <f t="shared" si="10"/>
        <v>0.993085781572974+0.0373068279465609j</v>
      </c>
      <c r="O120" s="91" t="str">
        <f t="shared" si="11"/>
        <v>1.01331061208865+0.168986792210827j</v>
      </c>
      <c r="P120" s="91" t="str">
        <f t="shared" si="12"/>
        <v>7.25953871347093+1.21065164568951j</v>
      </c>
      <c r="R120" s="91">
        <f t="shared" si="13"/>
        <v>11.82089552238806</v>
      </c>
      <c r="S120" s="91" t="str">
        <f t="shared" si="14"/>
        <v>1+0.000621213852809107j</v>
      </c>
      <c r="T120" s="91" t="str">
        <f t="shared" si="15"/>
        <v>0.993085781572974+0.0373068279465609j</v>
      </c>
      <c r="U120" s="91" t="str">
        <f t="shared" si="16"/>
        <v>1.00556675368827-0.0371501563111544j</v>
      </c>
      <c r="V120" s="91" t="str">
        <f t="shared" si="17"/>
        <v>11.886699536136-0.439148116394542j</v>
      </c>
      <c r="X120" s="91" t="str">
        <f t="shared" si="18"/>
        <v>1.35990206097347+0.221527756204043j</v>
      </c>
      <c r="Y120" s="91">
        <f t="shared" si="19"/>
        <v>2.7838959246306128</v>
      </c>
      <c r="Z120" s="91">
        <f t="shared" si="20"/>
        <v>-170.74779835979075</v>
      </c>
      <c r="AB120" s="91" t="str">
        <f t="shared" si="21"/>
        <v>11.1265313446589-0.411064086137414j</v>
      </c>
      <c r="AC120" s="91">
        <f t="shared" si="22"/>
        <v>20.933119539678323</v>
      </c>
      <c r="AD120" s="91">
        <f t="shared" si="23"/>
        <v>177.88419860303725</v>
      </c>
      <c r="AF120" s="91" t="str">
        <f t="shared" si="24"/>
        <v>4.65743564387599-0.611387810473298j</v>
      </c>
      <c r="AG120" s="91">
        <f t="shared" si="25"/>
        <v>13.437138089748986</v>
      </c>
      <c r="AH120" s="91">
        <f t="shared" si="26"/>
        <v>172.52146780104178</v>
      </c>
      <c r="AJ120" s="91" t="str">
        <f t="shared" si="27"/>
        <v>46874.9999293384-1.81996245665818j</v>
      </c>
      <c r="AK120" s="91" t="str">
        <f t="shared" si="28"/>
        <v>15000-1.86364155842732E-06j</v>
      </c>
      <c r="AL120" s="91" t="str">
        <f t="shared" si="43"/>
        <v>10000-2682919.35076795j</v>
      </c>
      <c r="AM120" s="91" t="str">
        <f t="shared" si="44"/>
        <v>963.132756025631-832632.61911313j</v>
      </c>
      <c r="AN120" s="91" t="str">
        <f t="shared" si="45"/>
        <v>10963.1327560256-832632.61911313j</v>
      </c>
      <c r="AO120" s="91" t="str">
        <f t="shared" si="46"/>
        <v>14991.5819653733-269.964733353939j</v>
      </c>
      <c r="AP120" s="91" t="str">
        <f t="shared" si="47"/>
        <v>0.242424242491358+7.13053104763248E-06j</v>
      </c>
      <c r="AQ120" s="91" t="str">
        <f t="shared" si="29"/>
        <v>1+1.13309406752381j</v>
      </c>
      <c r="AR120" s="91">
        <f t="shared" si="51"/>
        <v>9.9061475024957844E-8</v>
      </c>
      <c r="AS120" s="91" t="str">
        <f t="shared" si="31"/>
        <v>0.000063063808109879j</v>
      </c>
      <c r="AT120" s="91" t="str">
        <f t="shared" si="32"/>
        <v>9.90614750249578E-08+0.000063063808109879j</v>
      </c>
      <c r="AU120" s="91" t="str">
        <f t="shared" si="33"/>
        <v>5.3976858448947-4.74860789815785j</v>
      </c>
      <c r="AW120" s="91" t="str">
        <f t="shared" si="48"/>
        <v>1.30189338586586-1.15863772142797j</v>
      </c>
      <c r="AX120" s="91">
        <f t="shared" si="34"/>
        <v>4.8249737850386429</v>
      </c>
      <c r="AY120" s="91">
        <f t="shared" si="35"/>
        <v>138.33208123254514</v>
      </c>
      <c r="AZ120" s="91" t="str">
        <f t="shared" si="36"/>
        <v>14.0092832091174-13.4267805394817j</v>
      </c>
      <c r="BA120" s="91">
        <f t="shared" si="37"/>
        <v>25.758093324716924</v>
      </c>
      <c r="BB120" s="91">
        <f t="shared" si="38"/>
        <v>136.21627983558241</v>
      </c>
      <c r="BD120" s="91" t="str">
        <f t="shared" si="39"/>
        <v>5.35510768022241-6.19224236877205j</v>
      </c>
      <c r="BE120" s="91">
        <f t="shared" si="40"/>
        <v>18.262111874787582</v>
      </c>
      <c r="BF120" s="91">
        <f t="shared" si="41"/>
        <v>130.85354903358694</v>
      </c>
      <c r="BH120" s="91">
        <f t="shared" si="49"/>
        <v>-17.262111874787582</v>
      </c>
      <c r="BI120" s="112">
        <f t="shared" si="50"/>
        <v>-130.85354903358694</v>
      </c>
      <c r="BJ120" s="95"/>
      <c r="BK120" s="95"/>
      <c r="BL120" s="95"/>
      <c r="BM120" s="95"/>
      <c r="BN120" s="46"/>
      <c r="BO120" s="46"/>
      <c r="BP120" s="46"/>
    </row>
    <row r="121" spans="1:68" s="91" customFormat="1">
      <c r="A121" s="91">
        <v>57</v>
      </c>
      <c r="B121" s="91">
        <f t="shared" si="42"/>
        <v>1380.3842646028857</v>
      </c>
      <c r="C121" s="91" t="str">
        <f t="shared" si="0"/>
        <v>8673.21012961475j</v>
      </c>
      <c r="D121" s="91">
        <f t="shared" si="1"/>
        <v>0.99999370095630424</v>
      </c>
      <c r="E121" s="91" t="str">
        <f t="shared" si="2"/>
        <v>-0.00394236824073398j</v>
      </c>
      <c r="F121" s="91" t="str">
        <f t="shared" si="3"/>
        <v>0.999993700956304-0.00394236824073398j</v>
      </c>
      <c r="G121" s="91">
        <f t="shared" si="4"/>
        <v>1.2786564571931763E-5</v>
      </c>
      <c r="H121" s="91">
        <f t="shared" si="5"/>
        <v>-0.22588131407829479</v>
      </c>
      <c r="J121" s="91">
        <f t="shared" si="6"/>
        <v>7.1641791044776131</v>
      </c>
      <c r="K121" s="91" t="str">
        <f t="shared" si="7"/>
        <v>1+0.215312441467686j</v>
      </c>
      <c r="L121" s="91">
        <f t="shared" si="8"/>
        <v>0.99241871025139494</v>
      </c>
      <c r="M121" s="91" t="str">
        <f t="shared" si="9"/>
        <v>0.039065044580067j</v>
      </c>
      <c r="N121" s="91" t="str">
        <f t="shared" si="10"/>
        <v>0.992418710251395+0.039065044580067j</v>
      </c>
      <c r="O121" s="91" t="str">
        <f t="shared" si="11"/>
        <v>1.01460727882746+0.177018793654675j</v>
      </c>
      <c r="P121" s="91" t="str">
        <f t="shared" si="12"/>
        <v>7.26882826622658+1.26819434260066j</v>
      </c>
      <c r="R121" s="91">
        <f t="shared" si="13"/>
        <v>11.82089552238806</v>
      </c>
      <c r="S121" s="91" t="str">
        <f t="shared" si="14"/>
        <v>1+0.000650490759721106j</v>
      </c>
      <c r="T121" s="91" t="str">
        <f t="shared" si="15"/>
        <v>0.992418710251395+0.039065044580067j</v>
      </c>
      <c r="U121" s="91" t="str">
        <f t="shared" si="16"/>
        <v>1.00610606190925-0.0389483662508218j</v>
      </c>
      <c r="V121" s="91" t="str">
        <f t="shared" si="17"/>
        <v>11.8930746422705-0.46040456821867j</v>
      </c>
      <c r="X121" s="91" t="str">
        <f t="shared" si="18"/>
        <v>1.36172307624618+0.232052116258956j</v>
      </c>
      <c r="Y121" s="91">
        <f t="shared" si="19"/>
        <v>2.8060976249728098</v>
      </c>
      <c r="Z121" s="91">
        <f t="shared" si="20"/>
        <v>-170.32908852926963</v>
      </c>
      <c r="AB121" s="91" t="str">
        <f t="shared" si="21"/>
        <v>11.1324987553783-0.430961163267898j</v>
      </c>
      <c r="AC121" s="91">
        <f t="shared" si="22"/>
        <v>20.938356648524469</v>
      </c>
      <c r="AD121" s="91">
        <f t="shared" si="23"/>
        <v>177.78307344492978</v>
      </c>
      <c r="AF121" s="91" t="str">
        <f t="shared" si="24"/>
        <v>4.65088923736176-0.639452554142836j</v>
      </c>
      <c r="AG121" s="91">
        <f t="shared" si="25"/>
        <v>13.432050928020887</v>
      </c>
      <c r="AH121" s="91">
        <f t="shared" si="26"/>
        <v>172.17146413951554</v>
      </c>
      <c r="AJ121" s="91" t="str">
        <f t="shared" si="27"/>
        <v>46874.9999225211-1.90573464447047j</v>
      </c>
      <c r="AK121" s="91" t="str">
        <f t="shared" si="28"/>
        <v>15000-1.95147227916331E-06j</v>
      </c>
      <c r="AL121" s="91" t="str">
        <f t="shared" si="43"/>
        <v>10000-2562168.08887683j</v>
      </c>
      <c r="AM121" s="91" t="str">
        <f t="shared" si="44"/>
        <v>963.13214203614-795158.20623857j</v>
      </c>
      <c r="AN121" s="91" t="str">
        <f t="shared" si="45"/>
        <v>10963.1321420361-795158.20623857j</v>
      </c>
      <c r="AO121" s="91" t="str">
        <f t="shared" si="46"/>
        <v>14990.7706790217-282.661208433285j</v>
      </c>
      <c r="AP121" s="91" t="str">
        <f t="shared" si="47"/>
        <v>0.242424242497833+7.46658262267545E-06j</v>
      </c>
      <c r="AQ121" s="91" t="str">
        <f t="shared" si="29"/>
        <v>1+1.1864951457313j</v>
      </c>
      <c r="AR121" s="91">
        <f t="shared" si="51"/>
        <v>9.8970927828330453E-8</v>
      </c>
      <c r="AS121" s="91" t="str">
        <f t="shared" si="31"/>
        <v>0.0000660359138206582j</v>
      </c>
      <c r="AT121" s="91" t="str">
        <f t="shared" si="32"/>
        <v>9.89709278283305E-08+0.0000660359138206582j</v>
      </c>
      <c r="AU121" s="91" t="str">
        <f t="shared" si="33"/>
        <v>5.39702331260904-4.53489373083465j</v>
      </c>
      <c r="AW121" s="91" t="str">
        <f t="shared" si="48"/>
        <v>1.30172878503918-1.10717882100311j</v>
      </c>
      <c r="AX121" s="91">
        <f t="shared" si="34"/>
        <v>4.6543382919653729</v>
      </c>
      <c r="AY121" s="91">
        <f t="shared" si="35"/>
        <v>139.6173421431742</v>
      </c>
      <c r="AZ121" s="91" t="str">
        <f t="shared" si="36"/>
        <v>14.0143430066437-12.8866613982581j</v>
      </c>
      <c r="BA121" s="91">
        <f t="shared" si="37"/>
        <v>25.592694940489832</v>
      </c>
      <c r="BB121" s="91">
        <f t="shared" si="38"/>
        <v>137.40041558810407</v>
      </c>
      <c r="BD121" s="91" t="str">
        <f t="shared" si="39"/>
        <v>5.34620807131943-5.98175985883279j</v>
      </c>
      <c r="BE121" s="91">
        <f t="shared" si="40"/>
        <v>18.086389219986248</v>
      </c>
      <c r="BF121" s="91">
        <f t="shared" si="41"/>
        <v>131.78880628268979</v>
      </c>
      <c r="BH121" s="91">
        <f t="shared" si="49"/>
        <v>-17.086389219986248</v>
      </c>
      <c r="BI121" s="112">
        <f t="shared" si="50"/>
        <v>-131.78880628268979</v>
      </c>
      <c r="BJ121" s="95"/>
      <c r="BK121" s="95"/>
      <c r="BL121" s="95"/>
      <c r="BM121" s="95"/>
      <c r="BN121" s="46"/>
      <c r="BO121" s="46"/>
      <c r="BP121" s="46"/>
    </row>
    <row r="122" spans="1:68" s="91" customFormat="1">
      <c r="A122" s="91">
        <v>58</v>
      </c>
      <c r="B122" s="91">
        <f t="shared" si="42"/>
        <v>1445.4397707459275</v>
      </c>
      <c r="C122" s="91" t="str">
        <f t="shared" si="0"/>
        <v>9081.96592996384j</v>
      </c>
      <c r="D122" s="91">
        <f t="shared" si="1"/>
        <v>0.99999309323593111</v>
      </c>
      <c r="E122" s="91" t="str">
        <f t="shared" si="2"/>
        <v>-0.00412816633180175j</v>
      </c>
      <c r="F122" s="91" t="str">
        <f t="shared" si="3"/>
        <v>0.999993093235931-0.00412816633180175j</v>
      </c>
      <c r="G122" s="91">
        <f t="shared" si="4"/>
        <v>1.4020205494240064E-5</v>
      </c>
      <c r="H122" s="91">
        <f t="shared" si="5"/>
        <v>-0.23652679796109941</v>
      </c>
      <c r="J122" s="91">
        <f t="shared" si="6"/>
        <v>7.1641791044776131</v>
      </c>
      <c r="K122" s="91" t="str">
        <f t="shared" si="7"/>
        <v>1+0.225459804211352j</v>
      </c>
      <c r="L122" s="91">
        <f t="shared" si="8"/>
        <v>0.99168728109201076</v>
      </c>
      <c r="M122" s="91" t="str">
        <f t="shared" si="9"/>
        <v>0.0409061234106692j</v>
      </c>
      <c r="N122" s="91" t="str">
        <f t="shared" si="10"/>
        <v>0.991687281092011+0.0409061234106692j</v>
      </c>
      <c r="O122" s="91" t="str">
        <f t="shared" si="11"/>
        <v>1.01603159184674+0.18543939610038j</v>
      </c>
      <c r="P122" s="91" t="str">
        <f t="shared" si="12"/>
        <v>7.27903229979754+1.32852104668929j</v>
      </c>
      <c r="R122" s="91">
        <f t="shared" si="13"/>
        <v>11.82089552238806</v>
      </c>
      <c r="S122" s="91" t="str">
        <f t="shared" si="14"/>
        <v>1+0.000681147444747288j</v>
      </c>
      <c r="T122" s="91" t="str">
        <f t="shared" si="15"/>
        <v>0.991687281092011+0.0409061234106692j</v>
      </c>
      <c r="U122" s="91" t="str">
        <f t="shared" si="16"/>
        <v>1.00669785411548-0.0408384376659144j</v>
      </c>
      <c r="V122" s="91" t="str">
        <f t="shared" si="17"/>
        <v>11.9000701561113-0.482746904946331j</v>
      </c>
      <c r="X122" s="91" t="str">
        <f t="shared" si="18"/>
        <v>1.36372326518337+0.243084923031288j</v>
      </c>
      <c r="Y122" s="91">
        <f t="shared" si="19"/>
        <v>2.8303682209032526</v>
      </c>
      <c r="Z122" s="91">
        <f t="shared" si="20"/>
        <v>-169.8931257825308</v>
      </c>
      <c r="AB122" s="91" t="str">
        <f t="shared" si="21"/>
        <v>11.1390468980133-0.451874681705671j</v>
      </c>
      <c r="AC122" s="91">
        <f t="shared" si="22"/>
        <v>20.944101782238498</v>
      </c>
      <c r="AD122" s="91">
        <f t="shared" si="23"/>
        <v>177.67697146328251</v>
      </c>
      <c r="AF122" s="91" t="str">
        <f t="shared" si="24"/>
        <v>4.64372823927245-0.668730991741035j</v>
      </c>
      <c r="AG122" s="91">
        <f t="shared" si="25"/>
        <v>13.426479244992397</v>
      </c>
      <c r="AH122" s="91">
        <f t="shared" si="26"/>
        <v>171.80532417078507</v>
      </c>
      <c r="AJ122" s="91" t="str">
        <f t="shared" si="27"/>
        <v>46874.999915046-1.99554915091643j</v>
      </c>
      <c r="AK122" s="91" t="str">
        <f t="shared" si="28"/>
        <v>15000-2.04344233424187E-06j</v>
      </c>
      <c r="AL122" s="91" t="str">
        <f t="shared" si="43"/>
        <v>10000-2446851.52901809j</v>
      </c>
      <c r="AM122" s="91" t="str">
        <f t="shared" si="44"/>
        <v>963.131468810941-759370.430527845j</v>
      </c>
      <c r="AN122" s="91" t="str">
        <f t="shared" si="45"/>
        <v>10963.1314688109-759370.430527845j</v>
      </c>
      <c r="AO122" s="91" t="str">
        <f t="shared" si="46"/>
        <v>14989.8812970796-295.952119416463j</v>
      </c>
      <c r="AP122" s="91" t="str">
        <f t="shared" si="47"/>
        <v>0.242424242504933+7.81847182051093E-06j</v>
      </c>
      <c r="AQ122" s="91" t="str">
        <f t="shared" si="29"/>
        <v>1+1.24241293921905j</v>
      </c>
      <c r="AR122" s="91">
        <f t="shared" si="51"/>
        <v>9.8871644801506626E-8</v>
      </c>
      <c r="AS122" s="91" t="str">
        <f t="shared" si="31"/>
        <v>0.0000691480905582401j</v>
      </c>
      <c r="AT122" s="91" t="str">
        <f t="shared" si="32"/>
        <v>9.88716448015066E-08+0.0000691480905582401j</v>
      </c>
      <c r="AU122" s="91" t="str">
        <f t="shared" si="33"/>
        <v>5.39641907570619-4.33079850437403j</v>
      </c>
      <c r="AW122" s="91" t="str">
        <f t="shared" si="48"/>
        <v>1.30157793206991-1.05806834800066j</v>
      </c>
      <c r="AX122" s="91">
        <f t="shared" si="34"/>
        <v>4.4926447650134733</v>
      </c>
      <c r="AY122" s="91">
        <f t="shared" si="35"/>
        <v>140.89192417626742</v>
      </c>
      <c r="AZ122" s="91" t="str">
        <f t="shared" si="36"/>
        <v>14.0202233287702-12.374023063452j</v>
      </c>
      <c r="BA122" s="91">
        <f t="shared" si="37"/>
        <v>25.43674654725195</v>
      </c>
      <c r="BB122" s="91">
        <f t="shared" si="38"/>
        <v>138.56889563954985</v>
      </c>
      <c r="BD122" s="91" t="str">
        <f t="shared" si="39"/>
        <v>5.33661110307858-5.78378736803236j</v>
      </c>
      <c r="BE122" s="91">
        <f t="shared" si="40"/>
        <v>17.919124010005845</v>
      </c>
      <c r="BF122" s="91">
        <f t="shared" si="41"/>
        <v>132.69724834705241</v>
      </c>
      <c r="BH122" s="91">
        <f t="shared" si="49"/>
        <v>-16.919124010005845</v>
      </c>
      <c r="BI122" s="112">
        <f t="shared" si="50"/>
        <v>-132.69724834705241</v>
      </c>
      <c r="BJ122" s="95"/>
      <c r="BK122" s="95"/>
      <c r="BL122" s="95"/>
      <c r="BM122" s="95"/>
      <c r="BN122" s="46"/>
      <c r="BO122" s="46"/>
      <c r="BP122" s="46"/>
    </row>
    <row r="123" spans="1:68" s="91" customFormat="1">
      <c r="A123" s="91">
        <v>59</v>
      </c>
      <c r="B123" s="91">
        <f t="shared" si="42"/>
        <v>1513.5612484362086</v>
      </c>
      <c r="C123" s="91" t="str">
        <f t="shared" si="0"/>
        <v>9509.98579769078j</v>
      </c>
      <c r="D123" s="91">
        <f t="shared" si="1"/>
        <v>0.99999242688379253</v>
      </c>
      <c r="E123" s="91" t="str">
        <f t="shared" si="2"/>
        <v>-0.00432272081713217j</v>
      </c>
      <c r="F123" s="91" t="str">
        <f t="shared" si="3"/>
        <v>0.999992426883793-0.00432272081713217j</v>
      </c>
      <c r="G123" s="91">
        <f t="shared" si="4"/>
        <v>1.5372869157743083E-5</v>
      </c>
      <c r="H123" s="91">
        <f t="shared" si="5"/>
        <v>-0.24767399182320018</v>
      </c>
      <c r="J123" s="91">
        <f t="shared" si="6"/>
        <v>7.1641791044776131</v>
      </c>
      <c r="K123" s="91" t="str">
        <f t="shared" si="7"/>
        <v>1+0.236085397427674j</v>
      </c>
      <c r="L123" s="91">
        <f t="shared" si="8"/>
        <v>0.99088528496672257</v>
      </c>
      <c r="M123" s="91" t="str">
        <f t="shared" si="9"/>
        <v>0.042833969613405j</v>
      </c>
      <c r="N123" s="91" t="str">
        <f t="shared" si="10"/>
        <v>0.990885284966723+0.042833969613405j</v>
      </c>
      <c r="O123" s="91" t="str">
        <f t="shared" si="11"/>
        <v>1.01759638808808+0.194268405820622j</v>
      </c>
      <c r="P123" s="91" t="str">
        <f t="shared" si="12"/>
        <v>7.29024278033252+1.39177365364028j</v>
      </c>
      <c r="R123" s="91">
        <f t="shared" si="13"/>
        <v>11.82089552238806</v>
      </c>
      <c r="S123" s="91" t="str">
        <f t="shared" si="14"/>
        <v>1+0.000713248934826809j</v>
      </c>
      <c r="T123" s="91" t="str">
        <f t="shared" si="15"/>
        <v>0.990885284966723+0.042833969613405j</v>
      </c>
      <c r="U123" s="91" t="str">
        <f t="shared" si="16"/>
        <v>1.00734728533563-0.042825778845642j</v>
      </c>
      <c r="V123" s="91" t="str">
        <f t="shared" si="17"/>
        <v>11.9077470147137-0.506239057399231j</v>
      </c>
      <c r="X123" s="91" t="str">
        <f t="shared" si="18"/>
        <v>1.36592062829594+0.254651980832632j</v>
      </c>
      <c r="Y123" s="91">
        <f t="shared" si="19"/>
        <v>2.8568933114602775</v>
      </c>
      <c r="Z123" s="91">
        <f t="shared" si="20"/>
        <v>-169.43944280930313</v>
      </c>
      <c r="AB123" s="91" t="str">
        <f t="shared" si="21"/>
        <v>11.1462328126239-0.473864483822404j</v>
      </c>
      <c r="AC123" s="91">
        <f t="shared" si="22"/>
        <v>20.950404513610948</v>
      </c>
      <c r="AD123" s="91">
        <f t="shared" si="23"/>
        <v>177.56562634158965</v>
      </c>
      <c r="AF123" s="91" t="str">
        <f t="shared" si="24"/>
        <v>4.63589671683368-0.69926469464497j</v>
      </c>
      <c r="AG123" s="91">
        <f t="shared" si="25"/>
        <v>13.420377546388163</v>
      </c>
      <c r="AH123" s="91">
        <f t="shared" si="26"/>
        <v>171.42233957634267</v>
      </c>
      <c r="AJ123" s="91" t="str">
        <f t="shared" si="27"/>
        <v>46874.9999068498-2.08959648459796j</v>
      </c>
      <c r="AK123" s="91" t="str">
        <f t="shared" si="28"/>
        <v>15000-2.13974680448043E-06j</v>
      </c>
      <c r="AL123" s="91" t="str">
        <f t="shared" si="43"/>
        <v>10000-2336725.06930749j</v>
      </c>
      <c r="AM123" s="91" t="str">
        <f t="shared" si="44"/>
        <v>963.130730635274-725193.381310467j</v>
      </c>
      <c r="AN123" s="91" t="str">
        <f t="shared" si="45"/>
        <v>10963.1307306353-725193.381310467j</v>
      </c>
      <c r="AO123" s="91" t="str">
        <f t="shared" si="46"/>
        <v>14988.9063205279-309.864900441563j</v>
      </c>
      <c r="AP123" s="91" t="str">
        <f t="shared" si="47"/>
        <v>0.242424242512718+8.18694504530436E-06j</v>
      </c>
      <c r="AQ123" s="91" t="str">
        <f t="shared" si="29"/>
        <v>1+1.3009660571241j</v>
      </c>
      <c r="AR123" s="91">
        <f t="shared" si="51"/>
        <v>9.8762783127347198E-8</v>
      </c>
      <c r="AS123" s="91" t="str">
        <f t="shared" si="31"/>
        <v>0.0000724069396667421j</v>
      </c>
      <c r="AT123" s="91" t="str">
        <f t="shared" si="32"/>
        <v>9.87627831273472E-08+0.0000724069396667421j</v>
      </c>
      <c r="AU123" s="91" t="str">
        <f t="shared" si="33"/>
        <v>5.39586800486541-4.13588932824354j</v>
      </c>
      <c r="AW123" s="91" t="str">
        <f t="shared" si="48"/>
        <v>1.30143954638611-1.01120213739243j</v>
      </c>
      <c r="AX123" s="91">
        <f t="shared" si="34"/>
        <v>4.3397368142783597</v>
      </c>
      <c r="AY123" s="91">
        <f t="shared" si="35"/>
        <v>142.15324317126402</v>
      </c>
      <c r="AZ123" s="91" t="str">
        <f t="shared" si="36"/>
        <v>14.0269753966996-11.8878004228732j</v>
      </c>
      <c r="BA123" s="91">
        <f t="shared" si="37"/>
        <v>25.290141327889273</v>
      </c>
      <c r="BB123" s="91">
        <f t="shared" si="38"/>
        <v>139.7188695128537</v>
      </c>
      <c r="BD123" s="91" t="str">
        <f t="shared" si="39"/>
        <v>5.32624136642081-5.59787939579532j</v>
      </c>
      <c r="BE123" s="91">
        <f t="shared" si="40"/>
        <v>17.760114360666496</v>
      </c>
      <c r="BF123" s="91">
        <f t="shared" si="41"/>
        <v>133.57558274760675</v>
      </c>
      <c r="BH123" s="91">
        <f t="shared" si="49"/>
        <v>-16.760114360666496</v>
      </c>
      <c r="BI123" s="112">
        <f t="shared" si="50"/>
        <v>-133.57558274760675</v>
      </c>
      <c r="BJ123" s="95"/>
      <c r="BK123" s="95"/>
      <c r="BL123" s="95"/>
      <c r="BM123" s="95"/>
      <c r="BN123" s="46"/>
      <c r="BO123" s="46"/>
      <c r="BP123" s="46"/>
    </row>
    <row r="124" spans="1:68" s="91" customFormat="1">
      <c r="A124" s="91">
        <v>60</v>
      </c>
      <c r="B124" s="91">
        <f t="shared" si="42"/>
        <v>1584.8931924611136</v>
      </c>
      <c r="C124" s="91" t="str">
        <f t="shared" si="0"/>
        <v>9958.17762032062j</v>
      </c>
      <c r="D124" s="91">
        <f t="shared" si="1"/>
        <v>0.99999169624320161</v>
      </c>
      <c r="E124" s="91" t="str">
        <f t="shared" si="2"/>
        <v>-0.00452644437287301j</v>
      </c>
      <c r="F124" s="91" t="str">
        <f t="shared" si="3"/>
        <v>0.999991696243202-0.00452644437287301j</v>
      </c>
      <c r="G124" s="91">
        <f t="shared" si="4"/>
        <v>1.6856039315125929E-5</v>
      </c>
      <c r="H124" s="91">
        <f t="shared" si="5"/>
        <v>-0.259346541087561</v>
      </c>
      <c r="J124" s="91">
        <f t="shared" si="6"/>
        <v>7.1641791044776131</v>
      </c>
      <c r="K124" s="91" t="str">
        <f t="shared" si="7"/>
        <v>1+0.247211759424459j</v>
      </c>
      <c r="L124" s="91">
        <f t="shared" si="8"/>
        <v>0.99000591370195279</v>
      </c>
      <c r="M124" s="91" t="str">
        <f t="shared" si="9"/>
        <v>0.0448526724085411j</v>
      </c>
      <c r="N124" s="91" t="str">
        <f t="shared" si="10"/>
        <v>0.990005913701953+0.0448526724085411j</v>
      </c>
      <c r="O124" s="91" t="str">
        <f t="shared" si="11"/>
        <v>1.01931585073427+0.203526783731215j</v>
      </c>
      <c r="P124" s="91" t="str">
        <f t="shared" si="12"/>
        <v>7.30256131869328+1.4581023312087j</v>
      </c>
      <c r="R124" s="91">
        <f t="shared" si="13"/>
        <v>11.82089552238806</v>
      </c>
      <c r="S124" s="91" t="str">
        <f t="shared" si="14"/>
        <v>1+0.000746863321524046j</v>
      </c>
      <c r="T124" s="91" t="str">
        <f t="shared" si="15"/>
        <v>0.990005913701953+0.0448526724085411j</v>
      </c>
      <c r="U124" s="91" t="str">
        <f t="shared" si="16"/>
        <v>1.00806002642381-0.0449162193845192j</v>
      </c>
      <c r="V124" s="91" t="str">
        <f t="shared" si="17"/>
        <v>11.9161722526516-0.530949936605063j</v>
      </c>
      <c r="X124" s="91" t="str">
        <f t="shared" si="18"/>
        <v>1.36833505015395+0.26678058220435j</v>
      </c>
      <c r="Y124" s="91">
        <f t="shared" si="19"/>
        <v>2.8858738033477218</v>
      </c>
      <c r="Z124" s="91">
        <f t="shared" si="20"/>
        <v>-168.9675962705164</v>
      </c>
      <c r="AB124" s="91" t="str">
        <f t="shared" si="21"/>
        <v>11.1541192468453-0.496995073705821j</v>
      </c>
      <c r="AC124" s="91">
        <f t="shared" si="22"/>
        <v>20.957319311793494</v>
      </c>
      <c r="AD124" s="91">
        <f t="shared" si="23"/>
        <v>177.44875437116761</v>
      </c>
      <c r="AF124" s="91" t="str">
        <f t="shared" si="24"/>
        <v>4.62733399750383-0.731095007651609j</v>
      </c>
      <c r="AG124" s="91">
        <f t="shared" si="25"/>
        <v>13.413696196052179</v>
      </c>
      <c r="AH124" s="91">
        <f t="shared" si="26"/>
        <v>171.02177612866194</v>
      </c>
      <c r="AJ124" s="91" t="str">
        <f t="shared" si="27"/>
        <v>46874.9998978629-2.18807613250983j</v>
      </c>
      <c r="AK124" s="91" t="str">
        <f t="shared" si="28"/>
        <v>15000-2.24058996457213E-06j</v>
      </c>
      <c r="AL124" s="91" t="str">
        <f t="shared" si="43"/>
        <v>10000-2231555.11675908j</v>
      </c>
      <c r="AM124" s="91" t="str">
        <f t="shared" si="44"/>
        <v>963.129921243051-692554.564482799j</v>
      </c>
      <c r="AN124" s="91" t="str">
        <f t="shared" si="45"/>
        <v>10963.1299212431-692554.564482799j</v>
      </c>
      <c r="AO124" s="91" t="str">
        <f t="shared" si="46"/>
        <v>14987.8375340163-324.428192938561j</v>
      </c>
      <c r="AP124" s="91" t="str">
        <f t="shared" si="47"/>
        <v>0.242424242521254+8.57278387816548E-06j</v>
      </c>
      <c r="AQ124" s="91" t="str">
        <f t="shared" si="29"/>
        <v>1+1.36227869845986j</v>
      </c>
      <c r="AR124" s="91">
        <f t="shared" si="51"/>
        <v>9.8643418675235752E-8</v>
      </c>
      <c r="AS124" s="91" t="str">
        <f t="shared" si="31"/>
        <v>0.0000758193736020447j</v>
      </c>
      <c r="AT124" s="91" t="str">
        <f t="shared" si="32"/>
        <v>9.86434186752358E-08+0.0000758193736020447j</v>
      </c>
      <c r="AU124" s="91" t="str">
        <f t="shared" si="33"/>
        <v>5.39536542208296-3.94975279381215j</v>
      </c>
      <c r="AW124" s="91" t="str">
        <f t="shared" si="48"/>
        <v>1.30131245324982-0.966480783720538j</v>
      </c>
      <c r="AX124" s="91">
        <f t="shared" si="34"/>
        <v>4.1954259350847218</v>
      </c>
      <c r="AY124" s="91">
        <f t="shared" si="35"/>
        <v>143.39884034323424</v>
      </c>
      <c r="AZ124" s="91" t="str">
        <f t="shared" si="36"/>
        <v>14.0346580926129-11.4269877900206j</v>
      </c>
      <c r="BA124" s="91">
        <f t="shared" si="37"/>
        <v>25.15274524687824</v>
      </c>
      <c r="BB124" s="91">
        <f t="shared" si="38"/>
        <v>140.84759471440191</v>
      </c>
      <c r="BD124" s="91" t="str">
        <f t="shared" si="39"/>
        <v>5.31501808032873-5.42361242641001j</v>
      </c>
      <c r="BE124" s="91">
        <f t="shared" si="40"/>
        <v>17.609122131136928</v>
      </c>
      <c r="BF124" s="91">
        <f t="shared" si="41"/>
        <v>134.4206164718963</v>
      </c>
      <c r="BH124" s="91">
        <f t="shared" si="49"/>
        <v>-16.609122131136928</v>
      </c>
      <c r="BI124" s="112">
        <f t="shared" si="50"/>
        <v>-134.4206164718963</v>
      </c>
      <c r="BJ124" s="95"/>
      <c r="BK124" s="95"/>
      <c r="BL124" s="95"/>
      <c r="BM124" s="95"/>
      <c r="BN124" s="46"/>
      <c r="BO124" s="46"/>
      <c r="BP124" s="46"/>
    </row>
    <row r="125" spans="1:68" s="91" customFormat="1">
      <c r="A125" s="91">
        <v>61</v>
      </c>
      <c r="B125" s="91">
        <f t="shared" si="42"/>
        <v>1659.5869074375614</v>
      </c>
      <c r="C125" s="91" t="str">
        <f t="shared" si="0"/>
        <v>10427.4920727993j</v>
      </c>
      <c r="D125" s="91">
        <f t="shared" si="1"/>
        <v>0.99999089511172445</v>
      </c>
      <c r="E125" s="91" t="str">
        <f t="shared" si="2"/>
        <v>-0.00473976912399968j</v>
      </c>
      <c r="F125" s="91" t="str">
        <f t="shared" si="3"/>
        <v>0.999990895111724-0.00473976912399968j</v>
      </c>
      <c r="G125" s="91">
        <f t="shared" si="4"/>
        <v>1.8482307790796112E-5</v>
      </c>
      <c r="H125" s="91">
        <f t="shared" si="5"/>
        <v>-0.27156920563457315</v>
      </c>
      <c r="J125" s="91">
        <f t="shared" si="6"/>
        <v>7.1641791044776131</v>
      </c>
      <c r="K125" s="91" t="str">
        <f t="shared" si="7"/>
        <v>1+0.258862490707243j</v>
      </c>
      <c r="L125" s="91">
        <f t="shared" si="8"/>
        <v>0.98904170228381794</v>
      </c>
      <c r="M125" s="91" t="str">
        <f t="shared" si="9"/>
        <v>0.0469665137353583j</v>
      </c>
      <c r="N125" s="91" t="str">
        <f t="shared" si="10"/>
        <v>0.989041702283818+0.0469665137353583j</v>
      </c>
      <c r="O125" s="91" t="str">
        <f t="shared" si="11"/>
        <v>1.0212056615986+0.213236732574726j</v>
      </c>
      <c r="P125" s="91" t="str">
        <f t="shared" si="12"/>
        <v>7.31610026219893+1.52766614381893j</v>
      </c>
      <c r="R125" s="91">
        <f t="shared" si="13"/>
        <v>11.82089552238806</v>
      </c>
      <c r="S125" s="91" t="str">
        <f t="shared" si="14"/>
        <v>1+0.000782061905459947j</v>
      </c>
      <c r="T125" s="91" t="str">
        <f t="shared" si="15"/>
        <v>0.989041702283818+0.0469665137353583j</v>
      </c>
      <c r="U125" s="91" t="str">
        <f t="shared" si="16"/>
        <v>1.00884231755284-0.0471160564322939j</v>
      </c>
      <c r="V125" s="91" t="str">
        <f t="shared" si="17"/>
        <v>11.925419634356-0.556953980513086j</v>
      </c>
      <c r="X125" s="91" t="str">
        <f t="shared" si="18"/>
        <v>1.37098851192468+0.279499618103827j</v>
      </c>
      <c r="Y125" s="91">
        <f t="shared" si="19"/>
        <v>2.9175269309314307</v>
      </c>
      <c r="Z125" s="91">
        <f t="shared" si="20"/>
        <v>-168.47717351939173</v>
      </c>
      <c r="AB125" s="91" t="str">
        <f t="shared" si="21"/>
        <v>11.162775247788-0.521336128912182j</v>
      </c>
      <c r="AC125" s="91">
        <f t="shared" si="22"/>
        <v>20.964906037839782</v>
      </c>
      <c r="AD125" s="91">
        <f t="shared" si="23"/>
        <v>177.32605287872079</v>
      </c>
      <c r="AF125" s="91" t="str">
        <f t="shared" si="24"/>
        <v>4.61797433723481-0.764262746727365j</v>
      </c>
      <c r="AG125" s="91">
        <f t="shared" si="25"/>
        <v>13.406381064565382</v>
      </c>
      <c r="AH125" s="91">
        <f t="shared" si="26"/>
        <v>170.60287351308509</v>
      </c>
      <c r="AJ125" s="91" t="str">
        <f t="shared" si="27"/>
        <v>46874.9998880089-2.29119698317819j</v>
      </c>
      <c r="AK125" s="91" t="str">
        <f t="shared" si="28"/>
        <v>15000-2.34618571637985E-06j</v>
      </c>
      <c r="AL125" s="91" t="str">
        <f t="shared" si="43"/>
        <v>10000-2131118.59180312j</v>
      </c>
      <c r="AM125" s="91" t="str">
        <f t="shared" si="44"/>
        <v>963.12903376369-661384.748738323j</v>
      </c>
      <c r="AN125" s="91" t="str">
        <f t="shared" si="45"/>
        <v>10963.1290337637-661384.748738323j</v>
      </c>
      <c r="AO125" s="91" t="str">
        <f t="shared" si="46"/>
        <v>14986.665938194-339.671889943454j</v>
      </c>
      <c r="AP125" s="91" t="str">
        <f t="shared" si="47"/>
        <v>0.242424242530613+8.97680673498669E-06j</v>
      </c>
      <c r="AQ125" s="91" t="str">
        <f t="shared" si="29"/>
        <v>1+1.42648091555894j</v>
      </c>
      <c r="AR125" s="91">
        <f t="shared" si="51"/>
        <v>9.8512538156100967E-8</v>
      </c>
      <c r="AS125" s="91" t="str">
        <f t="shared" si="31"/>
        <v>0.0000793926305940379j</v>
      </c>
      <c r="AT125" s="91" t="str">
        <f t="shared" si="32"/>
        <v>9.8512538156101E-08+0.0000793926305940379j</v>
      </c>
      <c r="AU125" s="91" t="str">
        <f t="shared" si="33"/>
        <v>5.3949070609626-3.77199409783503j</v>
      </c>
      <c r="AW125" s="91" t="str">
        <f t="shared" si="48"/>
        <v>1.30119557378556-0.923809430322751j</v>
      </c>
      <c r="AX125" s="91">
        <f t="shared" si="34"/>
        <v>4.0594944232314205</v>
      </c>
      <c r="AY125" s="91">
        <f t="shared" si="35"/>
        <v>144.62640241707723</v>
      </c>
      <c r="AZ125" s="91" t="str">
        <f t="shared" si="36"/>
        <v>14.0433385113277-10.990637305875j</v>
      </c>
      <c r="BA125" s="91">
        <f t="shared" si="37"/>
        <v>25.024400461071203</v>
      </c>
      <c r="BB125" s="91">
        <f t="shared" si="38"/>
        <v>141.95245529579788</v>
      </c>
      <c r="BD125" s="91" t="str">
        <f t="shared" si="39"/>
        <v>5.30285463479412-5.26058354497683j</v>
      </c>
      <c r="BE125" s="91">
        <f t="shared" si="40"/>
        <v>17.465875487796801</v>
      </c>
      <c r="BF125" s="91">
        <f t="shared" si="41"/>
        <v>135.22927593016217</v>
      </c>
      <c r="BH125" s="91">
        <f t="shared" si="49"/>
        <v>-16.465875487796801</v>
      </c>
      <c r="BI125" s="112">
        <f t="shared" si="50"/>
        <v>-135.22927593016217</v>
      </c>
      <c r="BJ125" s="95"/>
      <c r="BK125" s="95"/>
      <c r="BL125" s="95"/>
      <c r="BM125" s="95"/>
      <c r="BN125" s="46"/>
      <c r="BO125" s="46"/>
      <c r="BP125" s="46"/>
    </row>
    <row r="126" spans="1:68" s="91" customFormat="1">
      <c r="A126" s="91">
        <v>62</v>
      </c>
      <c r="B126" s="91">
        <f t="shared" si="42"/>
        <v>1737.8008287493756</v>
      </c>
      <c r="C126" s="91" t="str">
        <f t="shared" si="0"/>
        <v>10918.9246340026j</v>
      </c>
      <c r="D126" s="91">
        <f t="shared" si="1"/>
        <v>0.99999001668852761</v>
      </c>
      <c r="E126" s="91" t="str">
        <f t="shared" si="2"/>
        <v>-0.00496314756091027j</v>
      </c>
      <c r="F126" s="91" t="str">
        <f t="shared" si="3"/>
        <v>0.999990016688528-0.00496314756091027j</v>
      </c>
      <c r="G126" s="91">
        <f t="shared" si="4"/>
        <v>2.02654814408993E-5</v>
      </c>
      <c r="H126" s="91">
        <f t="shared" si="5"/>
        <v>-0.28436791233711012</v>
      </c>
      <c r="J126" s="91">
        <f t="shared" si="6"/>
        <v>7.1641791044776131</v>
      </c>
      <c r="K126" s="91" t="str">
        <f t="shared" si="7"/>
        <v>1+0.271062304039114j</v>
      </c>
      <c r="L126" s="91">
        <f t="shared" si="8"/>
        <v>0.98798446548736063</v>
      </c>
      <c r="M126" s="91" t="str">
        <f t="shared" si="9"/>
        <v>0.0491799773347184j</v>
      </c>
      <c r="N126" s="91" t="str">
        <f t="shared" si="10"/>
        <v>0.987984465487361+0.0491799773347184j</v>
      </c>
      <c r="O126" s="91" t="str">
        <f t="shared" si="11"/>
        <v>1.02328317299962+0.223421793049253j</v>
      </c>
      <c r="P126" s="91" t="str">
        <f t="shared" si="12"/>
        <v>7.33098392596743+1.60063374124838j</v>
      </c>
      <c r="R126" s="91">
        <f t="shared" si="13"/>
        <v>11.82089552238806</v>
      </c>
      <c r="S126" s="91" t="str">
        <f t="shared" si="14"/>
        <v>1+0.000818919347550195j</v>
      </c>
      <c r="T126" s="91" t="str">
        <f t="shared" si="15"/>
        <v>0.987984465487361+0.0491799773347184j</v>
      </c>
      <c r="U126" s="91" t="str">
        <f t="shared" si="16"/>
        <v>1.00970102761838-0.0494321074992531j</v>
      </c>
      <c r="V126" s="91" t="str">
        <f t="shared" si="17"/>
        <v>11.9355703563247-0.584331778200126j</v>
      </c>
      <c r="X126" s="91" t="str">
        <f t="shared" si="18"/>
        <v>1.37390533094842+0.292839699123042j</v>
      </c>
      <c r="Y126" s="91">
        <f t="shared" si="19"/>
        <v>2.9520873017675315</v>
      </c>
      <c r="Z126" s="91">
        <f t="shared" si="20"/>
        <v>-167.96780019696666</v>
      </c>
      <c r="AB126" s="91" t="str">
        <f t="shared" si="21"/>
        <v>11.1722768193397-0.546963084753584j</v>
      </c>
      <c r="AC126" s="91">
        <f t="shared" si="22"/>
        <v>20.973230492787422</v>
      </c>
      <c r="AD126" s="91">
        <f t="shared" si="23"/>
        <v>177.19719845882759</v>
      </c>
      <c r="AF126" s="91" t="str">
        <f t="shared" si="24"/>
        <v>4.60774657991146-0.798807847190973j</v>
      </c>
      <c r="AG126" s="91">
        <f t="shared" si="25"/>
        <v>13.398373153160062</v>
      </c>
      <c r="AH126" s="91">
        <f t="shared" si="26"/>
        <v>170.16484527988231</v>
      </c>
      <c r="AJ126" s="91" t="str">
        <f t="shared" si="27"/>
        <v>46874.9998772042-2.39917776974097j</v>
      </c>
      <c r="AK126" s="91" t="str">
        <f t="shared" si="28"/>
        <v>15000-2.45675804265059E-06j</v>
      </c>
      <c r="AL126" s="91" t="str">
        <f t="shared" si="43"/>
        <v>10000-2035202.45510442j</v>
      </c>
      <c r="AM126" s="91" t="str">
        <f t="shared" si="44"/>
        <v>963.128060663804-631617.818718764j</v>
      </c>
      <c r="AN126" s="91" t="str">
        <f t="shared" si="45"/>
        <v>10963.1280606638-631617.818718764j</v>
      </c>
      <c r="AO126" s="91" t="str">
        <f t="shared" si="46"/>
        <v>14985.3816758019-355.627180663323j</v>
      </c>
      <c r="AP126" s="91" t="str">
        <f t="shared" si="47"/>
        <v>0.242424242540876+9.39987060241279E-06j</v>
      </c>
      <c r="AQ126" s="91" t="str">
        <f t="shared" si="29"/>
        <v>1+1.49370888993156j</v>
      </c>
      <c r="AR126" s="91">
        <f t="shared" si="51"/>
        <v>9.8369030520569762E-8</v>
      </c>
      <c r="AS126" s="91" t="str">
        <f t="shared" si="31"/>
        <v>0.0000831342899998763j</v>
      </c>
      <c r="AT126" s="91" t="str">
        <f t="shared" si="32"/>
        <v>9.83690305205698E-08+0.0000831342899998763j</v>
      </c>
      <c r="AU126" s="91" t="str">
        <f t="shared" si="33"/>
        <v>5.39448903049947-3.60223620535356j</v>
      </c>
      <c r="AW126" s="91" t="str">
        <f t="shared" si="48"/>
        <v>1.30108791582244-0.883097568192289j</v>
      </c>
      <c r="AX126" s="91">
        <f t="shared" si="34"/>
        <v>3.9316986210118809</v>
      </c>
      <c r="AY126" s="91">
        <f t="shared" si="35"/>
        <v>145.83377842302158</v>
      </c>
      <c r="AZ126" s="91" t="str">
        <f t="shared" si="36"/>
        <v>14.0530925918292-10.5778575503038j</v>
      </c>
      <c r="BA126" s="91">
        <f t="shared" si="37"/>
        <v>24.904929113799298</v>
      </c>
      <c r="BB126" s="91">
        <f t="shared" si="38"/>
        <v>143.03097688184923</v>
      </c>
      <c r="BD126" s="91" t="str">
        <f t="shared" si="39"/>
        <v>5.28965812698771-5.10840903661045j</v>
      </c>
      <c r="BE126" s="91">
        <f t="shared" si="40"/>
        <v>17.33007177417193</v>
      </c>
      <c r="BF126" s="91">
        <f t="shared" si="41"/>
        <v>135.99862370290396</v>
      </c>
      <c r="BH126" s="91">
        <f t="shared" si="49"/>
        <v>-16.33007177417193</v>
      </c>
      <c r="BI126" s="112">
        <f t="shared" si="50"/>
        <v>-135.99862370290396</v>
      </c>
      <c r="BJ126" s="95"/>
      <c r="BK126" s="95"/>
      <c r="BL126" s="95"/>
      <c r="BM126" s="95"/>
      <c r="BN126" s="46"/>
      <c r="BO126" s="46"/>
      <c r="BP126" s="46"/>
    </row>
    <row r="127" spans="1:68" s="91" customFormat="1">
      <c r="A127" s="91">
        <v>63</v>
      </c>
      <c r="B127" s="91">
        <f t="shared" si="42"/>
        <v>1819.7008586099842</v>
      </c>
      <c r="C127" s="91" t="str">
        <f t="shared" si="0"/>
        <v>11433.5176982803j</v>
      </c>
      <c r="D127" s="91">
        <f t="shared" si="1"/>
        <v>0.99998905351664524</v>
      </c>
      <c r="E127" s="91" t="str">
        <f t="shared" si="2"/>
        <v>-0.00519705349921832j</v>
      </c>
      <c r="F127" s="91" t="str">
        <f t="shared" si="3"/>
        <v>0.999989053516645-0.00519705349921832j</v>
      </c>
      <c r="G127" s="91">
        <f t="shared" si="4"/>
        <v>2.222069931527522E-5</v>
      </c>
      <c r="H127" s="91">
        <f t="shared" si="5"/>
        <v>-0.29776981007330233</v>
      </c>
      <c r="J127" s="91">
        <f t="shared" si="6"/>
        <v>7.1641791044776131</v>
      </c>
      <c r="K127" s="91" t="str">
        <f t="shared" si="7"/>
        <v>1+0.283837076859808j</v>
      </c>
      <c r="L127" s="91">
        <f t="shared" si="8"/>
        <v>0.98682522839188513</v>
      </c>
      <c r="M127" s="91" t="str">
        <f t="shared" si="9"/>
        <v>0.0514977582596797j</v>
      </c>
      <c r="N127" s="91" t="str">
        <f t="shared" si="10"/>
        <v>0.986825228391885+0.0514977582596797j</v>
      </c>
      <c r="O127" s="91" t="str">
        <f t="shared" si="11"/>
        <v>1.02556760204409+0.234106950009023j</v>
      </c>
      <c r="P127" s="91" t="str">
        <f t="shared" si="12"/>
        <v>7.34734998479348+1.67718411946763j</v>
      </c>
      <c r="R127" s="91">
        <f t="shared" si="13"/>
        <v>11.82089552238806</v>
      </c>
      <c r="S127" s="91" t="str">
        <f t="shared" si="14"/>
        <v>1+0.000857513827371022j</v>
      </c>
      <c r="T127" s="91" t="str">
        <f t="shared" si="15"/>
        <v>0.986825228391885+0.0514977582596797j</v>
      </c>
      <c r="U127" s="91" t="str">
        <f t="shared" si="16"/>
        <v>1.01064372027345-0.0518717709004562j</v>
      </c>
      <c r="V127" s="91" t="str">
        <f t="shared" si="17"/>
        <v>11.94671382771-0.613170784375542j</v>
      </c>
      <c r="X127" s="91" t="str">
        <f t="shared" si="18"/>
        <v>1.37711243138288+0.306833289090387j</v>
      </c>
      <c r="Y127" s="91">
        <f t="shared" si="19"/>
        <v>2.9898079606633114</v>
      </c>
      <c r="Z127" s="91">
        <f t="shared" si="20"/>
        <v>-167.43914877114597</v>
      </c>
      <c r="AB127" s="91" t="str">
        <f t="shared" si="21"/>
        <v>11.1827076528338-0.573957803109516j</v>
      </c>
      <c r="AC127" s="91">
        <f t="shared" si="22"/>
        <v>20.982365024320742</v>
      </c>
      <c r="AD127" s="91">
        <f t="shared" si="23"/>
        <v>177.06184498168702</v>
      </c>
      <c r="AF127" s="91" t="str">
        <f t="shared" si="24"/>
        <v>4.59657381114488-0.834768956626696j</v>
      </c>
      <c r="AG127" s="91">
        <f t="shared" si="25"/>
        <v>13.389608192236933</v>
      </c>
      <c r="AH127" s="91">
        <f t="shared" si="26"/>
        <v>169.70687894926084</v>
      </c>
      <c r="AJ127" s="91" t="str">
        <f t="shared" si="27"/>
        <v>46874.999865357-2.5122475339099j</v>
      </c>
      <c r="AK127" s="91" t="str">
        <f t="shared" si="28"/>
        <v>15000-2.57254148211307E-06j</v>
      </c>
      <c r="AL127" s="91" t="str">
        <f t="shared" si="43"/>
        <v>10000-1943603.25567735j</v>
      </c>
      <c r="AM127" s="91" t="str">
        <f t="shared" si="44"/>
        <v>963.126993683256-603190.634774549j</v>
      </c>
      <c r="AN127" s="91" t="str">
        <f t="shared" si="45"/>
        <v>10963.1269936833-603190.634774549j</v>
      </c>
      <c r="AO127" s="91" t="str">
        <f t="shared" si="46"/>
        <v>14983.9739509814-372.326595038795j</v>
      </c>
      <c r="AP127" s="91" t="str">
        <f t="shared" si="47"/>
        <v>0.242424242552129+9.84287285562461E-06j</v>
      </c>
      <c r="AQ127" s="91" t="str">
        <f t="shared" si="29"/>
        <v>1+1.56410522112475j</v>
      </c>
      <c r="AR127" s="91">
        <f t="shared" si="51"/>
        <v>9.8211677527229754E-8</v>
      </c>
      <c r="AS127" s="91" t="str">
        <f t="shared" si="31"/>
        <v>0.0000870522883808126j</v>
      </c>
      <c r="AT127" s="91" t="str">
        <f t="shared" si="32"/>
        <v>9.82116775272298E-08+0.0000870522883808126j</v>
      </c>
      <c r="AU127" s="91" t="str">
        <f t="shared" si="33"/>
        <v>5.39410778205048-3.44011905024165j</v>
      </c>
      <c r="AW127" s="91" t="str">
        <f t="shared" si="48"/>
        <v>1.30098856547237-0.844258844046854j</v>
      </c>
      <c r="AX127" s="91">
        <f t="shared" si="34"/>
        <v>3.8117723964599923</v>
      </c>
      <c r="AY127" s="91">
        <f t="shared" si="35"/>
        <v>147.01899294443447</v>
      </c>
      <c r="AZ127" s="91" t="str">
        <f t="shared" si="36"/>
        <v>14.0640058359723-10.1878123752045j</v>
      </c>
      <c r="BA127" s="91">
        <f t="shared" si="37"/>
        <v>24.794137420780764</v>
      </c>
      <c r="BB127" s="91">
        <f t="shared" si="38"/>
        <v>144.08083792612163</v>
      </c>
      <c r="BD127" s="91" t="str">
        <f t="shared" si="39"/>
        <v>5.27532889428142-4.96672295975586j</v>
      </c>
      <c r="BE127" s="91">
        <f t="shared" si="40"/>
        <v>17.201380588696956</v>
      </c>
      <c r="BF127" s="91">
        <f t="shared" si="41"/>
        <v>136.72587189369543</v>
      </c>
      <c r="BH127" s="91">
        <f t="shared" si="49"/>
        <v>-16.201380588696956</v>
      </c>
      <c r="BI127" s="112">
        <f t="shared" si="50"/>
        <v>-136.72587189369543</v>
      </c>
      <c r="BJ127" s="95"/>
      <c r="BK127" s="95"/>
      <c r="BL127" s="95"/>
      <c r="BM127" s="95"/>
      <c r="BN127" s="46"/>
      <c r="BO127" s="46"/>
      <c r="BP127" s="46"/>
    </row>
    <row r="128" spans="1:68" s="91" customFormat="1">
      <c r="A128" s="91">
        <v>64</v>
      </c>
      <c r="B128" s="91">
        <f t="shared" ref="B128:B191" si="52">Fstart*10^(Step*A128)</f>
        <v>1905.4607179632476</v>
      </c>
      <c r="C128" s="91" t="str">
        <f t="shared" ref="C128:C191" si="53">COMPLEX(0,2*PI()*B128,"j")</f>
        <v>11972.3627865145j</v>
      </c>
      <c r="D128" s="91">
        <f t="shared" ref="D128:D191" si="54">(IMPRODUCT(C128,C128))/wn^2 + 1</f>
        <v>0.99998799741967703</v>
      </c>
      <c r="E128" s="91" t="str">
        <f t="shared" ref="E128:E191" si="55">IMDIV(C128,wn*Qn)</f>
        <v>-0.00544198308477932j</v>
      </c>
      <c r="F128" s="91" t="str">
        <f t="shared" ref="F128:F191" si="56">IMSUM(D128,E128)</f>
        <v>0.999987997419677-0.00544198308477932j</v>
      </c>
      <c r="G128" s="91">
        <f t="shared" ref="G128:G191" si="57">20*LOG(IMABS(F128),10)</f>
        <v>2.4364561340422671E-5</v>
      </c>
      <c r="H128" s="91">
        <f t="shared" ref="H128:H191" si="58">(IMARGUMENT(F128)*(180/PI()))</f>
        <v>-0.31180332733407456</v>
      </c>
      <c r="J128" s="91">
        <f t="shared" ref="J128:J191" si="59">Vin/(Rout+DCR/1000)</f>
        <v>7.1641791044776131</v>
      </c>
      <c r="K128" s="91" t="str">
        <f t="shared" ref="K128:K191" si="60">IMSUM(1,IMPRODUCT(C128,ncap*(Cap*10^-6)*(Rout+(ESR/(ncap*1000)))))</f>
        <v>1+0.297213906175222j</v>
      </c>
      <c r="L128" s="91">
        <f t="shared" ref="L128:L191" si="61">(IMPRODUCT(C128,C128))/Gdo^2 + 1</f>
        <v>0.98555415019253578</v>
      </c>
      <c r="M128" s="91" t="str">
        <f t="shared" ref="M128:M191" si="62">IMDIV(C128,Q*Gdo)</f>
        <v>0.0539247728343345j</v>
      </c>
      <c r="N128" s="91" t="str">
        <f t="shared" ref="N128:N191" si="63">IMSUM(L128,M128)</f>
        <v>0.985554150192536+0.0539247728343345j</v>
      </c>
      <c r="O128" s="91" t="str">
        <f t="shared" ref="O128:O191" si="64">IMDIV(K128,N128)</f>
        <v>1.02808025075906+0.245318750015249j</v>
      </c>
      <c r="P128" s="91" t="str">
        <f t="shared" ref="P128:P191" si="65">IMPRODUCT(J128,O128)</f>
        <v>7.36535105021416+1.75750746279581j</v>
      </c>
      <c r="R128" s="91">
        <f t="shared" ref="R128:R191" si="66">Vin/(1+((DCR*10^-3)/Rout))</f>
        <v>11.82089552238806</v>
      </c>
      <c r="S128" s="91" t="str">
        <f t="shared" ref="S128:S191" si="67">IMSUM(1,IMPRODUCT(C128,ncap*(Cap*10^-6)*(ESR/(ncap*1000))))</f>
        <v>1+0.000897927208988587j</v>
      </c>
      <c r="T128" s="91" t="str">
        <f t="shared" ref="T128:T191" si="68">IMSUM(L128,M128)</f>
        <v>0.985554150192536+0.0539247728343345j</v>
      </c>
      <c r="U128" s="91" t="str">
        <f t="shared" ref="U128:U191" si="69">IMDIV(S128,T128)</f>
        <v>1.01167872741269-0.0544430951232736j</v>
      </c>
      <c r="V128" s="91" t="str">
        <f t="shared" ref="V128:V191" si="70">IMPRODUCT(R128,U128)</f>
        <v>11.9589485389679-0.643566139367652j</v>
      </c>
      <c r="X128" s="91" t="str">
        <f t="shared" ref="X128:X191" si="71">IMPRODUCT(Fm,Dmax,P128,F128)</f>
        <v>1.38063965065721+0.321514852580381j</v>
      </c>
      <c r="Y128" s="91">
        <f t="shared" ref="Y128:Y191" si="72">20*LOG(IMABS(X128),10)</f>
        <v>3.0309614640010869</v>
      </c>
      <c r="Z128" s="91">
        <f t="shared" ref="Z128:Z191" si="73">IF((IMARGUMENT(X128)*(180/PI()))&lt;0,(IMARGUMENT(X128)*(180/PI()))+180,(IMARGUMENT(X128)*(180/PI()))-180)</f>
        <v>-166.89094808646774</v>
      </c>
      <c r="AB128" s="91" t="str">
        <f t="shared" ref="AB128:AB191" si="74">IMPRODUCT(Fm,V128)</f>
        <v>11.1941599401479-0.602409339974196j</v>
      </c>
      <c r="AC128" s="91">
        <f t="shared" ref="AC128:AC191" si="75">20*LOG(IMABS(AB128),10)</f>
        <v>20.992389198840826</v>
      </c>
      <c r="AD128" s="91">
        <f t="shared" ref="AD128:AD191" si="76">IF((IMARGUMENT(AB128)*(180/PI()))&lt;0,(IMARGUMENT(AB128)*(180/PI()))+180,(IMARGUMENT(AB128)*(180/PI()))-180)</f>
        <v>176.91962134134349</v>
      </c>
      <c r="AF128" s="91" t="str">
        <f t="shared" ref="AF128:AF191" si="77">IMDIV(AB128,IMSUM(1,X128))</f>
        <v>4.58437301052453-0.872182966478467j</v>
      </c>
      <c r="AG128" s="91">
        <f t="shared" ref="AG128:AG191" si="78">20*LOG(IMABS(AF128),10)</f>
        <v>13.380016214018173</v>
      </c>
      <c r="AH128" s="91">
        <f t="shared" ref="AH128:AH191" si="79">IF((IMARGUMENT(AF128)*(180/PI()))&lt;0,(IMARGUMENT(AF128)*(180/PI()))+180,(IMARGUMENT(AF128)*(180/PI()))-180)</f>
        <v>169.22813629473046</v>
      </c>
      <c r="AJ128" s="91" t="str">
        <f t="shared" ref="AJ128:AJ191" si="80">IMDIV(_Rfb1,IMSUM(1,IMPRODUCT(C128,_Cfb1*_Rfb1)))</f>
        <v>46874.9998523669-2.63064611179852j</v>
      </c>
      <c r="AK128" s="91" t="str">
        <f t="shared" ref="AK128:AK191" si="81">IMDIV(_Rfb2,IMSUM(1,IMPRODUCT(C128,_Cfb2*_Rfb2)))</f>
        <v>15000-2.69378162696577E-06j</v>
      </c>
      <c r="AL128" s="91" t="str">
        <f t="shared" si="43"/>
        <v>10000-1856126.699339j</v>
      </c>
      <c r="AM128" s="91" t="str">
        <f t="shared" si="44"/>
        <v>963.125823765061-576042.899037136j</v>
      </c>
      <c r="AN128" s="91" t="str">
        <f t="shared" si="45"/>
        <v>10963.1258237651-576042.899037136j</v>
      </c>
      <c r="AO128" s="91" t="str">
        <f t="shared" si="46"/>
        <v>14982.4309412153-389.804048000903j</v>
      </c>
      <c r="AP128" s="91" t="str">
        <f t="shared" si="47"/>
        <v>0.242424242564467+0.000010306753161792j</v>
      </c>
      <c r="AQ128" s="91" t="str">
        <f t="shared" ref="AQ128:AQ191" si="82">IMSUM(1,IMPRODUCT(C128,_res1*_Cap1))</f>
        <v>1+1.63781922919518j</v>
      </c>
      <c r="AR128" s="91">
        <f t="shared" ref="AR128:AR191" si="83">(IMPRODUCT(C128,C128))*_res1*_Cap1*_cap2 + (1/Roerr)</f>
        <v>9.8039143400934573E-8</v>
      </c>
      <c r="AS128" s="91" t="str">
        <f t="shared" ref="AS128:AS191" si="84">IMPRODUCT(C128,(_Cap1+_cap2+(_Cap1*_res1/Roerr)))</f>
        <v>0.0000911549363367084j</v>
      </c>
      <c r="AT128" s="91" t="str">
        <f t="shared" ref="AT128:AT191" si="85">IMSUM(AR128,AS128)</f>
        <v>9.80391434009346E-08+0.0000911549363367084j</v>
      </c>
      <c r="AU128" s="91" t="str">
        <f t="shared" ref="AU128:AU191" si="86">IMPRODUCT(EA_BW,IMDIV(AQ128,AT128))</f>
        <v>5.39376007921089-3.28529877170817j</v>
      </c>
      <c r="AW128" s="91" t="str">
        <f t="shared" si="48"/>
        <v>1.30089667937288-0.807210877200684j</v>
      </c>
      <c r="AX128" s="91">
        <f t="shared" ref="AX128:AX191" si="87">20*LOG(IMABS(AW128),10)</f>
        <v>3.699430757790116</v>
      </c>
      <c r="AY128" s="91">
        <f t="shared" ref="AY128:AY191" si="88">IF((IMARGUMENT(AW128)*(180/PI()))&lt;0,(IMARGUMENT(AW128)*(180/PI()))+180,(IMARGUMENT(AW128)*(180/PI()))-180)</f>
        <v>148.18025574181155</v>
      </c>
      <c r="AZ128" s="91" t="str">
        <f t="shared" ref="AZ128:AZ191" si="89">IMPRODUCT(AW128,Fm,V128)</f>
        <v>14.0761741227529-9.8197199748072j</v>
      </c>
      <c r="BA128" s="91">
        <f t="shared" ref="BA128:BA191" si="90">20*LOG(IMABS(AZ128),10)</f>
        <v>24.691819956630962</v>
      </c>
      <c r="BB128" s="91">
        <f t="shared" ref="BB128:BB191" si="91">IF((IMARGUMENT(AZ128)*(180/PI()))&lt;0,(IMARGUMENT(AZ128)*(180/PI()))+180,(IMARGUMENT(AZ128)*(180/PI()))-180)</f>
        <v>145.09987708315504</v>
      </c>
      <c r="BD128" s="91" t="str">
        <f t="shared" ref="BD128:BD191" si="92">IMDIV(AZ128,IMSUM(1,X128))</f>
        <v>5.25976004894745-4.83517568413808j</v>
      </c>
      <c r="BE128" s="91">
        <f t="shared" ref="BE128:BE191" si="93">20*LOG(IMABS(BD128),10)</f>
        <v>17.079446971808313</v>
      </c>
      <c r="BF128" s="91">
        <f t="shared" ref="BF128:BF191" si="94">IF((IMARGUMENT(BD128)*(180/PI()))&lt;0,(IMARGUMENT(BD128)*(180/PI()))+180,(IMARGUMENT(BD128)*(180/PI()))-180)</f>
        <v>137.40839203654204</v>
      </c>
      <c r="BH128" s="91">
        <f t="shared" si="49"/>
        <v>-16.079446971808313</v>
      </c>
      <c r="BI128" s="112">
        <f t="shared" si="50"/>
        <v>-137.40839203654204</v>
      </c>
      <c r="BJ128" s="95"/>
      <c r="BK128" s="95"/>
      <c r="BL128" s="95"/>
      <c r="BM128" s="95"/>
      <c r="BN128" s="46"/>
      <c r="BO128" s="46"/>
      <c r="BP128" s="46"/>
    </row>
    <row r="129" spans="1:68" s="91" customFormat="1">
      <c r="A129" s="91">
        <v>65</v>
      </c>
      <c r="B129" s="91">
        <f t="shared" si="52"/>
        <v>1995.2623149688804</v>
      </c>
      <c r="C129" s="91" t="str">
        <f t="shared" si="53"/>
        <v>12536.6028613816j</v>
      </c>
      <c r="D129" s="91">
        <f t="shared" si="54"/>
        <v>0.99998683943237843</v>
      </c>
      <c r="E129" s="91" t="str">
        <f t="shared" si="55"/>
        <v>-0.00569845584608255j</v>
      </c>
      <c r="F129" s="91" t="str">
        <f t="shared" si="56"/>
        <v>0.999986839432378-0.00569845584608255j</v>
      </c>
      <c r="G129" s="91">
        <f t="shared" si="57"/>
        <v>2.6715269221490693E-5</v>
      </c>
      <c r="H129" s="91">
        <f t="shared" si="58"/>
        <v>-0.32649823254804444</v>
      </c>
      <c r="J129" s="91">
        <f t="shared" si="59"/>
        <v>7.1641791044776131</v>
      </c>
      <c r="K129" s="91" t="str">
        <f t="shared" si="60"/>
        <v>1+0.311221166033798j</v>
      </c>
      <c r="L129" s="91">
        <f t="shared" si="61"/>
        <v>0.98416044066135622</v>
      </c>
      <c r="M129" s="91" t="str">
        <f t="shared" si="62"/>
        <v>0.0564661690819915j</v>
      </c>
      <c r="N129" s="91" t="str">
        <f t="shared" si="63"/>
        <v>0.984160440661356+0.0564661690819915j</v>
      </c>
      <c r="O129" s="91" t="str">
        <f t="shared" si="64"/>
        <v>1.03084475613792+0.257085431686733j</v>
      </c>
      <c r="P129" s="91" t="str">
        <f t="shared" si="65"/>
        <v>7.38515646188361+1.8418060777557j</v>
      </c>
      <c r="R129" s="91">
        <f t="shared" si="66"/>
        <v>11.82089552238806</v>
      </c>
      <c r="S129" s="91" t="str">
        <f t="shared" si="67"/>
        <v>1+0.00094024521460362j</v>
      </c>
      <c r="T129" s="91" t="str">
        <f t="shared" si="68"/>
        <v>0.984160440661356+0.0564661690819915j</v>
      </c>
      <c r="U129" s="91" t="str">
        <f t="shared" si="69"/>
        <v>1.01281523103902-0.057154858645062j</v>
      </c>
      <c r="V129" s="91" t="str">
        <f t="shared" si="70"/>
        <v>11.9723830295956-0.675621612640136j</v>
      </c>
      <c r="X129" s="91" t="str">
        <f t="shared" si="71"/>
        <v>1.38452008733123+0.336921018049425j</v>
      </c>
      <c r="Y129" s="91">
        <f t="shared" si="72"/>
        <v>3.0758409548290286</v>
      </c>
      <c r="Z129" s="91">
        <f t="shared" si="73"/>
        <v>-166.32299398803613</v>
      </c>
      <c r="AB129" s="91" t="str">
        <f t="shared" si="74"/>
        <v>11.2067352795526-0.632414828634012j</v>
      </c>
      <c r="AC129" s="91">
        <f t="shared" si="75"/>
        <v>21.003390546667234</v>
      </c>
      <c r="AD129" s="91">
        <f t="shared" si="76"/>
        <v>176.77012890349164</v>
      </c>
      <c r="AF129" s="91" t="str">
        <f t="shared" si="77"/>
        <v>4.57105470752081-0.911084475989051j</v>
      </c>
      <c r="AG129" s="91">
        <f t="shared" si="78"/>
        <v>13.369521099156618</v>
      </c>
      <c r="AH129" s="91">
        <f t="shared" si="79"/>
        <v>168.72775383300115</v>
      </c>
      <c r="AJ129" s="91" t="str">
        <f t="shared" si="80"/>
        <v>46874.9998381236-2.75462464264632j</v>
      </c>
      <c r="AK129" s="91" t="str">
        <f t="shared" si="81"/>
        <v>15000-2.82073564381086E-06j</v>
      </c>
      <c r="AL129" s="91" t="str">
        <f t="shared" ref="AL129:AL192" si="95">IMDIV(IMSUM(1,IMPRODUCT(C129,10000,0.000000000045)),IMPRODUCT(C129,0.000000000045))</f>
        <v>10000-1772587.23658518j</v>
      </c>
      <c r="AM129" s="91" t="str">
        <f t="shared" ref="AM129:AM192" si="96">IMDIV(AL129,IMSUM(1,IMPRODUCT(C129,AL129,0.0000000001)))</f>
        <v>963.124540978539-550117.027519154j</v>
      </c>
      <c r="AN129" s="91" t="str">
        <f t="shared" ref="AN129:AN192" si="97">IMSUM(10000,AM129)</f>
        <v>10963.1245409785-550117.027519154j</v>
      </c>
      <c r="AO129" s="91" t="str">
        <f t="shared" ref="AO129:AO192" si="98">IMDIV(IMPRODUCT(AN129,AK129),IMSUM(AN129,AK129))</f>
        <v>14980.739701273-408.094883062352j</v>
      </c>
      <c r="AP129" s="91" t="str">
        <f t="shared" ref="AP129:AP192" si="99">IMDIV(AK129,IMSUM(AJ129,AK129))</f>
        <v>0.242424242577995+0.0000107924954732335j</v>
      </c>
      <c r="AQ129" s="91" t="str">
        <f t="shared" si="82"/>
        <v>1+1.715007271437j</v>
      </c>
      <c r="AR129" s="91">
        <f t="shared" si="83"/>
        <v>9.7849963493361266E-8</v>
      </c>
      <c r="AS129" s="91" t="str">
        <f t="shared" si="84"/>
        <v>0.00009545093613393j</v>
      </c>
      <c r="AT129" s="91" t="str">
        <f t="shared" si="85"/>
        <v>9.78499634933613E-08+0.00009545093613393j</v>
      </c>
      <c r="AU129" s="91" t="str">
        <f t="shared" si="86"/>
        <v>5.39344297034148-3.13744698514062j</v>
      </c>
      <c r="AW129" s="91" t="str">
        <f t="shared" ref="AW129:AW192" si="100">IMDIV(IMPRODUCT(AP129,AU129),IMPRODUCT(IMSUM(1,IMPRODUCT(C129,1/1500000)),IMSUM(1,IMPRODUCT(C129,1/35000000))))</f>
        <v>1.30081147752869-0.771875084851908j</v>
      </c>
      <c r="AX129" s="91">
        <f t="shared" si="87"/>
        <v>3.5943735088153921</v>
      </c>
      <c r="AY129" s="91">
        <f t="shared" si="88"/>
        <v>149.3159678011111</v>
      </c>
      <c r="AZ129" s="91" t="str">
        <f t="shared" si="89"/>
        <v>14.0897046277543-9.47285221246402j</v>
      </c>
      <c r="BA129" s="91">
        <f t="shared" si="90"/>
        <v>24.597764055482664</v>
      </c>
      <c r="BB129" s="91">
        <f t="shared" si="91"/>
        <v>146.08609670460282</v>
      </c>
      <c r="BD129" s="91" t="str">
        <f t="shared" si="92"/>
        <v>5.24283702074334-4.71343238359512j</v>
      </c>
      <c r="BE129" s="91">
        <f t="shared" si="93"/>
        <v>16.963894607972044</v>
      </c>
      <c r="BF129" s="91">
        <f t="shared" si="94"/>
        <v>138.04372163411233</v>
      </c>
      <c r="BH129" s="91">
        <f t="shared" ref="BH129:BH192" si="101">1-BE129</f>
        <v>-15.963894607972044</v>
      </c>
      <c r="BI129" s="112">
        <f t="shared" ref="BI129:BI192" si="102">+-1*BF129</f>
        <v>-138.04372163411233</v>
      </c>
      <c r="BJ129" s="95"/>
      <c r="BK129" s="95"/>
      <c r="BL129" s="95"/>
      <c r="BM129" s="95"/>
      <c r="BN129" s="46"/>
      <c r="BO129" s="46"/>
      <c r="BP129" s="46"/>
    </row>
    <row r="130" spans="1:68" s="91" customFormat="1">
      <c r="A130" s="91">
        <v>66</v>
      </c>
      <c r="B130" s="91">
        <f t="shared" si="52"/>
        <v>2089.2961308540398</v>
      </c>
      <c r="C130" s="91" t="str">
        <f t="shared" si="53"/>
        <v>13127.4347517293j</v>
      </c>
      <c r="D130" s="91">
        <f t="shared" si="54"/>
        <v>0.99998556972455399</v>
      </c>
      <c r="E130" s="91" t="str">
        <f t="shared" si="55"/>
        <v>-0.00596701579624059j</v>
      </c>
      <c r="F130" s="91" t="str">
        <f t="shared" si="56"/>
        <v>0.999985569724554-0.00596701579624059j</v>
      </c>
      <c r="G130" s="91">
        <f t="shared" si="57"/>
        <v>2.9292781086744054E-5</v>
      </c>
      <c r="H130" s="91">
        <f t="shared" si="58"/>
        <v>-0.34188569725219331</v>
      </c>
      <c r="J130" s="91">
        <f t="shared" si="59"/>
        <v>7.1641791044776131</v>
      </c>
      <c r="K130" s="91" t="str">
        <f t="shared" si="60"/>
        <v>1+0.32588856771168j</v>
      </c>
      <c r="L130" s="91">
        <f t="shared" si="61"/>
        <v>0.98263226854866081</v>
      </c>
      <c r="M130" s="91" t="str">
        <f t="shared" si="62"/>
        <v>0.0591273376448225j</v>
      </c>
      <c r="N130" s="91" t="str">
        <f t="shared" si="63"/>
        <v>0.982632268548661+0.0591273376448225j</v>
      </c>
      <c r="O130" s="91" t="str">
        <f t="shared" si="64"/>
        <v>1.03388737491951+0.269437070491426j</v>
      </c>
      <c r="P130" s="91" t="str">
        <f t="shared" si="65"/>
        <v>7.40695432778157+1.93029543038634j</v>
      </c>
      <c r="R130" s="91">
        <f t="shared" si="66"/>
        <v>11.82089552238806</v>
      </c>
      <c r="S130" s="91" t="str">
        <f t="shared" si="67"/>
        <v>1+0.000984557606379698j</v>
      </c>
      <c r="T130" s="91" t="str">
        <f t="shared" si="68"/>
        <v>0.982632268548661+0.0591273376448225j</v>
      </c>
      <c r="U130" s="91" t="str">
        <f t="shared" si="69"/>
        <v>1.01406335457728-0.0600166620215484j</v>
      </c>
      <c r="V130" s="91" t="str">
        <f t="shared" si="70"/>
        <v>11.9871369675404-0.709450691359199j</v>
      </c>
      <c r="X130" s="91" t="str">
        <f t="shared" si="71"/>
        <v>1.38879049698757+0.353090758529265j</v>
      </c>
      <c r="Y130" s="91">
        <f t="shared" si="72"/>
        <v>3.1247612281232708</v>
      </c>
      <c r="Z130" s="91">
        <f t="shared" si="73"/>
        <v>-165.73516107728551</v>
      </c>
      <c r="AB130" s="91" t="str">
        <f t="shared" si="74"/>
        <v>11.2205456860915-0.664080498619554j</v>
      </c>
      <c r="AC130" s="91">
        <f t="shared" si="75"/>
        <v>21.01546538913885</v>
      </c>
      <c r="AD130" s="91">
        <f t="shared" si="76"/>
        <v>176.61293860465099</v>
      </c>
      <c r="AF130" s="91" t="str">
        <f t="shared" si="77"/>
        <v>4.55652264749793-0.951505181951584j</v>
      </c>
      <c r="AG130" s="91">
        <f t="shared" si="78"/>
        <v>13.358040097493397</v>
      </c>
      <c r="AH130" s="91">
        <f t="shared" si="79"/>
        <v>168.20484355147855</v>
      </c>
      <c r="AJ130" s="91" t="str">
        <f t="shared" si="80"/>
        <v>46874.999822506-2.88444610151846j</v>
      </c>
      <c r="AK130" s="91" t="str">
        <f t="shared" si="81"/>
        <v>15000-0.0000029536728191391j</v>
      </c>
      <c r="AL130" s="91" t="str">
        <f t="shared" si="95"/>
        <v>10000-1692807.66901506j</v>
      </c>
      <c r="AM130" s="91" t="str">
        <f t="shared" si="96"/>
        <v>963.123134435021-525358.027971052j</v>
      </c>
      <c r="AN130" s="91" t="str">
        <f t="shared" si="97"/>
        <v>10963.123134435-525358.027971052j</v>
      </c>
      <c r="AO130" s="91" t="str">
        <f t="shared" si="98"/>
        <v>14978.8860584874-427.23591481788j</v>
      </c>
      <c r="AP130" s="91" t="str">
        <f t="shared" si="99"/>
        <v>0.242424242592829+0.0000113011301145117j</v>
      </c>
      <c r="AQ130" s="91" t="str">
        <f t="shared" si="82"/>
        <v>1+1.79583307403657j</v>
      </c>
      <c r="AR130" s="91">
        <f t="shared" si="83"/>
        <v>9.7642531849558749E-8</v>
      </c>
      <c r="AS130" s="91" t="str">
        <f t="shared" si="84"/>
        <v>0.0000999494001640215j</v>
      </c>
      <c r="AT130" s="91" t="str">
        <f t="shared" si="85"/>
        <v>9.76425318495587E-08+0.0000999494001640215j</v>
      </c>
      <c r="AU130" s="91" t="str">
        <f t="shared" si="86"/>
        <v>5.39315376351237-2.99625008574766j</v>
      </c>
      <c r="AW130" s="91" t="str">
        <f t="shared" si="100"/>
        <v>1.30073223669122-0.738176515415168j</v>
      </c>
      <c r="AX130" s="91">
        <f t="shared" si="87"/>
        <v>3.4962888585763423</v>
      </c>
      <c r="AY130" s="91">
        <f t="shared" si="88"/>
        <v>150.42472396440741</v>
      </c>
      <c r="AZ130" s="91" t="str">
        <f t="shared" si="89"/>
        <v>14.1047168587397-9.14653422792818j</v>
      </c>
      <c r="BA130" s="91">
        <f t="shared" si="90"/>
        <v>24.511754247715217</v>
      </c>
      <c r="BB130" s="91">
        <f t="shared" si="91"/>
        <v>147.0376625690584</v>
      </c>
      <c r="BD130" s="91" t="str">
        <f t="shared" si="92"/>
        <v>5.22443711520169-4.6011714738835j</v>
      </c>
      <c r="BE130" s="91">
        <f t="shared" si="93"/>
        <v>16.854328956069754</v>
      </c>
      <c r="BF130" s="91">
        <f t="shared" si="94"/>
        <v>138.62956751588592</v>
      </c>
      <c r="BH130" s="91">
        <f t="shared" si="101"/>
        <v>-15.854328956069754</v>
      </c>
      <c r="BI130" s="112">
        <f t="shared" si="102"/>
        <v>-138.62956751588592</v>
      </c>
      <c r="BJ130" s="95"/>
      <c r="BK130" s="95"/>
      <c r="BL130" s="95"/>
      <c r="BM130" s="95"/>
      <c r="BN130" s="46"/>
      <c r="BO130" s="46"/>
      <c r="BP130" s="46"/>
    </row>
    <row r="131" spans="1:68" s="91" customFormat="1">
      <c r="A131" s="91">
        <v>67</v>
      </c>
      <c r="B131" s="91">
        <f t="shared" si="52"/>
        <v>2187.7616239495537</v>
      </c>
      <c r="C131" s="91" t="str">
        <f t="shared" si="53"/>
        <v>13746.1116912112j</v>
      </c>
      <c r="D131" s="91">
        <f t="shared" si="54"/>
        <v>0.99998417751760915</v>
      </c>
      <c r="E131" s="91" t="str">
        <f t="shared" si="55"/>
        <v>-0.00624823258691418j</v>
      </c>
      <c r="F131" s="91" t="str">
        <f t="shared" si="56"/>
        <v>0.999984177517609-0.00624823258691418j</v>
      </c>
      <c r="G131" s="91">
        <f t="shared" si="57"/>
        <v>3.2118980981324865E-5</v>
      </c>
      <c r="H131" s="91">
        <f t="shared" si="58"/>
        <v>-0.35799836224285947</v>
      </c>
      <c r="J131" s="91">
        <f t="shared" si="59"/>
        <v>7.1641791044776131</v>
      </c>
      <c r="K131" s="91" t="str">
        <f t="shared" si="60"/>
        <v>1+0.341247222734318j</v>
      </c>
      <c r="L131" s="91">
        <f t="shared" si="61"/>
        <v>0.98095666114713642</v>
      </c>
      <c r="M131" s="91" t="str">
        <f t="shared" si="62"/>
        <v>0.0619139232181382j</v>
      </c>
      <c r="N131" s="91" t="str">
        <f t="shared" si="63"/>
        <v>0.980956661147136+0.0619139232181382j</v>
      </c>
      <c r="O131" s="91" t="str">
        <f t="shared" si="64"/>
        <v>1.03723730883541+0.282405739833742j</v>
      </c>
      <c r="P131" s="91" t="str">
        <f t="shared" si="65"/>
        <v>7.43095385434324+2.02320530030144j</v>
      </c>
      <c r="R131" s="91">
        <f t="shared" si="66"/>
        <v>11.82089552238806</v>
      </c>
      <c r="S131" s="91" t="str">
        <f t="shared" si="67"/>
        <v>1+0.00103095837684084j</v>
      </c>
      <c r="T131" s="91" t="str">
        <f t="shared" si="68"/>
        <v>0.980956661147136+0.0619139232181382j</v>
      </c>
      <c r="U131" s="91" t="str">
        <f t="shared" si="69"/>
        <v>1.01543426485132-0.0630390344237184j</v>
      </c>
      <c r="V131" s="91" t="str">
        <f t="shared" si="70"/>
        <v>12.0033423546604-0.745177839755j</v>
      </c>
      <c r="X131" s="91" t="str">
        <f t="shared" si="71"/>
        <v>1.39349174403659+0.370065592043306j</v>
      </c>
      <c r="Y131" s="91">
        <f t="shared" si="72"/>
        <v>3.1780597747692996</v>
      </c>
      <c r="Z131" s="91">
        <f t="shared" si="73"/>
        <v>-165.12741564926168</v>
      </c>
      <c r="AB131" s="91" t="str">
        <f t="shared" si="74"/>
        <v>11.2357147199512-0.697522854529425j</v>
      </c>
      <c r="AC131" s="91">
        <f t="shared" si="75"/>
        <v>21.028719757580795</v>
      </c>
      <c r="AD131" s="91">
        <f t="shared" si="76"/>
        <v>176.44758764571469</v>
      </c>
      <c r="AF131" s="91" t="str">
        <f t="shared" si="77"/>
        <v>4.54067347575149-0.993473187669531j</v>
      </c>
      <c r="AG131" s="91">
        <f t="shared" si="78"/>
        <v>13.345483323610338</v>
      </c>
      <c r="AH131" s="91">
        <f t="shared" si="79"/>
        <v>167.65849390738163</v>
      </c>
      <c r="AJ131" s="91" t="str">
        <f t="shared" si="80"/>
        <v>46874.9998053817-3.02038585711069j</v>
      </c>
      <c r="AK131" s="91" t="str">
        <f t="shared" si="81"/>
        <v>15000-3.09287513052252E-06j</v>
      </c>
      <c r="AL131" s="91" t="str">
        <f t="shared" si="95"/>
        <v>10000-1616618.77346962j</v>
      </c>
      <c r="AM131" s="91" t="str">
        <f t="shared" si="96"/>
        <v>963.121592195433-501713.38323515j</v>
      </c>
      <c r="AN131" s="91" t="str">
        <f t="shared" si="97"/>
        <v>10963.1215921954-501713.38323515j</v>
      </c>
      <c r="AO131" s="91" t="str">
        <f t="shared" si="98"/>
        <v>14976.8544986476-447.265469853439j</v>
      </c>
      <c r="AP131" s="91" t="str">
        <f t="shared" si="99"/>
        <v>0.242424242609094+0.0000118337359678888j</v>
      </c>
      <c r="AQ131" s="91" t="str">
        <f t="shared" si="82"/>
        <v>1+1.88046807935769j</v>
      </c>
      <c r="AR131" s="91">
        <f t="shared" si="83"/>
        <v>9.7415087574939178E-8</v>
      </c>
      <c r="AS131" s="91" t="str">
        <f t="shared" si="84"/>
        <v>0.00010465987027231j</v>
      </c>
      <c r="AT131" s="91" t="str">
        <f t="shared" si="85"/>
        <v>9.74150875749392E-08+0.00010465987027231j</v>
      </c>
      <c r="AU131" s="91" t="str">
        <f t="shared" si="86"/>
        <v>5.39289000365202-2.86140858352702j</v>
      </c>
      <c r="AW131" s="91" t="str">
        <f t="shared" si="100"/>
        <v>1.30065828422008-0.706043689546284j</v>
      </c>
      <c r="AX131" s="91">
        <f t="shared" si="87"/>
        <v>3.4048569086676421</v>
      </c>
      <c r="AY131" s="91">
        <f t="shared" si="88"/>
        <v>151.50531239197167</v>
      </c>
      <c r="AZ131" s="91" t="str">
        <f t="shared" si="89"/>
        <v>14.1213438198832-8.84014435474036j</v>
      </c>
      <c r="BA131" s="91">
        <f t="shared" si="90"/>
        <v>24.433576666248428</v>
      </c>
      <c r="BB131" s="91">
        <f t="shared" si="91"/>
        <v>147.95290003768639</v>
      </c>
      <c r="BD131" s="91" t="str">
        <f t="shared" si="92"/>
        <v>5.20442909728706-4.49808298553743j</v>
      </c>
      <c r="BE131" s="91">
        <f t="shared" si="93"/>
        <v>16.750340232277981</v>
      </c>
      <c r="BF131" s="91">
        <f t="shared" si="94"/>
        <v>139.16380629935338</v>
      </c>
      <c r="BH131" s="91">
        <f t="shared" si="101"/>
        <v>-15.750340232277981</v>
      </c>
      <c r="BI131" s="112">
        <f t="shared" si="102"/>
        <v>-139.16380629935338</v>
      </c>
      <c r="BJ131" s="95"/>
      <c r="BK131" s="95"/>
      <c r="BL131" s="95"/>
      <c r="BM131" s="95"/>
      <c r="BN131" s="46"/>
      <c r="BO131" s="46"/>
      <c r="BP131" s="46"/>
    </row>
    <row r="132" spans="1:68" s="91" customFormat="1">
      <c r="A132" s="91">
        <v>68</v>
      </c>
      <c r="B132" s="91">
        <f t="shared" si="52"/>
        <v>2290.867652767774</v>
      </c>
      <c r="C132" s="91" t="str">
        <f t="shared" si="53"/>
        <v>14393.9459765635j</v>
      </c>
      <c r="D132" s="91">
        <f t="shared" si="54"/>
        <v>0.99998265099304962</v>
      </c>
      <c r="E132" s="91" t="str">
        <f t="shared" si="55"/>
        <v>-0.00654270271661977j</v>
      </c>
      <c r="F132" s="91" t="str">
        <f t="shared" si="56"/>
        <v>0.99998265099305-0.00654270271661977j</v>
      </c>
      <c r="G132" s="91">
        <f t="shared" si="57"/>
        <v>3.5217864785748354E-5</v>
      </c>
      <c r="H132" s="91">
        <f t="shared" si="58"/>
        <v>-0.37487040684795309</v>
      </c>
      <c r="J132" s="91">
        <f t="shared" si="59"/>
        <v>7.1641791044776131</v>
      </c>
      <c r="K132" s="91" t="str">
        <f t="shared" si="60"/>
        <v>1+0.357329708868189j</v>
      </c>
      <c r="L132" s="91">
        <f t="shared" si="61"/>
        <v>0.97911939416606852</v>
      </c>
      <c r="M132" s="91" t="str">
        <f t="shared" si="62"/>
        <v>0.064831836523544j</v>
      </c>
      <c r="N132" s="91" t="str">
        <f t="shared" si="63"/>
        <v>0.979119394166069+0.064831836523544j</v>
      </c>
      <c r="O132" s="91" t="str">
        <f t="shared" si="64"/>
        <v>1.04092707717548+0.29602569052846j</v>
      </c>
      <c r="P132" s="91" t="str">
        <f t="shared" si="65"/>
        <v>7.45738801558553+2.12078106647255j</v>
      </c>
      <c r="R132" s="91">
        <f t="shared" si="66"/>
        <v>11.82089552238806</v>
      </c>
      <c r="S132" s="91" t="str">
        <f t="shared" si="67"/>
        <v>1+0.00107954594824226j</v>
      </c>
      <c r="T132" s="91" t="str">
        <f t="shared" si="68"/>
        <v>0.979119394166069+0.064831836523544j</v>
      </c>
      <c r="U132" s="91" t="str">
        <f t="shared" si="69"/>
        <v>1.01694028611586-0.0662335572370739j</v>
      </c>
      <c r="V132" s="91" t="str">
        <f t="shared" si="70"/>
        <v>12.021144874683-0.78293996017556j</v>
      </c>
      <c r="X132" s="91" t="str">
        <f t="shared" si="71"/>
        <v>1.39866931883695+0.387889804162708j</v>
      </c>
      <c r="Y132" s="91">
        <f t="shared" si="72"/>
        <v>3.236097792327675</v>
      </c>
      <c r="Z132" s="91">
        <f t="shared" si="73"/>
        <v>-164.49982985089892</v>
      </c>
      <c r="AB132" s="91" t="str">
        <f t="shared" si="74"/>
        <v>11.252378748216-0.732870043648056j</v>
      </c>
      <c r="AC132" s="91">
        <f t="shared" si="75"/>
        <v>21.04327041549357</v>
      </c>
      <c r="AD132" s="91">
        <f t="shared" si="76"/>
        <v>176.27357571229916</v>
      </c>
      <c r="AF132" s="91" t="str">
        <f t="shared" si="77"/>
        <v>4.52339644914228-1.03701222462054j</v>
      </c>
      <c r="AG132" s="91">
        <f t="shared" si="78"/>
        <v>13.331753228381816</v>
      </c>
      <c r="AH132" s="91">
        <f t="shared" si="79"/>
        <v>167.08777113547163</v>
      </c>
      <c r="AJ132" s="91" t="str">
        <f t="shared" si="80"/>
        <v>46874.9997866053-3.16273225584292j</v>
      </c>
      <c r="AK132" s="91" t="str">
        <f t="shared" si="81"/>
        <v>15000-3.23863784472679E-06j</v>
      </c>
      <c r="AL132" s="91" t="str">
        <f t="shared" si="95"/>
        <v>10000-1543858.94308655j</v>
      </c>
      <c r="AM132" s="91" t="str">
        <f t="shared" si="96"/>
        <v>963.119901169031-479132.939849703j</v>
      </c>
      <c r="AN132" s="91" t="str">
        <f t="shared" si="97"/>
        <v>10963.119901169-479132.939849703j</v>
      </c>
      <c r="AO132" s="91" t="str">
        <f t="shared" si="98"/>
        <v>14974.6280417434-468.22342547822j</v>
      </c>
      <c r="AP132" s="91" t="str">
        <f t="shared" si="99"/>
        <v>0.242424242626928+0.0000123914427617814j</v>
      </c>
      <c r="AQ132" s="91" t="str">
        <f t="shared" si="82"/>
        <v>1+1.96909180959389j</v>
      </c>
      <c r="AR132" s="91">
        <f t="shared" si="83"/>
        <v>9.7165699886981183E-8</v>
      </c>
      <c r="AS132" s="91" t="str">
        <f t="shared" si="84"/>
        <v>0.00010959233799744j</v>
      </c>
      <c r="AT132" s="91" t="str">
        <f t="shared" si="85"/>
        <v>9.71656998869812E-08+0.00010959233799744j</v>
      </c>
      <c r="AU132" s="91" t="str">
        <f t="shared" si="86"/>
        <v>5.39264945170653-2.73263646815141j</v>
      </c>
      <c r="AW132" s="91" t="str">
        <f t="shared" si="100"/>
        <v>1.3005889923743-0.675408448521949j</v>
      </c>
      <c r="AX132" s="91">
        <f t="shared" si="87"/>
        <v>3.3197529539114212</v>
      </c>
      <c r="AY132" s="91">
        <f t="shared" si="88"/>
        <v>152.55671117490343</v>
      </c>
      <c r="AZ132" s="91" t="str">
        <f t="shared" si="89"/>
        <v>14.1397333188077-8.55311438412344j</v>
      </c>
      <c r="BA132" s="91">
        <f t="shared" si="90"/>
        <v>24.363023369404999</v>
      </c>
      <c r="BB132" s="91">
        <f t="shared" si="91"/>
        <v>148.83028688720265</v>
      </c>
      <c r="BD132" s="91" t="str">
        <f t="shared" si="92"/>
        <v>5.1826728121702-4.40386686206394j</v>
      </c>
      <c r="BE132" s="91">
        <f t="shared" si="93"/>
        <v>16.651506182293243</v>
      </c>
      <c r="BF132" s="91">
        <f t="shared" si="94"/>
        <v>139.64448231037511</v>
      </c>
      <c r="BH132" s="91">
        <f t="shared" si="101"/>
        <v>-15.651506182293243</v>
      </c>
      <c r="BI132" s="112">
        <f t="shared" si="102"/>
        <v>-139.64448231037511</v>
      </c>
      <c r="BJ132" s="95"/>
      <c r="BK132" s="95"/>
      <c r="BL132" s="95"/>
      <c r="BM132" s="95"/>
      <c r="BN132" s="46"/>
      <c r="BO132" s="46"/>
      <c r="BP132" s="46"/>
    </row>
    <row r="133" spans="1:68" s="91" customFormat="1">
      <c r="A133" s="91">
        <v>69</v>
      </c>
      <c r="B133" s="91">
        <f t="shared" si="52"/>
        <v>2398.8329190194918</v>
      </c>
      <c r="C133" s="91" t="str">
        <f t="shared" si="53"/>
        <v>15072.311751162j</v>
      </c>
      <c r="D133" s="91">
        <f t="shared" si="54"/>
        <v>0.99998097719215417</v>
      </c>
      <c r="E133" s="91" t="str">
        <f t="shared" si="55"/>
        <v>-0.00685105079598273j</v>
      </c>
      <c r="F133" s="91" t="str">
        <f t="shared" si="56"/>
        <v>0.999980977192154-0.00685105079598273j</v>
      </c>
      <c r="G133" s="91">
        <f t="shared" si="57"/>
        <v>3.8615744020726013E-5</v>
      </c>
      <c r="H133" s="91">
        <f t="shared" si="58"/>
        <v>-0.39253762146803733</v>
      </c>
      <c r="J133" s="91">
        <f t="shared" si="59"/>
        <v>7.1641791044776131</v>
      </c>
      <c r="K133" s="91" t="str">
        <f t="shared" si="60"/>
        <v>1+0.374170139222597j</v>
      </c>
      <c r="L133" s="91">
        <f t="shared" si="61"/>
        <v>0.97710487098083409</v>
      </c>
      <c r="M133" s="91" t="str">
        <f t="shared" si="62"/>
        <v>0.0678872668463718j</v>
      </c>
      <c r="N133" s="91" t="str">
        <f t="shared" si="63"/>
        <v>0.977104870980834+0.0678872668463718j</v>
      </c>
      <c r="O133" s="91" t="str">
        <f t="shared" si="64"/>
        <v>1.04499294488608+0.310333551009887j</v>
      </c>
      <c r="P133" s="91" t="str">
        <f t="shared" si="65"/>
        <v>7.48651662007938+2.22328514156337j</v>
      </c>
      <c r="R133" s="91">
        <f t="shared" si="66"/>
        <v>11.82089552238806</v>
      </c>
      <c r="S133" s="91" t="str">
        <f t="shared" si="67"/>
        <v>1+0.00113042338133715j</v>
      </c>
      <c r="T133" s="91" t="str">
        <f t="shared" si="68"/>
        <v>0.977104870980834+0.0678872668463718j</v>
      </c>
      <c r="U133" s="91" t="str">
        <f t="shared" si="69"/>
        <v>1.01859502773696-0.069613007871663j</v>
      </c>
      <c r="V133" s="91" t="str">
        <f t="shared" si="70"/>
        <v>12.0407054025026-0.822888093050106j</v>
      </c>
      <c r="X133" s="91" t="str">
        <f t="shared" si="71"/>
        <v>1.40437393139598+0.406610695385573j</v>
      </c>
      <c r="Y133" s="91">
        <f t="shared" si="72"/>
        <v>3.2992611507173337</v>
      </c>
      <c r="Z133" s="91">
        <f t="shared" si="73"/>
        <v>-163.85259708751641</v>
      </c>
      <c r="AB133" s="91" t="str">
        <f t="shared" si="74"/>
        <v>11.2706883576447-0.770263447194431j</v>
      </c>
      <c r="AC133" s="91">
        <f t="shared" si="75"/>
        <v>21.059245996941989</v>
      </c>
      <c r="AD133" s="91">
        <f t="shared" si="76"/>
        <v>176.09036064152863</v>
      </c>
      <c r="AF133" s="91" t="str">
        <f t="shared" si="77"/>
        <v>4.5045731867646-1.08214078064361j</v>
      </c>
      <c r="AG133" s="91">
        <f t="shared" si="78"/>
        <v>13.316744048411158</v>
      </c>
      <c r="AH133" s="91">
        <f t="shared" si="79"/>
        <v>166.49172090427265</v>
      </c>
      <c r="AJ133" s="91" t="str">
        <f t="shared" si="80"/>
        <v>46874.9997660174-3.31178723347997j</v>
      </c>
      <c r="AK133" s="91" t="str">
        <f t="shared" si="81"/>
        <v>15000-3.39127014401145E-06j</v>
      </c>
      <c r="AL133" s="91" t="str">
        <f t="shared" si="95"/>
        <v>10000-1474373.84451055j</v>
      </c>
      <c r="AM133" s="91" t="str">
        <f t="shared" si="96"/>
        <v>963.11804700228-457568.801666691j</v>
      </c>
      <c r="AN133" s="91" t="str">
        <f t="shared" si="97"/>
        <v>10963.1180470023-457568.801666691j</v>
      </c>
      <c r="AO133" s="91" t="str">
        <f t="shared" si="98"/>
        <v>14972.1881067557-490.151245595709j</v>
      </c>
      <c r="AP133" s="91" t="str">
        <f t="shared" si="99"/>
        <v>0.242424242646483+0.000012975433467065j</v>
      </c>
      <c r="AQ133" s="91" t="str">
        <f t="shared" si="82"/>
        <v>1+2.06189224755896j</v>
      </c>
      <c r="AR133" s="91">
        <f t="shared" si="83"/>
        <v>9.6892251724748722E-8</v>
      </c>
      <c r="AS133" s="91" t="str">
        <f t="shared" si="84"/>
        <v>0.000114757265764762j</v>
      </c>
      <c r="AT133" s="91" t="str">
        <f t="shared" si="85"/>
        <v>9.68922517247487E-08+0.000114757265764762j</v>
      </c>
      <c r="AU133" s="91" t="str">
        <f t="shared" si="86"/>
        <v>5.3924300656326-2.60966060242812j</v>
      </c>
      <c r="AW133" s="91" t="str">
        <f t="shared" si="100"/>
        <v>1.30052377298489-0.646205809652776j</v>
      </c>
      <c r="AX133" s="91">
        <f t="shared" si="87"/>
        <v>3.2406505452050141</v>
      </c>
      <c r="AY133" s="91">
        <f t="shared" si="88"/>
        <v>153.57808246566515</v>
      </c>
      <c r="AZ133" s="91" t="str">
        <f t="shared" si="89"/>
        <v>14.1600494324807-8.28493022003354j</v>
      </c>
      <c r="BA133" s="91">
        <f t="shared" si="90"/>
        <v>24.299896542146975</v>
      </c>
      <c r="BB133" s="91">
        <f t="shared" si="91"/>
        <v>149.66844310719378</v>
      </c>
      <c r="BD133" s="91" t="str">
        <f t="shared" si="92"/>
        <v>5.15901885722356-4.31823117423683j</v>
      </c>
      <c r="BE133" s="91">
        <f t="shared" si="93"/>
        <v>16.557394593616145</v>
      </c>
      <c r="BF133" s="91">
        <f t="shared" si="94"/>
        <v>140.0698033699378</v>
      </c>
      <c r="BH133" s="91">
        <f t="shared" si="101"/>
        <v>-15.557394593616145</v>
      </c>
      <c r="BI133" s="112">
        <f t="shared" si="102"/>
        <v>-140.0698033699378</v>
      </c>
      <c r="BJ133" s="95"/>
      <c r="BK133" s="95"/>
      <c r="BL133" s="95"/>
      <c r="BM133" s="95"/>
      <c r="BN133" s="46"/>
      <c r="BO133" s="46"/>
      <c r="BP133" s="46"/>
    </row>
    <row r="134" spans="1:68" s="91" customFormat="1">
      <c r="A134" s="91">
        <v>70</v>
      </c>
      <c r="B134" s="91">
        <f t="shared" si="52"/>
        <v>2511.8864315095811</v>
      </c>
      <c r="C134" s="91" t="str">
        <f t="shared" si="53"/>
        <v>15782.6479197648j</v>
      </c>
      <c r="D134" s="91">
        <f t="shared" si="54"/>
        <v>0.99997914190596759</v>
      </c>
      <c r="E134" s="91" t="str">
        <f t="shared" si="55"/>
        <v>-0.00717393087262036j</v>
      </c>
      <c r="F134" s="91" t="str">
        <f t="shared" si="56"/>
        <v>0.999979141905968-0.00717393087262036j</v>
      </c>
      <c r="G134" s="91">
        <f t="shared" si="57"/>
        <v>4.2341469441503933E-5</v>
      </c>
      <c r="H134" s="91">
        <f t="shared" si="58"/>
        <v>-0.41103748354096409</v>
      </c>
      <c r="J134" s="91">
        <f t="shared" si="59"/>
        <v>7.1641791044776131</v>
      </c>
      <c r="K134" s="91" t="str">
        <f t="shared" si="60"/>
        <v>1+0.391804234608161j</v>
      </c>
      <c r="L134" s="91">
        <f t="shared" si="61"/>
        <v>0.97489599023259943</v>
      </c>
      <c r="M134" s="91" t="str">
        <f t="shared" si="62"/>
        <v>0.0710866951639854j</v>
      </c>
      <c r="N134" s="91" t="str">
        <f t="shared" si="63"/>
        <v>0.974895990232599+0.0710866951639854j</v>
      </c>
      <c r="O134" s="91" t="str">
        <f t="shared" si="64"/>
        <v>1.04947541609011+0.325368550902323j</v>
      </c>
      <c r="P134" s="91" t="str">
        <f t="shared" si="65"/>
        <v>7.51862984661572+2.33099857362858j</v>
      </c>
      <c r="R134" s="91">
        <f t="shared" si="66"/>
        <v>11.82089552238806</v>
      </c>
      <c r="S134" s="91" t="str">
        <f t="shared" si="67"/>
        <v>1+0.00118369859398236j</v>
      </c>
      <c r="T134" s="91" t="str">
        <f t="shared" si="68"/>
        <v>0.974895990232599+0.0710866951639854j</v>
      </c>
      <c r="U134" s="91" t="str">
        <f t="shared" si="69"/>
        <v>1.02041352734698-0.0731915275892309j</v>
      </c>
      <c r="V134" s="91" t="str">
        <f t="shared" si="70"/>
        <v>12.0622016964001-0.865189400756282j</v>
      </c>
      <c r="X134" s="91" t="str">
        <f t="shared" si="71"/>
        <v>1.41066219519701+0.42627885629678j</v>
      </c>
      <c r="Y134" s="91">
        <f t="shared" si="72"/>
        <v>3.3679613017700265</v>
      </c>
      <c r="Z134" s="91">
        <f t="shared" si="73"/>
        <v>-163.1860486908738</v>
      </c>
      <c r="AB134" s="91" t="str">
        <f t="shared" si="74"/>
        <v>11.2908099386704-0.809859537318689j</v>
      </c>
      <c r="AC134" s="91">
        <f t="shared" si="75"/>
        <v>21.07678827599387</v>
      </c>
      <c r="AD134" s="91">
        <f t="shared" si="76"/>
        <v>175.89735343936167</v>
      </c>
      <c r="AF134" s="91" t="str">
        <f t="shared" si="77"/>
        <v>4.48407747315123-1.12887112907885j</v>
      </c>
      <c r="AG134" s="91">
        <f t="shared" si="78"/>
        <v>13.300341236033466</v>
      </c>
      <c r="AH134" s="91">
        <f t="shared" si="79"/>
        <v>165.86937036335843</v>
      </c>
      <c r="AJ134" s="91" t="str">
        <f t="shared" si="80"/>
        <v>46874.9997434432-3.46786695557732j</v>
      </c>
      <c r="AK134" s="91" t="str">
        <f t="shared" si="81"/>
        <v>15000-3.55109578194708E-06j</v>
      </c>
      <c r="AL134" s="91" t="str">
        <f t="shared" si="95"/>
        <v>10000-1408016.09053149j</v>
      </c>
      <c r="AM134" s="91" t="str">
        <f t="shared" si="96"/>
        <v>963.116013957073-436975.228257655j</v>
      </c>
      <c r="AN134" s="91" t="str">
        <f t="shared" si="97"/>
        <v>10963.1160139571-436975.228257655j</v>
      </c>
      <c r="AO134" s="91" t="str">
        <f t="shared" si="98"/>
        <v>14969.5143646367-513.092012918456j</v>
      </c>
      <c r="AP134" s="91" t="str">
        <f t="shared" si="99"/>
        <v>0.242424242667924+0.0000135869468063143j</v>
      </c>
      <c r="AQ134" s="91" t="str">
        <f t="shared" si="82"/>
        <v>1+2.15906623542382j</v>
      </c>
      <c r="AR134" s="91">
        <f t="shared" si="83"/>
        <v>9.6592421777085378E-8</v>
      </c>
      <c r="AS134" s="91" t="str">
        <f t="shared" si="84"/>
        <v>0.000120165609078547j</v>
      </c>
      <c r="AT134" s="91" t="str">
        <f t="shared" si="85"/>
        <v>9.65924217770854E-08+0.000120165609078547j</v>
      </c>
      <c r="AU134" s="91" t="str">
        <f t="shared" si="86"/>
        <v>5.39222998306296-2.49222014304775j</v>
      </c>
      <c r="AW134" s="91" t="str">
        <f t="shared" si="100"/>
        <v>1.3004620724636-0.618373828422663j</v>
      </c>
      <c r="AX134" s="91">
        <f t="shared" si="87"/>
        <v>3.16722427675169</v>
      </c>
      <c r="AY134" s="91">
        <f t="shared" si="88"/>
        <v>154.56876452108409</v>
      </c>
      <c r="AZ134" s="91" t="str">
        <f t="shared" si="89"/>
        <v>14.1824741500595-8.03513298007413j</v>
      </c>
      <c r="BA134" s="91">
        <f t="shared" si="90"/>
        <v>24.244012552745531</v>
      </c>
      <c r="BB134" s="91">
        <f t="shared" si="91"/>
        <v>150.4661179604457</v>
      </c>
      <c r="BD134" s="91" t="str">
        <f t="shared" si="92"/>
        <v>5.13330832193727-4.24089024208255j</v>
      </c>
      <c r="BE134" s="91">
        <f t="shared" si="93"/>
        <v>16.467565512785136</v>
      </c>
      <c r="BF134" s="91">
        <f t="shared" si="94"/>
        <v>140.43813488444243</v>
      </c>
      <c r="BH134" s="91">
        <f t="shared" si="101"/>
        <v>-15.467565512785136</v>
      </c>
      <c r="BI134" s="112">
        <f t="shared" si="102"/>
        <v>-140.43813488444243</v>
      </c>
      <c r="BJ134" s="95"/>
      <c r="BK134" s="95"/>
      <c r="BL134" s="95"/>
      <c r="BM134" s="95"/>
      <c r="BN134" s="46"/>
      <c r="BO134" s="46"/>
      <c r="BP134" s="46"/>
    </row>
    <row r="135" spans="1:68" s="91" customFormat="1">
      <c r="A135" s="91">
        <v>71</v>
      </c>
      <c r="B135" s="91">
        <f t="shared" si="52"/>
        <v>2630.2679918953822</v>
      </c>
      <c r="C135" s="91" t="str">
        <f t="shared" si="53"/>
        <v>16526.4612006218j</v>
      </c>
      <c r="D135" s="91">
        <f t="shared" si="54"/>
        <v>0.99997712955468032</v>
      </c>
      <c r="E135" s="91" t="str">
        <f t="shared" si="55"/>
        <v>-0.00751202781846446j</v>
      </c>
      <c r="F135" s="91" t="str">
        <f t="shared" si="56"/>
        <v>0.99997712955468-0.00751202781846446j</v>
      </c>
      <c r="G135" s="91">
        <f t="shared" si="57"/>
        <v>4.6426676066386012E-5</v>
      </c>
      <c r="H135" s="91">
        <f t="shared" si="58"/>
        <v>-0.43040923709210138</v>
      </c>
      <c r="J135" s="91">
        <f t="shared" si="59"/>
        <v>7.1641791044776131</v>
      </c>
      <c r="K135" s="91" t="str">
        <f t="shared" si="60"/>
        <v>1+0.410269399305436j</v>
      </c>
      <c r="L135" s="91">
        <f t="shared" si="61"/>
        <v>0.97247400065427991</v>
      </c>
      <c r="M135" s="91" t="str">
        <f t="shared" si="62"/>
        <v>0.0744369078928007j</v>
      </c>
      <c r="N135" s="91" t="str">
        <f t="shared" si="63"/>
        <v>0.97247400065428+0.0744369078928007j</v>
      </c>
      <c r="O135" s="91" t="str">
        <f t="shared" si="64"/>
        <v>1.0544198049828+0.341172770869313j</v>
      </c>
      <c r="P135" s="91" t="str">
        <f t="shared" si="65"/>
        <v>7.55405233420514+2.44422283607866j</v>
      </c>
      <c r="R135" s="91">
        <f t="shared" si="66"/>
        <v>11.82089552238806</v>
      </c>
      <c r="S135" s="91" t="str">
        <f t="shared" si="67"/>
        <v>1+0.00123948459004663j</v>
      </c>
      <c r="T135" s="91" t="str">
        <f t="shared" si="68"/>
        <v>0.97247400065428+0.0744369078928007j</v>
      </c>
      <c r="U135" s="91" t="str">
        <f t="shared" si="69"/>
        <v>1.02241241156769-0.0769848179672716j</v>
      </c>
      <c r="V135" s="91" t="str">
        <f t="shared" si="70"/>
        <v>12.0858302979345-0.910029490001181j</v>
      </c>
      <c r="X135" s="91" t="str">
        <f t="shared" si="71"/>
        <v>1.41759741751216+0.446948473735887j</v>
      </c>
      <c r="Y135" s="91">
        <f t="shared" si="72"/>
        <v>3.4426361234126936</v>
      </c>
      <c r="Z135" s="91">
        <f t="shared" si="73"/>
        <v>-162.50067184741798</v>
      </c>
      <c r="AB135" s="91" t="str">
        <f t="shared" si="74"/>
        <v>11.3129274637919-0.85183205096421j</v>
      </c>
      <c r="AC135" s="91">
        <f t="shared" si="75"/>
        <v>21.096053584261977</v>
      </c>
      <c r="AD135" s="91">
        <f t="shared" si="76"/>
        <v>175.69391253364904</v>
      </c>
      <c r="AF135" s="91" t="str">
        <f t="shared" si="77"/>
        <v>4.46177512978206-1.17720825426003j</v>
      </c>
      <c r="AG135" s="91">
        <f t="shared" si="78"/>
        <v>13.282420873524741</v>
      </c>
      <c r="AH135" s="91">
        <f t="shared" si="79"/>
        <v>165.21973062665475</v>
      </c>
      <c r="AJ135" s="91" t="str">
        <f t="shared" si="80"/>
        <v>46874.999718691-3.63130248810987j</v>
      </c>
      <c r="AK135" s="91" t="str">
        <f t="shared" si="81"/>
        <v>15000-3.71845377013991E-06j</v>
      </c>
      <c r="AL135" s="91" t="str">
        <f t="shared" si="95"/>
        <v>10000-1344644.92745647j</v>
      </c>
      <c r="AM135" s="91" t="str">
        <f t="shared" si="96"/>
        <v>963.11378477719-417308.537892123j</v>
      </c>
      <c r="AN135" s="91" t="str">
        <f t="shared" si="97"/>
        <v>10963.1137847772-417308.537892123j</v>
      </c>
      <c r="AO135" s="91" t="str">
        <f t="shared" si="98"/>
        <v>14966.5845785882-537.090456604564j</v>
      </c>
      <c r="AP135" s="91" t="str">
        <f t="shared" si="99"/>
        <v>0.242424242691435+0.0000142272798812992j</v>
      </c>
      <c r="AQ135" s="91" t="str">
        <f t="shared" si="82"/>
        <v>1+2.26081989224506j</v>
      </c>
      <c r="AR135" s="91">
        <f t="shared" si="83"/>
        <v>9.62636647769218E-8</v>
      </c>
      <c r="AS135" s="91" t="str">
        <f t="shared" si="84"/>
        <v>0.00012582883976007j</v>
      </c>
      <c r="AT135" s="91" t="str">
        <f t="shared" si="85"/>
        <v>9.62636647769218E-08+0.00012582883976007j</v>
      </c>
      <c r="AU135" s="91" t="str">
        <f t="shared" si="86"/>
        <v>5.39204750549706-2.3800659873962j</v>
      </c>
      <c r="AW135" s="91" t="str">
        <f t="shared" si="100"/>
        <v>1.30040336710569-0.591853467061808j</v>
      </c>
      <c r="AX135" s="91">
        <f t="shared" si="87"/>
        <v>3.0991522727754308</v>
      </c>
      <c r="AY135" s="91">
        <f t="shared" si="88"/>
        <v>155.52826206051537</v>
      </c>
      <c r="AZ135" s="91" t="str">
        <f t="shared" si="89"/>
        <v>14.2072092130199-7.80332060934641j</v>
      </c>
      <c r="BA135" s="91">
        <f t="shared" si="90"/>
        <v>24.195205857037422</v>
      </c>
      <c r="BB135" s="91">
        <f t="shared" si="91"/>
        <v>151.22217459416436</v>
      </c>
      <c r="BD135" s="91" t="str">
        <f t="shared" si="92"/>
        <v>5.10537261529945-4.17156265743602j</v>
      </c>
      <c r="BE135" s="91">
        <f t="shared" si="93"/>
        <v>16.381573146300184</v>
      </c>
      <c r="BF135" s="91">
        <f t="shared" si="94"/>
        <v>140.74799268717013</v>
      </c>
      <c r="BH135" s="91">
        <f t="shared" si="101"/>
        <v>-15.381573146300184</v>
      </c>
      <c r="BI135" s="112">
        <f t="shared" si="102"/>
        <v>-140.74799268717013</v>
      </c>
      <c r="BJ135" s="95"/>
      <c r="BK135" s="95"/>
      <c r="BL135" s="95"/>
      <c r="BM135" s="95"/>
      <c r="BN135" s="46"/>
      <c r="BO135" s="46"/>
      <c r="BP135" s="46"/>
    </row>
    <row r="136" spans="1:68" s="91" customFormat="1">
      <c r="A136" s="91">
        <v>72</v>
      </c>
      <c r="B136" s="91">
        <f t="shared" si="52"/>
        <v>2754.2287033381667</v>
      </c>
      <c r="C136" s="91" t="str">
        <f t="shared" si="53"/>
        <v>17305.3293214267j</v>
      </c>
      <c r="D136" s="91">
        <f t="shared" si="54"/>
        <v>0.99997492305537095</v>
      </c>
      <c r="E136" s="91" t="str">
        <f t="shared" si="55"/>
        <v>-0.00786605878246668j</v>
      </c>
      <c r="F136" s="91" t="str">
        <f t="shared" si="56"/>
        <v>0.999974923055371-0.00786605878246668j</v>
      </c>
      <c r="G136" s="91">
        <f t="shared" si="57"/>
        <v>5.0906052082477013E-5</v>
      </c>
      <c r="H136" s="91">
        <f t="shared" si="58"/>
        <v>-0.45069397603996686</v>
      </c>
      <c r="J136" s="91">
        <f t="shared" si="59"/>
        <v>7.1641791044776131</v>
      </c>
      <c r="K136" s="91" t="str">
        <f t="shared" si="60"/>
        <v>1+0.429604800404418j</v>
      </c>
      <c r="L136" s="91">
        <f t="shared" si="61"/>
        <v>0.96981834189036609</v>
      </c>
      <c r="M136" s="91" t="str">
        <f t="shared" si="62"/>
        <v>0.0779450112831872j</v>
      </c>
      <c r="N136" s="91" t="str">
        <f t="shared" si="63"/>
        <v>0.969818341890366+0.0779450112831872j</v>
      </c>
      <c r="O136" s="91" t="str">
        <f t="shared" si="64"/>
        <v>1.05987689861358+0.357791421955205j</v>
      </c>
      <c r="P136" s="91" t="str">
        <f t="shared" si="65"/>
        <v>7.59314793036595+2.56328182893281j</v>
      </c>
      <c r="R136" s="91">
        <f t="shared" si="66"/>
        <v>11.82089552238806</v>
      </c>
      <c r="S136" s="91" t="str">
        <f t="shared" si="67"/>
        <v>1+0.001297899699107j</v>
      </c>
      <c r="T136" s="91" t="str">
        <f t="shared" si="68"/>
        <v>0.969818341890366+0.0779450112831872j</v>
      </c>
      <c r="U136" s="91" t="str">
        <f t="shared" si="69"/>
        <v>1.02461007669989-0.0810103716300041j</v>
      </c>
      <c r="V136" s="91" t="str">
        <f t="shared" si="70"/>
        <v>12.1118086678554-0.957615139268108j</v>
      </c>
      <c r="X136" s="91" t="str">
        <f t="shared" si="71"/>
        <v>1.42525051603639+0.468677671447278j</v>
      </c>
      <c r="Y136" s="91">
        <f t="shared" si="72"/>
        <v>3.5237506922873574</v>
      </c>
      <c r="Z136" s="91">
        <f t="shared" si="73"/>
        <v>-161.79712877107676</v>
      </c>
      <c r="AB136" s="91" t="str">
        <f t="shared" si="74"/>
        <v>11.3372444868924-0.89637454289099j</v>
      </c>
      <c r="AC136" s="91">
        <f t="shared" si="75"/>
        <v>21.117214396156587</v>
      </c>
      <c r="AD136" s="91">
        <f t="shared" si="76"/>
        <v>175.47933712495578</v>
      </c>
      <c r="AF136" s="91" t="str">
        <f t="shared" si="77"/>
        <v>4.43752397308036-1.22714867017107j</v>
      </c>
      <c r="AG136" s="91">
        <f t="shared" si="78"/>
        <v>13.262849076249303</v>
      </c>
      <c r="AH136" s="91">
        <f t="shared" si="79"/>
        <v>164.54179973856816</v>
      </c>
      <c r="AJ136" s="91" t="str">
        <f t="shared" si="80"/>
        <v>46874.9996915508-3.80244049970654j</v>
      </c>
      <c r="AK136" s="91" t="str">
        <f t="shared" si="81"/>
        <v>15000-3.89369909732101E-06j</v>
      </c>
      <c r="AL136" s="91" t="str">
        <f t="shared" si="95"/>
        <v>10000-1284125.93655225j</v>
      </c>
      <c r="AM136" s="91" t="str">
        <f t="shared" si="96"/>
        <v>963.111340541923-398527.014882778j</v>
      </c>
      <c r="AN136" s="91" t="str">
        <f t="shared" si="97"/>
        <v>10963.1113405419-398527.014882778j</v>
      </c>
      <c r="AO136" s="91" t="str">
        <f t="shared" si="98"/>
        <v>14963.3744307015-562.192974250064j</v>
      </c>
      <c r="AP136" s="91" t="str">
        <f t="shared" si="99"/>
        <v>0.242424242717213+0.0000148977909243117j</v>
      </c>
      <c r="AQ136" s="91" t="str">
        <f t="shared" si="82"/>
        <v>1+2.36736905117117j</v>
      </c>
      <c r="AR136" s="91">
        <f t="shared" si="83"/>
        <v>9.5903189894412932E-8</v>
      </c>
      <c r="AS136" s="91" t="str">
        <f t="shared" si="84"/>
        <v>0.000131758970280892j</v>
      </c>
      <c r="AT136" s="91" t="str">
        <f t="shared" si="85"/>
        <v>9.59031898944129E-08+0.000131758970280892j</v>
      </c>
      <c r="AU136" s="91" t="str">
        <f t="shared" si="86"/>
        <v>5.39188108388247-2.27296024525744j</v>
      </c>
      <c r="AW136" s="91" t="str">
        <f t="shared" si="100"/>
        <v>1.3003471586465-0.566588469273661j</v>
      </c>
      <c r="AX136" s="91">
        <f t="shared" si="87"/>
        <v>3.0361183606786328</v>
      </c>
      <c r="AY136" s="91">
        <f t="shared" si="88"/>
        <v>156.45623533368973</v>
      </c>
      <c r="AZ136" s="91" t="str">
        <f t="shared" si="89"/>
        <v>14.2344781752587-7.58915008954095j</v>
      </c>
      <c r="BA136" s="91">
        <f t="shared" si="90"/>
        <v>24.153332756835194</v>
      </c>
      <c r="BB136" s="91">
        <f t="shared" si="91"/>
        <v>151.93557245864551</v>
      </c>
      <c r="BD136" s="91" t="str">
        <f t="shared" si="92"/>
        <v>5.07503340321732-4.10996920176655j</v>
      </c>
      <c r="BE136" s="91">
        <f t="shared" si="93"/>
        <v>16.29896743692791</v>
      </c>
      <c r="BF136" s="91">
        <f t="shared" si="94"/>
        <v>140.99803507225786</v>
      </c>
      <c r="BH136" s="91">
        <f t="shared" si="101"/>
        <v>-15.29896743692791</v>
      </c>
      <c r="BI136" s="112">
        <f t="shared" si="102"/>
        <v>-140.99803507225786</v>
      </c>
      <c r="BJ136" s="95"/>
      <c r="BK136" s="95"/>
      <c r="BL136" s="95"/>
      <c r="BM136" s="95"/>
      <c r="BN136" s="46"/>
      <c r="BO136" s="46"/>
      <c r="BP136" s="46"/>
    </row>
    <row r="137" spans="1:68" s="91" customFormat="1">
      <c r="A137" s="91">
        <v>73</v>
      </c>
      <c r="B137" s="91">
        <f t="shared" si="52"/>
        <v>2884.0315031266064</v>
      </c>
      <c r="C137" s="91" t="str">
        <f t="shared" si="53"/>
        <v>18120.904365888j</v>
      </c>
      <c r="D137" s="91">
        <f t="shared" si="54"/>
        <v>0.99997250367698831</v>
      </c>
      <c r="E137" s="91" t="str">
        <f t="shared" si="55"/>
        <v>-0.00823677471176727j</v>
      </c>
      <c r="F137" s="91" t="str">
        <f t="shared" si="56"/>
        <v>0.999972503676988-0.00823677471176727j</v>
      </c>
      <c r="G137" s="91">
        <f t="shared" si="57"/>
        <v>5.5817633500685962E-5</v>
      </c>
      <c r="H137" s="91">
        <f t="shared" si="58"/>
        <v>-0.47193473143516174</v>
      </c>
      <c r="J137" s="91">
        <f t="shared" si="59"/>
        <v>7.1641791044776131</v>
      </c>
      <c r="K137" s="91" t="str">
        <f t="shared" si="60"/>
        <v>1+0.449851450883169j</v>
      </c>
      <c r="L137" s="91">
        <f t="shared" si="61"/>
        <v>0.96690646995933893</v>
      </c>
      <c r="M137" s="91" t="str">
        <f t="shared" si="62"/>
        <v>0.0816184464927739j</v>
      </c>
      <c r="N137" s="91" t="str">
        <f t="shared" si="63"/>
        <v>0.966906469959339+0.0816184464927739j</v>
      </c>
      <c r="O137" s="91" t="str">
        <f t="shared" si="64"/>
        <v>1.06590372924375+0.3752731579164j</v>
      </c>
      <c r="P137" s="91" t="str">
        <f t="shared" si="65"/>
        <v>7.63632522443284+2.688524116416j</v>
      </c>
      <c r="R137" s="91">
        <f t="shared" si="66"/>
        <v>11.82089552238806</v>
      </c>
      <c r="S137" s="91" t="str">
        <f t="shared" si="67"/>
        <v>1+0.0013590678274416j</v>
      </c>
      <c r="T137" s="91" t="str">
        <f t="shared" si="68"/>
        <v>0.966906469959339+0.0816184464927739j</v>
      </c>
      <c r="U137" s="91" t="str">
        <f t="shared" si="69"/>
        <v>1.02702689212581-0.085287744136862j</v>
      </c>
      <c r="V137" s="91" t="str">
        <f t="shared" si="70"/>
        <v>12.1403775905021-1.00817751278201j</v>
      </c>
      <c r="X137" s="91" t="str">
        <f t="shared" si="71"/>
        <v>1.43370108599796+0.491528888879738j</v>
      </c>
      <c r="Y137" s="91">
        <f t="shared" si="72"/>
        <v>3.6117979832008085</v>
      </c>
      <c r="Z137" s="91">
        <f t="shared" si="73"/>
        <v>-161.07627709298268</v>
      </c>
      <c r="AB137" s="91" t="str">
        <f t="shared" si="74"/>
        <v>11.3639863938738-0.943703394104273j</v>
      </c>
      <c r="AC137" s="91">
        <f t="shared" si="75"/>
        <v>21.140461104467402</v>
      </c>
      <c r="AD137" s="91">
        <f t="shared" si="76"/>
        <v>175.25285946872683</v>
      </c>
      <c r="AF137" s="91" t="str">
        <f t="shared" si="77"/>
        <v>4.41117387962482-1.27867913102217j</v>
      </c>
      <c r="AG137" s="91">
        <f t="shared" si="78"/>
        <v>13.241481390752545</v>
      </c>
      <c r="AH137" s="91">
        <f t="shared" si="79"/>
        <v>163.83456617090906</v>
      </c>
      <c r="AJ137" s="91" t="str">
        <f t="shared" si="80"/>
        <v>46874.9996617922-3.98164399697986j</v>
      </c>
      <c r="AK137" s="91" t="str">
        <f t="shared" si="81"/>
        <v>15000-0.0000040772034823248j</v>
      </c>
      <c r="AL137" s="91" t="str">
        <f t="shared" si="95"/>
        <v>10000-1226330.74892525j</v>
      </c>
      <c r="AM137" s="91" t="str">
        <f t="shared" si="96"/>
        <v>963.108660505494-380590.821100917j</v>
      </c>
      <c r="AN137" s="91" t="str">
        <f t="shared" si="97"/>
        <v>10963.1086605055-380590.821100917j</v>
      </c>
      <c r="AO137" s="91" t="str">
        <f t="shared" si="98"/>
        <v>14959.8573339935-588.44764700858j</v>
      </c>
      <c r="AP137" s="91" t="str">
        <f t="shared" si="99"/>
        <v>0.242424242745478+0.0000155999021791582j</v>
      </c>
      <c r="AQ137" s="91" t="str">
        <f t="shared" si="82"/>
        <v>1+2.47893971725348j</v>
      </c>
      <c r="AR137" s="91">
        <f t="shared" si="83"/>
        <v>9.5507937045484816E-8</v>
      </c>
      <c r="AS137" s="91" t="str">
        <f t="shared" si="84"/>
        <v>0.000137968579242911j</v>
      </c>
      <c r="AT137" s="91" t="str">
        <f t="shared" si="85"/>
        <v>9.55079370454848E-08+0.000137968579242911j</v>
      </c>
      <c r="AU137" s="91" t="str">
        <f t="shared" si="86"/>
        <v>5.39172930546534-2.17067573428908j</v>
      </c>
      <c r="AW137" s="91" t="str">
        <f t="shared" si="100"/>
        <v>1.30029297003473-0.542525240849548j</v>
      </c>
      <c r="AX137" s="91">
        <f t="shared" si="87"/>
        <v>2.9778139280616269</v>
      </c>
      <c r="AY137" s="91">
        <f t="shared" si="88"/>
        <v>157.35248827146614</v>
      </c>
      <c r="AZ137" s="91" t="str">
        <f t="shared" si="89"/>
        <v>14.2645287083475-7.39234034449907j</v>
      </c>
      <c r="BA137" s="91">
        <f t="shared" si="90"/>
        <v>24.118275032529045</v>
      </c>
      <c r="BB137" s="91">
        <f t="shared" si="91"/>
        <v>152.605347740193</v>
      </c>
      <c r="BD137" s="91" t="str">
        <f t="shared" si="92"/>
        <v>5.0421026817499-4.05583065647094j</v>
      </c>
      <c r="BE137" s="91">
        <f t="shared" si="93"/>
        <v>16.21929531881419</v>
      </c>
      <c r="BF137" s="91">
        <f t="shared" si="94"/>
        <v>141.18705444237526</v>
      </c>
      <c r="BH137" s="91">
        <f t="shared" si="101"/>
        <v>-15.21929531881419</v>
      </c>
      <c r="BI137" s="112">
        <f t="shared" si="102"/>
        <v>-141.18705444237526</v>
      </c>
      <c r="BJ137" s="95"/>
      <c r="BK137" s="95"/>
      <c r="BL137" s="95"/>
      <c r="BM137" s="95"/>
      <c r="BN137" s="46"/>
      <c r="BO137" s="46"/>
      <c r="BP137" s="46"/>
    </row>
    <row r="138" spans="1:68" s="91" customFormat="1">
      <c r="A138" s="91">
        <v>74</v>
      </c>
      <c r="B138" s="91">
        <f t="shared" si="52"/>
        <v>3019.9517204020162</v>
      </c>
      <c r="C138" s="91" t="str">
        <f t="shared" si="53"/>
        <v>18974.9162780217j</v>
      </c>
      <c r="D138" s="91">
        <f t="shared" si="54"/>
        <v>0.9999698508813436</v>
      </c>
      <c r="E138" s="91" t="str">
        <f t="shared" si="55"/>
        <v>-0.00862496194455532j</v>
      </c>
      <c r="F138" s="91" t="str">
        <f t="shared" si="56"/>
        <v>0.999969850881344-0.00862496194455532j</v>
      </c>
      <c r="G138" s="91">
        <f t="shared" si="57"/>
        <v>6.1203127496505978E-5</v>
      </c>
      <c r="H138" s="91">
        <f t="shared" si="58"/>
        <v>-0.49417656281911693</v>
      </c>
      <c r="J138" s="91">
        <f t="shared" si="59"/>
        <v>7.1641791044776131</v>
      </c>
      <c r="K138" s="91" t="str">
        <f t="shared" si="60"/>
        <v>1+0.471052296601889j</v>
      </c>
      <c r="L138" s="91">
        <f t="shared" si="61"/>
        <v>0.96371366587700502</v>
      </c>
      <c r="M138" s="91" t="str">
        <f t="shared" si="62"/>
        <v>0.0854650053701492j</v>
      </c>
      <c r="N138" s="91" t="str">
        <f t="shared" si="63"/>
        <v>0.963713665877005+0.0854650053701492j</v>
      </c>
      <c r="O138" s="91" t="str">
        <f t="shared" si="64"/>
        <v>1.07256447794058+0.393670424284806j</v>
      </c>
      <c r="P138" s="91" t="str">
        <f t="shared" si="65"/>
        <v>7.68404402106684+2.82032542771204j</v>
      </c>
      <c r="R138" s="91">
        <f t="shared" si="66"/>
        <v>11.82089552238806</v>
      </c>
      <c r="S138" s="91" t="str">
        <f t="shared" si="67"/>
        <v>1+0.00142311872085163j</v>
      </c>
      <c r="T138" s="91" t="str">
        <f t="shared" si="68"/>
        <v>0.963713665877005+0.0854650053701492j</v>
      </c>
      <c r="U138" s="91" t="str">
        <f t="shared" si="69"/>
        <v>1.02968542956161-0.0898388754998164j</v>
      </c>
      <c r="V138" s="91" t="str">
        <f t="shared" si="70"/>
        <v>12.1718038837731-1.06197596113216j</v>
      </c>
      <c r="X138" s="91" t="str">
        <f t="shared" si="71"/>
        <v>1.44303864728956+0.515569301895978j</v>
      </c>
      <c r="Y138" s="91">
        <f t="shared" si="72"/>
        <v>3.7072995002006599</v>
      </c>
      <c r="Z138" s="91">
        <f t="shared" si="73"/>
        <v>-160.33919143341029</v>
      </c>
      <c r="AB138" s="91" t="str">
        <f t="shared" si="74"/>
        <v>11.3934029393214-0.994061369423008j</v>
      </c>
      <c r="AC138" s="91">
        <f t="shared" si="75"/>
        <v>21.166004012413598</v>
      </c>
      <c r="AD138" s="91">
        <f t="shared" si="76"/>
        <v>175.01363588723245</v>
      </c>
      <c r="AF138" s="91" t="str">
        <f t="shared" si="77"/>
        <v>4.38256698188985-1.33177523507375j</v>
      </c>
      <c r="AG138" s="91">
        <f t="shared" si="78"/>
        <v>13.218162195239113</v>
      </c>
      <c r="AH138" s="91">
        <f t="shared" si="79"/>
        <v>163.09701289875593</v>
      </c>
      <c r="AJ138" s="91" t="str">
        <f t="shared" si="80"/>
        <v>46874.9996291625-4.16929309451089j</v>
      </c>
      <c r="AK138" s="91" t="str">
        <f t="shared" si="81"/>
        <v>15000-4.26935616255489E-06j</v>
      </c>
      <c r="AL138" s="91" t="str">
        <f t="shared" si="95"/>
        <v>10000-1171136.77323371j</v>
      </c>
      <c r="AM138" s="91" t="str">
        <f t="shared" si="96"/>
        <v>963.105721921139-363461.911474393j</v>
      </c>
      <c r="AN138" s="91" t="str">
        <f t="shared" si="97"/>
        <v>10963.1057219211-363461.911474393j</v>
      </c>
      <c r="AO138" s="91" t="str">
        <f t="shared" si="98"/>
        <v>14956.0042288428-615.904246426159j</v>
      </c>
      <c r="AP138" s="91" t="str">
        <f t="shared" si="99"/>
        <v>0.24242424277647+0.0000163351029179298j</v>
      </c>
      <c r="AQ138" s="91" t="str">
        <f t="shared" si="82"/>
        <v>1+2.59576854683337j</v>
      </c>
      <c r="AR138" s="91">
        <f t="shared" si="83"/>
        <v>9.5074550914671471E-8</v>
      </c>
      <c r="AS138" s="91" t="str">
        <f t="shared" si="84"/>
        <v>0.000144470838059276j</v>
      </c>
      <c r="AT138" s="91" t="str">
        <f t="shared" si="85"/>
        <v>9.50745509146715E-08+0.000144470838059276j</v>
      </c>
      <c r="AU138" s="91" t="str">
        <f t="shared" si="86"/>
        <v>5.3915908817976-2.07299549820095j</v>
      </c>
      <c r="AW138" s="91" t="str">
        <f t="shared" si="100"/>
        <v>1.30024034138635-0.519612735916299j</v>
      </c>
      <c r="AX138" s="91">
        <f t="shared" si="87"/>
        <v>2.9239394698358208</v>
      </c>
      <c r="AY138" s="91">
        <f t="shared" si="88"/>
        <v>158.21695606163371</v>
      </c>
      <c r="AZ138" s="91" t="str">
        <f t="shared" si="89"/>
        <v>14.2976351795409-7.21267596703513j</v>
      </c>
      <c r="BA138" s="91">
        <f t="shared" si="90"/>
        <v>24.089943482249407</v>
      </c>
      <c r="BB138" s="91">
        <f t="shared" si="91"/>
        <v>153.23059194886619</v>
      </c>
      <c r="BD138" s="91" t="str">
        <f t="shared" si="92"/>
        <v>5.00638301515876-4.0088655060984j</v>
      </c>
      <c r="BE138" s="91">
        <f t="shared" si="93"/>
        <v>16.142101665074932</v>
      </c>
      <c r="BF138" s="91">
        <f t="shared" si="94"/>
        <v>141.31396896038964</v>
      </c>
      <c r="BH138" s="91">
        <f t="shared" si="101"/>
        <v>-15.142101665074932</v>
      </c>
      <c r="BI138" s="112">
        <f t="shared" si="102"/>
        <v>-141.31396896038964</v>
      </c>
      <c r="BJ138" s="95"/>
      <c r="BK138" s="95"/>
      <c r="BL138" s="95"/>
      <c r="BM138" s="95"/>
      <c r="BN138" s="46"/>
      <c r="BO138" s="46"/>
      <c r="BP138" s="46"/>
    </row>
    <row r="139" spans="1:68" s="91" customFormat="1">
      <c r="A139" s="91">
        <v>75</v>
      </c>
      <c r="B139" s="91">
        <f t="shared" si="52"/>
        <v>3162.2776601683804</v>
      </c>
      <c r="C139" s="91" t="str">
        <f t="shared" si="53"/>
        <v>19869.1765315922j</v>
      </c>
      <c r="D139" s="91">
        <f t="shared" si="54"/>
        <v>0.99996694214876036</v>
      </c>
      <c r="E139" s="91" t="str">
        <f t="shared" si="55"/>
        <v>-0.00903144387799645j</v>
      </c>
      <c r="F139" s="91" t="str">
        <f t="shared" si="56"/>
        <v>0.99996694214876-0.00903144387799645j</v>
      </c>
      <c r="G139" s="91">
        <f t="shared" si="57"/>
        <v>6.7108266805898916E-5</v>
      </c>
      <c r="H139" s="91">
        <f t="shared" si="58"/>
        <v>-0.51746665389790403</v>
      </c>
      <c r="J139" s="91">
        <f t="shared" si="59"/>
        <v>7.1641791044776131</v>
      </c>
      <c r="K139" s="91" t="str">
        <f t="shared" si="60"/>
        <v>1+0.493252307396776j</v>
      </c>
      <c r="L139" s="91">
        <f t="shared" si="61"/>
        <v>0.96021282581616973</v>
      </c>
      <c r="M139" s="91" t="str">
        <f t="shared" si="62"/>
        <v>0.0894928469824065j</v>
      </c>
      <c r="N139" s="91" t="str">
        <f t="shared" si="63"/>
        <v>0.96021282581617+0.0894928469824065j</v>
      </c>
      <c r="O139" s="91" t="str">
        <f t="shared" si="64"/>
        <v>1.07993153605244+0.413039848069358j</v>
      </c>
      <c r="P139" s="91" t="str">
        <f t="shared" si="65"/>
        <v>7.7368229448533+2.9590914488551j</v>
      </c>
      <c r="R139" s="91">
        <f t="shared" si="66"/>
        <v>11.82089552238806</v>
      </c>
      <c r="S139" s="91" t="str">
        <f t="shared" si="67"/>
        <v>1+0.00149018823986941j</v>
      </c>
      <c r="T139" s="91" t="str">
        <f t="shared" si="68"/>
        <v>0.96021282581617+0.0894928469824065j</v>
      </c>
      <c r="U139" s="91" t="str">
        <f t="shared" si="69"/>
        <v>1.0326107217325-0.0946884717929563j</v>
      </c>
      <c r="V139" s="91" t="str">
        <f t="shared" si="70"/>
        <v>12.2063834568976-1.11930253223913j</v>
      </c>
      <c r="X139" s="91" t="str">
        <f t="shared" si="71"/>
        <v>1.45336410791923+0.54087128907477j</v>
      </c>
      <c r="Y139" s="91">
        <f t="shared" si="72"/>
        <v>3.810805852584064</v>
      </c>
      <c r="Z139" s="91">
        <f t="shared" si="73"/>
        <v>-159.58718612247222</v>
      </c>
      <c r="AB139" s="91" t="str">
        <f t="shared" si="74"/>
        <v>11.4257711087266-1.04772183996527j</v>
      </c>
      <c r="AC139" s="91">
        <f t="shared" si="75"/>
        <v>21.194075572435889</v>
      </c>
      <c r="AD139" s="91">
        <f t="shared" si="76"/>
        <v>174.76073626613433</v>
      </c>
      <c r="AF139" s="91" t="str">
        <f t="shared" si="77"/>
        <v>4.35153802035954-1.38639992633616j</v>
      </c>
      <c r="AG139" s="91">
        <f t="shared" si="78"/>
        <v>13.19272411148139</v>
      </c>
      <c r="AH139" s="91">
        <f t="shared" si="79"/>
        <v>162.32812210232996</v>
      </c>
      <c r="AJ139" s="91" t="str">
        <f t="shared" si="80"/>
        <v>46874.9995933847-4.3657858211216j</v>
      </c>
      <c r="AK139" s="91" t="str">
        <f t="shared" si="81"/>
        <v>15000-4.47056471960824E-06j</v>
      </c>
      <c r="AL139" s="91" t="str">
        <f t="shared" si="95"/>
        <v>10000-1118426.93565527j</v>
      </c>
      <c r="AM139" s="91" t="str">
        <f t="shared" si="96"/>
        <v>963.102499848066-347103.953288955j</v>
      </c>
      <c r="AN139" s="91" t="str">
        <f t="shared" si="97"/>
        <v>10963.1024998481-347103.953288955j</v>
      </c>
      <c r="AO139" s="91" t="str">
        <f t="shared" si="98"/>
        <v>14951.7833628191-644.614231371997j</v>
      </c>
      <c r="AP139" s="91" t="str">
        <f t="shared" si="99"/>
        <v>0.242424242810453+0.0000171049525999466j</v>
      </c>
      <c r="AQ139" s="91" t="str">
        <f t="shared" si="82"/>
        <v>1+2.71810334952181j</v>
      </c>
      <c r="AR139" s="91">
        <f t="shared" si="83"/>
        <v>9.4599352471723903E-8</v>
      </c>
      <c r="AS139" s="91" t="str">
        <f t="shared" si="84"/>
        <v>0.000151279538892706j</v>
      </c>
      <c r="AT139" s="91" t="str">
        <f t="shared" si="85"/>
        <v>9.45993524717239E-08+0.000151279538892706j</v>
      </c>
      <c r="AU139" s="91" t="str">
        <f t="shared" si="86"/>
        <v>5.39146463779932-1.97971234661682j</v>
      </c>
      <c r="AW139" s="91" t="str">
        <f t="shared" si="100"/>
        <v>1.3001888260847-0.497802348574502j</v>
      </c>
      <c r="AX139" s="91">
        <f t="shared" si="87"/>
        <v>2.8742058387598632</v>
      </c>
      <c r="AY139" s="91">
        <f t="shared" si="88"/>
        <v>159.04969245422353</v>
      </c>
      <c r="AZ139" s="91" t="str">
        <f t="shared" si="89"/>
        <v>14.3341015323802-7.05001192136653j</v>
      </c>
      <c r="BA139" s="91">
        <f t="shared" si="90"/>
        <v>24.068281411195741</v>
      </c>
      <c r="BB139" s="91">
        <f t="shared" si="91"/>
        <v>153.81042872035786</v>
      </c>
      <c r="BD139" s="91" t="str">
        <f t="shared" si="92"/>
        <v>4.96766797096055-3.96878753915314j</v>
      </c>
      <c r="BE139" s="91">
        <f t="shared" si="93"/>
        <v>16.066929950241242</v>
      </c>
      <c r="BF139" s="91">
        <f t="shared" si="94"/>
        <v>141.37781455655349</v>
      </c>
      <c r="BH139" s="91">
        <f t="shared" si="101"/>
        <v>-15.066929950241242</v>
      </c>
      <c r="BI139" s="112">
        <f t="shared" si="102"/>
        <v>-141.37781455655349</v>
      </c>
      <c r="BJ139" s="95"/>
      <c r="BK139" s="95"/>
      <c r="BL139" s="95"/>
      <c r="BM139" s="95"/>
      <c r="BN139" s="46"/>
      <c r="BO139" s="46"/>
      <c r="BP139" s="46"/>
    </row>
    <row r="140" spans="1:68" s="91" customFormat="1">
      <c r="A140" s="91">
        <v>76</v>
      </c>
      <c r="B140" s="91">
        <f t="shared" si="52"/>
        <v>3311.3112148259129</v>
      </c>
      <c r="C140" s="91" t="str">
        <f t="shared" si="53"/>
        <v>20805.5819724932j</v>
      </c>
      <c r="D140" s="91">
        <f t="shared" si="54"/>
        <v>0.9999637527869043</v>
      </c>
      <c r="E140" s="91" t="str">
        <f t="shared" si="55"/>
        <v>-0.00945708271476964j</v>
      </c>
      <c r="F140" s="91" t="str">
        <f t="shared" si="56"/>
        <v>0.999963752786904-0.00945708271476964j</v>
      </c>
      <c r="G140" s="91">
        <f t="shared" si="57"/>
        <v>7.3583198544452394E-5</v>
      </c>
      <c r="H140" s="91">
        <f t="shared" si="58"/>
        <v>-0.5418544127360907</v>
      </c>
      <c r="J140" s="91">
        <f t="shared" si="59"/>
        <v>7.1641791044776131</v>
      </c>
      <c r="K140" s="91" t="str">
        <f t="shared" si="60"/>
        <v>1+0.516498572467144j</v>
      </c>
      <c r="L140" s="91">
        <f t="shared" si="61"/>
        <v>0.95637423102127883</v>
      </c>
      <c r="M140" s="91" t="str">
        <f t="shared" si="62"/>
        <v>0.0937105149216289j</v>
      </c>
      <c r="N140" s="91" t="str">
        <f t="shared" si="63"/>
        <v>0.956374231021279+0.0937105149216289j</v>
      </c>
      <c r="O140" s="91" t="str">
        <f t="shared" si="64"/>
        <v>1.08808675749509+0.433442672017844j</v>
      </c>
      <c r="P140" s="91" t="str">
        <f t="shared" si="65"/>
        <v>7.79524841190512+3.10526093385918j</v>
      </c>
      <c r="R140" s="91">
        <f t="shared" si="66"/>
        <v>11.82089552238806</v>
      </c>
      <c r="S140" s="91" t="str">
        <f t="shared" si="67"/>
        <v>1+0.00156041864793699j</v>
      </c>
      <c r="T140" s="91" t="str">
        <f t="shared" si="68"/>
        <v>0.956374231021279+0.0937105149216289j</v>
      </c>
      <c r="U140" s="91" t="str">
        <f t="shared" si="69"/>
        <v>1.03583055451838-0.0998644598417786j</v>
      </c>
      <c r="V140" s="91" t="str">
        <f t="shared" si="70"/>
        <v>12.2444447638591-1.18048734618938j</v>
      </c>
      <c r="X140" s="91" t="str">
        <f t="shared" si="71"/>
        <v>1.46479148858851+0.567512946933924j</v>
      </c>
      <c r="Y140" s="91">
        <f t="shared" si="72"/>
        <v>3.9228973000281542</v>
      </c>
      <c r="Z140" s="91">
        <f t="shared" si="73"/>
        <v>-158.82183905018803</v>
      </c>
      <c r="AB140" s="91" t="str">
        <f t="shared" si="74"/>
        <v>11.4613983510606-1.10499381425594j</v>
      </c>
      <c r="AC140" s="91">
        <f t="shared" si="75"/>
        <v>21.22493290687634</v>
      </c>
      <c r="AD140" s="91">
        <f t="shared" si="76"/>
        <v>174.49313173614374</v>
      </c>
      <c r="AF140" s="91" t="str">
        <f t="shared" si="77"/>
        <v>4.31791488020936-1.44250190289706j</v>
      </c>
      <c r="AG140" s="91">
        <f t="shared" si="78"/>
        <v>13.164987438974844</v>
      </c>
      <c r="AH140" s="91">
        <f t="shared" si="79"/>
        <v>161.52688053926039</v>
      </c>
      <c r="AJ140" s="91" t="str">
        <f t="shared" si="80"/>
        <v>46874.9995541553-4.57153896414638j</v>
      </c>
      <c r="AK140" s="91" t="str">
        <f t="shared" si="81"/>
        <v>15000-4.68125594381097E-06j</v>
      </c>
      <c r="AL140" s="91" t="str">
        <f t="shared" si="95"/>
        <v>10000-1068089.43155745j</v>
      </c>
      <c r="AM140" s="91" t="str">
        <f t="shared" si="96"/>
        <v>963.098966939985-331482.249121641j</v>
      </c>
      <c r="AN140" s="91" t="str">
        <f t="shared" si="97"/>
        <v>10963.09896694-331482.249121641j</v>
      </c>
      <c r="AO140" s="91" t="str">
        <f t="shared" si="98"/>
        <v>14947.1600528908-674.6307332141j</v>
      </c>
      <c r="AP140" s="91" t="str">
        <f t="shared" si="99"/>
        <v>0.242424242847713+0.0000179110841795806j</v>
      </c>
      <c r="AQ140" s="91" t="str">
        <f t="shared" si="82"/>
        <v>1+2.84620361383707j</v>
      </c>
      <c r="AR140" s="91">
        <f t="shared" si="83"/>
        <v>9.4078307740190639E-8</v>
      </c>
      <c r="AS140" s="91" t="str">
        <f t="shared" si="84"/>
        <v>0.000158409123910529j</v>
      </c>
      <c r="AT140" s="91" t="str">
        <f t="shared" si="85"/>
        <v>9.40783077401906E-08+0.000158409123910529j</v>
      </c>
      <c r="AU140" s="91" t="str">
        <f t="shared" si="86"/>
        <v>5.39134950178374-1.89062841564349j</v>
      </c>
      <c r="AW140" s="91" t="str">
        <f t="shared" si="100"/>
        <v>1.30013798699441-0.477047809695676j</v>
      </c>
      <c r="AX140" s="91">
        <f t="shared" si="87"/>
        <v>2.828335218126953</v>
      </c>
      <c r="AY140" s="91">
        <f t="shared" si="88"/>
        <v>159.8508570594766</v>
      </c>
      <c r="AZ140" s="91" t="str">
        <f t="shared" si="89"/>
        <v>14.3742645014709-6.9042794127311j</v>
      </c>
      <c r="BA140" s="91">
        <f t="shared" si="90"/>
        <v>24.053268125003289</v>
      </c>
      <c r="BB140" s="91">
        <f t="shared" si="91"/>
        <v>154.34398879562025</v>
      </c>
      <c r="BD140" s="91" t="str">
        <f t="shared" si="92"/>
        <v>4.92574278710971-3.93530335632443j</v>
      </c>
      <c r="BE140" s="91">
        <f t="shared" si="93"/>
        <v>15.993322657101787</v>
      </c>
      <c r="BF140" s="91">
        <f t="shared" si="94"/>
        <v>141.37773759873693</v>
      </c>
      <c r="BH140" s="91">
        <f t="shared" si="101"/>
        <v>-14.993322657101787</v>
      </c>
      <c r="BI140" s="112">
        <f t="shared" si="102"/>
        <v>-141.37773759873693</v>
      </c>
      <c r="BJ140" s="95"/>
      <c r="BK140" s="95"/>
      <c r="BL140" s="95"/>
      <c r="BM140" s="95"/>
      <c r="BN140" s="46"/>
      <c r="BO140" s="46"/>
      <c r="BP140" s="46"/>
    </row>
    <row r="141" spans="1:68" s="91" customFormat="1">
      <c r="A141" s="91">
        <v>77</v>
      </c>
      <c r="B141" s="91">
        <f t="shared" si="52"/>
        <v>3467.3685045253178</v>
      </c>
      <c r="C141" s="91" t="str">
        <f t="shared" si="53"/>
        <v>21786.1188422107j</v>
      </c>
      <c r="D141" s="91">
        <f t="shared" si="54"/>
        <v>0.99996025572116964</v>
      </c>
      <c r="E141" s="91" t="str">
        <f t="shared" si="55"/>
        <v>-0.00990278129191395j</v>
      </c>
      <c r="F141" s="91" t="str">
        <f t="shared" si="56"/>
        <v>0.99996025572117-0.00990278129191395j</v>
      </c>
      <c r="G141" s="91">
        <f t="shared" si="57"/>
        <v>8.068291047636681E-5</v>
      </c>
      <c r="H141" s="91">
        <f t="shared" si="58"/>
        <v>-0.56739157668507778</v>
      </c>
      <c r="J141" s="91">
        <f t="shared" si="59"/>
        <v>7.1641791044776131</v>
      </c>
      <c r="K141" s="91" t="str">
        <f t="shared" si="60"/>
        <v>1+0.54084040025788j</v>
      </c>
      <c r="L141" s="91">
        <f t="shared" si="61"/>
        <v>0.95216529552485285</v>
      </c>
      <c r="M141" s="91" t="str">
        <f t="shared" si="62"/>
        <v>0.0981269554269871j</v>
      </c>
      <c r="N141" s="91" t="str">
        <f t="shared" si="63"/>
        <v>0.952165295524853+0.0981269554269871j</v>
      </c>
      <c r="O141" s="91" t="str">
        <f t="shared" si="64"/>
        <v>1.09712294274443+0.454945237127649j</v>
      </c>
      <c r="P141" s="91" t="str">
        <f t="shared" si="65"/>
        <v>7.85998526145263+3.25930916151152j</v>
      </c>
      <c r="R141" s="91">
        <f t="shared" si="66"/>
        <v>11.82089552238806</v>
      </c>
      <c r="S141" s="91" t="str">
        <f t="shared" si="67"/>
        <v>1+0.0016339589131658j</v>
      </c>
      <c r="T141" s="91" t="str">
        <f t="shared" si="68"/>
        <v>0.952165295524853+0.0981269554269871j</v>
      </c>
      <c r="U141" s="91" t="str">
        <f t="shared" si="69"/>
        <v>1.03937579712131-0.105398531194657j</v>
      </c>
      <c r="V141" s="91" t="str">
        <f t="shared" si="70"/>
        <v>12.2863527062698-1.2459050254652j</v>
      </c>
      <c r="X141" s="91" t="str">
        <f t="shared" si="71"/>
        <v>1.47744996397248+0.595578656609218j</v>
      </c>
      <c r="Y141" s="91">
        <f t="shared" si="72"/>
        <v>4.0441843044821928</v>
      </c>
      <c r="Z141" s="91">
        <f t="shared" si="73"/>
        <v>-158.04501665911468</v>
      </c>
      <c r="AB141" s="91" t="str">
        <f t="shared" si="74"/>
        <v>11.5006262320553-1.16622795723604j</v>
      </c>
      <c r="AC141" s="91">
        <f t="shared" si="75"/>
        <v>21.258860651407751</v>
      </c>
      <c r="AD141" s="91">
        <f t="shared" si="76"/>
        <v>174.20968017209688</v>
      </c>
      <c r="AF141" s="91" t="str">
        <f t="shared" si="77"/>
        <v>4.28151934273459-1.50001394565786j</v>
      </c>
      <c r="AG141" s="91">
        <f t="shared" si="78"/>
        <v>13.13475962406577</v>
      </c>
      <c r="AH141" s="91">
        <f t="shared" si="79"/>
        <v>160.69228562696335</v>
      </c>
      <c r="AJ141" s="91" t="str">
        <f t="shared" si="80"/>
        <v>46874.999511141-4.78698895349199j</v>
      </c>
      <c r="AK141" s="91" t="str">
        <f t="shared" si="81"/>
        <v>15000-4.90187673949742E-06j</v>
      </c>
      <c r="AL141" s="91" t="str">
        <f t="shared" si="95"/>
        <v>10000-1020017.48834522j</v>
      </c>
      <c r="AM141" s="91" t="str">
        <f t="shared" si="96"/>
        <v>963.095093213087-316563.66324291j</v>
      </c>
      <c r="AN141" s="91" t="str">
        <f t="shared" si="97"/>
        <v>10963.0950932131-316563.66324291j</v>
      </c>
      <c r="AO141" s="91" t="str">
        <f t="shared" si="98"/>
        <v>14942.0964290147-706.008527128618j</v>
      </c>
      <c r="AP141" s="91" t="str">
        <f t="shared" si="99"/>
        <v>0.242424242888569+0.0000187552075699702j</v>
      </c>
      <c r="AQ141" s="91" t="str">
        <f t="shared" si="82"/>
        <v>1+2.98034105761442j</v>
      </c>
      <c r="AR141" s="91">
        <f t="shared" si="83"/>
        <v>9.3506993552849226E-8</v>
      </c>
      <c r="AS141" s="91" t="str">
        <f t="shared" si="84"/>
        <v>0.000165874715918447j</v>
      </c>
      <c r="AT141" s="91" t="str">
        <f t="shared" si="85"/>
        <v>9.35069935528492E-08+0.000165874715918447j</v>
      </c>
      <c r="AU141" s="91" t="str">
        <f t="shared" si="86"/>
        <v>5.39124449635953-1.80555474821663j</v>
      </c>
      <c r="AW141" s="91" t="str">
        <f t="shared" si="100"/>
        <v>1.30008739275656-0.457305088657633j</v>
      </c>
      <c r="AX141" s="91">
        <f t="shared" si="87"/>
        <v>2.7860618391283367</v>
      </c>
      <c r="AY141" s="91">
        <f t="shared" si="88"/>
        <v>160.62070285903246</v>
      </c>
      <c r="AZ141" s="91" t="str">
        <f t="shared" si="89"/>
        <v>14.4184971937216-6.77549316295116j</v>
      </c>
      <c r="BA141" s="91">
        <f t="shared" si="90"/>
        <v>24.044922490536067</v>
      </c>
      <c r="BB141" s="91">
        <f t="shared" si="91"/>
        <v>154.83038303112926</v>
      </c>
      <c r="BD141" s="91" t="str">
        <f t="shared" si="92"/>
        <v>4.88038530892583-3.90810980232742j</v>
      </c>
      <c r="BE141" s="91">
        <f t="shared" si="93"/>
        <v>15.920821463194098</v>
      </c>
      <c r="BF141" s="91">
        <f t="shared" si="94"/>
        <v>141.31298848599576</v>
      </c>
      <c r="BH141" s="91">
        <f t="shared" si="101"/>
        <v>-14.920821463194098</v>
      </c>
      <c r="BI141" s="112">
        <f t="shared" si="102"/>
        <v>-141.31298848599576</v>
      </c>
      <c r="BJ141" s="95"/>
      <c r="BK141" s="95"/>
      <c r="BL141" s="95"/>
      <c r="BM141" s="95"/>
      <c r="BN141" s="46"/>
      <c r="BO141" s="46"/>
      <c r="BP141" s="46"/>
    </row>
    <row r="142" spans="1:68" s="91" customFormat="1">
      <c r="A142" s="91">
        <v>78</v>
      </c>
      <c r="B142" s="91">
        <f t="shared" si="52"/>
        <v>3630.7805477010156</v>
      </c>
      <c r="C142" s="91" t="str">
        <f t="shared" si="53"/>
        <v>22812.8669909085j</v>
      </c>
      <c r="D142" s="91">
        <f t="shared" si="54"/>
        <v>0.99995642126484108</v>
      </c>
      <c r="E142" s="91" t="str">
        <f t="shared" si="55"/>
        <v>-0.0103694849958675j</v>
      </c>
      <c r="F142" s="91" t="str">
        <f t="shared" si="56"/>
        <v>0.999956421264841-0.0103694849958675j</v>
      </c>
      <c r="G142" s="91">
        <f t="shared" si="57"/>
        <v>8.8467698546429663E-5</v>
      </c>
      <c r="H142" s="91">
        <f t="shared" si="58"/>
        <v>-0.59413232227108137</v>
      </c>
      <c r="J142" s="91">
        <f t="shared" si="59"/>
        <v>7.1641791044776131</v>
      </c>
      <c r="K142" s="91" t="str">
        <f t="shared" si="60"/>
        <v>1+0.566329423049303j</v>
      </c>
      <c r="L142" s="91">
        <f t="shared" si="61"/>
        <v>0.94755028952404796</v>
      </c>
      <c r="M142" s="91" t="str">
        <f t="shared" si="62"/>
        <v>0.102751536360917j</v>
      </c>
      <c r="N142" s="91" t="str">
        <f t="shared" si="63"/>
        <v>0.947550289524048+0.102751536360917j</v>
      </c>
      <c r="O142" s="91" t="str">
        <f t="shared" si="64"/>
        <v>1.10714560557923+0.477619516456613j</v>
      </c>
      <c r="P142" s="91" t="str">
        <f t="shared" si="65"/>
        <v>7.93178941310493+3.42175175968917j</v>
      </c>
      <c r="R142" s="91">
        <f t="shared" si="66"/>
        <v>11.82089552238806</v>
      </c>
      <c r="S142" s="91" t="str">
        <f t="shared" si="67"/>
        <v>1+0.00171096502431814j</v>
      </c>
      <c r="T142" s="91" t="str">
        <f t="shared" si="68"/>
        <v>0.947550289524048+0.102751536360917j</v>
      </c>
      <c r="U142" s="91" t="str">
        <f t="shared" si="69"/>
        <v>1.0432807753143-0.111326795697588j</v>
      </c>
      <c r="V142" s="91" t="str">
        <f t="shared" si="70"/>
        <v>12.3325130455064-1.31598242078343j</v>
      </c>
      <c r="X142" s="91" t="str">
        <f t="shared" si="71"/>
        <v>1.49148628997448+0.625159703054493j</v>
      </c>
      <c r="Y142" s="91">
        <f t="shared" si="72"/>
        <v>4.1753081426310743</v>
      </c>
      <c r="Z142" s="91">
        <f t="shared" si="73"/>
        <v>-157.25890015075163</v>
      </c>
      <c r="AB142" s="91" t="str">
        <f t="shared" si="74"/>
        <v>11.5438345641776-1.23182382202509j</v>
      </c>
      <c r="AC142" s="91">
        <f t="shared" si="75"/>
        <v>21.2961741688062</v>
      </c>
      <c r="AD142" s="91">
        <f t="shared" si="76"/>
        <v>173.90910905587683</v>
      </c>
      <c r="AF142" s="91" t="str">
        <f t="shared" si="77"/>
        <v>4.242168083113-1.55885118726102j</v>
      </c>
      <c r="AG142" s="91">
        <f t="shared" si="78"/>
        <v>13.101834778803273</v>
      </c>
      <c r="AH142" s="91">
        <f t="shared" si="79"/>
        <v>159.82335226779171</v>
      </c>
      <c r="AJ142" s="91" t="str">
        <f t="shared" si="80"/>
        <v>46874.9994639768-5.01259278736225j</v>
      </c>
      <c r="AK142" s="91" t="str">
        <f t="shared" si="81"/>
        <v>15000-5.13289507295442E-06j</v>
      </c>
      <c r="AL142" s="91" t="str">
        <f t="shared" si="95"/>
        <v>10000-974109.138981891j</v>
      </c>
      <c r="AM142" s="91" t="str">
        <f t="shared" si="96"/>
        <v>963.090845791824-302316.551331286j</v>
      </c>
      <c r="AN142" s="91" t="str">
        <f t="shared" si="97"/>
        <v>10963.0908457918-302316.551331286j</v>
      </c>
      <c r="AO142" s="91" t="str">
        <f t="shared" si="98"/>
        <v>14936.5511581442-738.803987142762j</v>
      </c>
      <c r="AP142" s="91" t="str">
        <f t="shared" si="99"/>
        <v>0.242424242933366+0.0000196391132699749j</v>
      </c>
      <c r="AQ142" s="91" t="str">
        <f t="shared" si="82"/>
        <v>1+3.12080020435628j</v>
      </c>
      <c r="AR142" s="91">
        <f t="shared" si="83"/>
        <v>9.288056000328199E-8</v>
      </c>
      <c r="AS142" s="91" t="str">
        <f t="shared" si="84"/>
        <v>0.000173692150438039j</v>
      </c>
      <c r="AT142" s="91" t="str">
        <f t="shared" si="85"/>
        <v>9.2880560003282E-08+0.000173692150438039j</v>
      </c>
      <c r="AU142" s="91" t="str">
        <f t="shared" si="86"/>
        <v>5.39114873013399-1.7243108933338j</v>
      </c>
      <c r="AW142" s="91" t="str">
        <f t="shared" si="100"/>
        <v>1.3000366141342-0.438532299807202j</v>
      </c>
      <c r="AX142" s="91">
        <f t="shared" si="87"/>
        <v>2.7471324677992142</v>
      </c>
      <c r="AY142" s="91">
        <f t="shared" si="88"/>
        <v>161.35956410916484</v>
      </c>
      <c r="AZ142" s="91" t="str">
        <f t="shared" si="89"/>
        <v>14.4672130673089-6.66376039081803j</v>
      </c>
      <c r="BA142" s="91">
        <f t="shared" si="90"/>
        <v>24.043306636605447</v>
      </c>
      <c r="BB142" s="91">
        <f t="shared" si="91"/>
        <v>155.26867316504172</v>
      </c>
      <c r="BD142" s="91" t="str">
        <f t="shared" si="92"/>
        <v>4.83136723515166-3.88689134508215j</v>
      </c>
      <c r="BE142" s="91">
        <f t="shared" si="93"/>
        <v>15.848967246602516</v>
      </c>
      <c r="BF142" s="91">
        <f t="shared" si="94"/>
        <v>141.18291637695668</v>
      </c>
      <c r="BH142" s="91">
        <f t="shared" si="101"/>
        <v>-14.848967246602516</v>
      </c>
      <c r="BI142" s="112">
        <f t="shared" si="102"/>
        <v>-141.18291637695668</v>
      </c>
      <c r="BJ142" s="95"/>
      <c r="BK142" s="95"/>
      <c r="BL142" s="95"/>
      <c r="BM142" s="95"/>
      <c r="BN142" s="46"/>
      <c r="BO142" s="46"/>
      <c r="BP142" s="46"/>
    </row>
    <row r="143" spans="1:68" s="91" customFormat="1">
      <c r="A143" s="91">
        <v>79</v>
      </c>
      <c r="B143" s="91">
        <f t="shared" si="52"/>
        <v>3801.893963205614</v>
      </c>
      <c r="C143" s="91" t="str">
        <f t="shared" si="53"/>
        <v>23888.0042890683j</v>
      </c>
      <c r="D143" s="91">
        <f t="shared" si="54"/>
        <v>0.9999522168670828</v>
      </c>
      <c r="E143" s="91" t="str">
        <f t="shared" si="55"/>
        <v>-0.0108581837677583j</v>
      </c>
      <c r="F143" s="91" t="str">
        <f t="shared" si="56"/>
        <v>0.999952216867083-0.0108581837677583j</v>
      </c>
      <c r="G143" s="91">
        <f t="shared" si="57"/>
        <v>9.7003679678721582E-5</v>
      </c>
      <c r="H143" s="91">
        <f t="shared" si="58"/>
        <v>-0.62213338027849785</v>
      </c>
      <c r="J143" s="91">
        <f t="shared" si="59"/>
        <v>7.1641791044776131</v>
      </c>
      <c r="K143" s="91" t="str">
        <f t="shared" si="60"/>
        <v>1+0.59301970647612j</v>
      </c>
      <c r="L143" s="91">
        <f t="shared" si="61"/>
        <v>0.94249003606909587</v>
      </c>
      <c r="M143" s="91" t="str">
        <f t="shared" si="62"/>
        <v>0.107594067079606j</v>
      </c>
      <c r="N143" s="91" t="str">
        <f t="shared" si="63"/>
        <v>0.942490036069096+0.107594067079606j</v>
      </c>
      <c r="O143" s="91" t="str">
        <f t="shared" si="64"/>
        <v>1.1182750866129+0.501543702005763j</v>
      </c>
      <c r="P143" s="91" t="str">
        <f t="shared" si="65"/>
        <v>8.01152300857003+3.59314890989203j</v>
      </c>
      <c r="R143" s="91">
        <f t="shared" si="66"/>
        <v>11.82089552238806</v>
      </c>
      <c r="S143" s="91" t="str">
        <f t="shared" si="67"/>
        <v>1+0.00179160032168012j</v>
      </c>
      <c r="T143" s="91" t="str">
        <f t="shared" si="68"/>
        <v>0.942490036069096+0.107594067079606j</v>
      </c>
      <c r="U143" s="91" t="str">
        <f t="shared" si="69"/>
        <v>1.04758369330086-0.117690570299782j</v>
      </c>
      <c r="V143" s="91" t="str">
        <f t="shared" si="70"/>
        <v>12.3833773894669-1.39120793548399j</v>
      </c>
      <c r="X143" s="91" t="str">
        <f t="shared" si="71"/>
        <v>1.50706770374309+0.656354945319296j</v>
      </c>
      <c r="Y143" s="91">
        <f t="shared" si="72"/>
        <v>4.3169416516407004</v>
      </c>
      <c r="Z143" s="91">
        <f t="shared" si="73"/>
        <v>-156.46601306896929</v>
      </c>
      <c r="AB143" s="91" t="str">
        <f t="shared" si="74"/>
        <v>11.591446074478-1.30223857800418j</v>
      </c>
      <c r="AC143" s="91">
        <f t="shared" si="75"/>
        <v>21.337223188554244</v>
      </c>
      <c r="AD143" s="91">
        <f t="shared" si="76"/>
        <v>173.58999514073281</v>
      </c>
      <c r="AF143" s="91" t="str">
        <f t="shared" si="77"/>
        <v>4.19967394665302-1.61890934798401j</v>
      </c>
      <c r="AG143" s="91">
        <f t="shared" si="78"/>
        <v>13.065993266355285</v>
      </c>
      <c r="AH143" s="91">
        <f t="shared" si="79"/>
        <v>158.91912043974347</v>
      </c>
      <c r="AJ143" s="91" t="str">
        <f t="shared" si="80"/>
        <v>46874.9994122623-5.2488290016103j</v>
      </c>
      <c r="AK143" s="91" t="str">
        <f t="shared" si="81"/>
        <v>15000-5.37480096504038E-06j</v>
      </c>
      <c r="AL143" s="91" t="str">
        <f t="shared" si="95"/>
        <v>10000-930267.005703431j</v>
      </c>
      <c r="AM143" s="91" t="str">
        <f t="shared" si="96"/>
        <v>963.08618863008-288710.693351514j</v>
      </c>
      <c r="AN143" s="91" t="str">
        <f t="shared" si="97"/>
        <v>10963.0861886301-288710.693351514j</v>
      </c>
      <c r="AO143" s="91" t="str">
        <f t="shared" si="98"/>
        <v>14930.4791477596-773.075022189208j</v>
      </c>
      <c r="AP143" s="91" t="str">
        <f t="shared" si="99"/>
        <v>0.242424242982485+0.0000205646761620625j</v>
      </c>
      <c r="AQ143" s="91" t="str">
        <f t="shared" si="82"/>
        <v>1+3.26787898674454j</v>
      </c>
      <c r="AR143" s="91">
        <f t="shared" si="83"/>
        <v>9.2193689274849004E-8</v>
      </c>
      <c r="AS143" s="91" t="str">
        <f t="shared" si="84"/>
        <v>0.000181878009296022j</v>
      </c>
      <c r="AT143" s="91" t="str">
        <f t="shared" si="85"/>
        <v>9.2193689274849E-08+0.000181878009296022j</v>
      </c>
      <c r="AU143" s="91" t="str">
        <f t="shared" si="86"/>
        <v>5.39106139014594-1.64672452332524j</v>
      </c>
      <c r="AW143" s="91" t="str">
        <f t="shared" si="100"/>
        <v>1.29998522037742-0.420689613449243j</v>
      </c>
      <c r="AX143" s="91">
        <f t="shared" si="87"/>
        <v>2.7113066876013732</v>
      </c>
      <c r="AY143" s="91">
        <f t="shared" si="88"/>
        <v>162.06784477541217</v>
      </c>
      <c r="AZ143" s="91" t="str">
        <f t="shared" si="89"/>
        <v>14.520870335624-6.56929187320064j</v>
      </c>
      <c r="BA143" s="91">
        <f t="shared" si="90"/>
        <v>24.048529876155619</v>
      </c>
      <c r="BB143" s="91">
        <f t="shared" si="91"/>
        <v>155.65783991614498</v>
      </c>
      <c r="BD143" s="91" t="str">
        <f t="shared" si="92"/>
        <v>4.77845571324027-3.87131743474037j</v>
      </c>
      <c r="BE143" s="91">
        <f t="shared" si="93"/>
        <v>15.77729995395665</v>
      </c>
      <c r="BF143" s="91">
        <f t="shared" si="94"/>
        <v>140.98696521515564</v>
      </c>
      <c r="BH143" s="91">
        <f t="shared" si="101"/>
        <v>-14.77729995395665</v>
      </c>
      <c r="BI143" s="112">
        <f t="shared" si="102"/>
        <v>-140.98696521515564</v>
      </c>
      <c r="BJ143" s="95"/>
      <c r="BK143" s="95"/>
      <c r="BL143" s="95"/>
      <c r="BM143" s="95"/>
      <c r="BN143" s="46"/>
      <c r="BO143" s="46"/>
      <c r="BP143" s="46"/>
    </row>
    <row r="144" spans="1:68" s="91" customFormat="1">
      <c r="A144" s="91">
        <v>80</v>
      </c>
      <c r="B144" s="91">
        <f t="shared" si="52"/>
        <v>3981.0717055349755</v>
      </c>
      <c r="C144" s="91" t="str">
        <f t="shared" si="53"/>
        <v>25013.8112470457j</v>
      </c>
      <c r="D144" s="91">
        <f t="shared" si="54"/>
        <v>0.99994760683661288</v>
      </c>
      <c r="E144" s="91" t="str">
        <f t="shared" si="55"/>
        <v>-0.0113699142032026j</v>
      </c>
      <c r="F144" s="91" t="str">
        <f t="shared" si="56"/>
        <v>0.999947606836613-0.0113699142032026j</v>
      </c>
      <c r="G144" s="91">
        <f t="shared" si="57"/>
        <v>1.0636335405753475E-4</v>
      </c>
      <c r="H144" s="91">
        <f t="shared" si="58"/>
        <v>-0.65145415627609404</v>
      </c>
      <c r="J144" s="91">
        <f t="shared" si="59"/>
        <v>7.1641791044776131</v>
      </c>
      <c r="K144" s="91" t="str">
        <f t="shared" si="60"/>
        <v>1+0.620967864207909j</v>
      </c>
      <c r="L144" s="91">
        <f t="shared" si="61"/>
        <v>0.9369415784887829</v>
      </c>
      <c r="M144" s="91" t="str">
        <f t="shared" si="62"/>
        <v>0.112664819239958j</v>
      </c>
      <c r="N144" s="91" t="str">
        <f t="shared" si="63"/>
        <v>0.936941578488783+0.112664819239958j</v>
      </c>
      <c r="O144" s="91" t="str">
        <f t="shared" si="64"/>
        <v>1.13064909438821+0.526802844165537j</v>
      </c>
      <c r="P144" s="91" t="str">
        <f t="shared" si="65"/>
        <v>8.10017261651255+3.77410992835012j</v>
      </c>
      <c r="R144" s="91">
        <f t="shared" si="66"/>
        <v>11.82089552238806</v>
      </c>
      <c r="S144" s="91" t="str">
        <f t="shared" si="67"/>
        <v>1+0.00187603584352843j</v>
      </c>
      <c r="T144" s="91" t="str">
        <f t="shared" si="68"/>
        <v>0.936941578488783+0.112664819239958j</v>
      </c>
      <c r="U144" s="91" t="str">
        <f t="shared" si="69"/>
        <v>1.05232711007101-0.124537335595814j</v>
      </c>
      <c r="V144" s="91" t="str">
        <f t="shared" si="70"/>
        <v>12.439448823526-1.4721428327147j</v>
      </c>
      <c r="X144" s="91" t="str">
        <f t="shared" si="71"/>
        <v>1.52438540575593+0.689271532373805j</v>
      </c>
      <c r="Y144" s="91">
        <f t="shared" si="72"/>
        <v>4.4697902024367391</v>
      </c>
      <c r="Z144" s="91">
        <f t="shared" si="73"/>
        <v>-155.66925056000585</v>
      </c>
      <c r="AB144" s="91" t="str">
        <f t="shared" si="74"/>
        <v>11.6439316754391-1.37799759489332j</v>
      </c>
      <c r="AC144" s="91">
        <f t="shared" si="75"/>
        <v>21.38239593701055</v>
      </c>
      <c r="AD144" s="91">
        <f t="shared" si="76"/>
        <v>173.25074021571854</v>
      </c>
      <c r="AF144" s="91" t="str">
        <f t="shared" si="77"/>
        <v>4.15384753509136-1.68006297334098j</v>
      </c>
      <c r="AG144" s="91">
        <f t="shared" si="78"/>
        <v>13.027001371921003</v>
      </c>
      <c r="AH144" s="91">
        <f t="shared" si="79"/>
        <v>157.9786635623779</v>
      </c>
      <c r="AJ144" s="91" t="str">
        <f t="shared" si="80"/>
        <v>46874.9993555584-5.49619868477498j</v>
      </c>
      <c r="AK144" s="91" t="str">
        <f t="shared" si="81"/>
        <v>15000-5.62810753058529E-06j</v>
      </c>
      <c r="AL144" s="91" t="str">
        <f t="shared" si="95"/>
        <v>10000-888398.093467134j</v>
      </c>
      <c r="AM144" s="91" t="str">
        <f t="shared" si="96"/>
        <v>963.08108220555-275717.229453788j</v>
      </c>
      <c r="AN144" s="91" t="str">
        <f t="shared" si="97"/>
        <v>10963.0810822056-275717.229453788j</v>
      </c>
      <c r="AO144" s="91" t="str">
        <f t="shared" si="98"/>
        <v>14923.8312281188-808.880990095358j</v>
      </c>
      <c r="AP144" s="91" t="str">
        <f t="shared" si="99"/>
        <v>0.242424243036344+0.0000215338594891865j</v>
      </c>
      <c r="AQ144" s="91" t="str">
        <f t="shared" si="82"/>
        <v>1+3.42188937859585j</v>
      </c>
      <c r="AR144" s="91">
        <f t="shared" si="83"/>
        <v>9.1440550497553281E-8</v>
      </c>
      <c r="AS144" s="91" t="str">
        <f t="shared" si="84"/>
        <v>0.000190449655796532j</v>
      </c>
      <c r="AT144" s="91" t="str">
        <f t="shared" si="85"/>
        <v>9.14405504975533E-08+0.000190449655796532j</v>
      </c>
      <c r="AU144" s="91" t="str">
        <f t="shared" si="86"/>
        <v>5.39098173496446-1.57263106835128j</v>
      </c>
      <c r="AW144" s="91" t="str">
        <f t="shared" si="100"/>
        <v>1.29993277557725-0.403739171169956j</v>
      </c>
      <c r="AX144" s="91">
        <f t="shared" si="87"/>
        <v>2.6783570038332578</v>
      </c>
      <c r="AY144" s="91">
        <f t="shared" si="88"/>
        <v>162.74600760182918</v>
      </c>
      <c r="AZ144" s="91" t="str">
        <f t="shared" si="89"/>
        <v>14.579976814649-6.49241556206985j</v>
      </c>
      <c r="BA144" s="91">
        <f t="shared" si="90"/>
        <v>24.060752940843816</v>
      </c>
      <c r="BB144" s="91">
        <f t="shared" si="91"/>
        <v>155.99674781754766</v>
      </c>
      <c r="BD144" s="91" t="str">
        <f t="shared" si="92"/>
        <v>4.72141532324601-3.86103988506387j</v>
      </c>
      <c r="BE144" s="91">
        <f t="shared" si="93"/>
        <v>15.705358375754274</v>
      </c>
      <c r="BF144" s="91">
        <f t="shared" si="94"/>
        <v>140.724671164207</v>
      </c>
      <c r="BH144" s="91">
        <f t="shared" si="101"/>
        <v>-14.705358375754274</v>
      </c>
      <c r="BI144" s="112">
        <f t="shared" si="102"/>
        <v>-140.724671164207</v>
      </c>
      <c r="BJ144" s="95"/>
      <c r="BK144" s="95"/>
      <c r="BL144" s="95"/>
      <c r="BM144" s="95"/>
      <c r="BN144" s="46"/>
      <c r="BO144" s="46"/>
      <c r="BP144" s="46"/>
    </row>
    <row r="145" spans="1:68" s="91" customFormat="1">
      <c r="A145" s="91">
        <v>81</v>
      </c>
      <c r="B145" s="91">
        <f t="shared" si="52"/>
        <v>4168.6938347033556</v>
      </c>
      <c r="C145" s="91" t="str">
        <f t="shared" si="53"/>
        <v>26192.6758523383j</v>
      </c>
      <c r="D145" s="91">
        <f t="shared" si="54"/>
        <v>0.99994255203871907</v>
      </c>
      <c r="E145" s="91" t="str">
        <f t="shared" si="55"/>
        <v>-0.0119057617510629j</v>
      </c>
      <c r="F145" s="91" t="str">
        <f t="shared" si="56"/>
        <v>0.999942552038719-0.0119057617510629j</v>
      </c>
      <c r="G145" s="91">
        <f t="shared" si="57"/>
        <v>1.1662622191165326E-4</v>
      </c>
      <c r="H145" s="91">
        <f t="shared" si="58"/>
        <v>-0.68215685684523453</v>
      </c>
      <c r="J145" s="91">
        <f t="shared" si="59"/>
        <v>7.1641791044776131</v>
      </c>
      <c r="K145" s="91" t="str">
        <f t="shared" si="60"/>
        <v>1+0.650233178034298j</v>
      </c>
      <c r="L145" s="91">
        <f t="shared" si="61"/>
        <v>0.93085781572974358</v>
      </c>
      <c r="M145" s="91" t="str">
        <f t="shared" si="62"/>
        <v>0.117974548587155j</v>
      </c>
      <c r="N145" s="91" t="str">
        <f t="shared" si="63"/>
        <v>0.930857815729744+0.117974548587155j</v>
      </c>
      <c r="O145" s="91" t="str">
        <f t="shared" si="64"/>
        <v>1.14442577647772+0.553489539386774j</v>
      </c>
      <c r="P145" s="91" t="str">
        <f t="shared" si="65"/>
        <v>8.19887123446725+3.96529819262167j</v>
      </c>
      <c r="R145" s="91">
        <f t="shared" si="66"/>
        <v>11.82089552238806</v>
      </c>
      <c r="S145" s="91" t="str">
        <f t="shared" si="67"/>
        <v>1+0.00196445068892537j</v>
      </c>
      <c r="T145" s="91" t="str">
        <f t="shared" si="68"/>
        <v>0.930857815729744+0.117974548587155j</v>
      </c>
      <c r="U145" s="91" t="str">
        <f t="shared" si="69"/>
        <v>1.05755847625407-0.131921901579995j</v>
      </c>
      <c r="V145" s="91" t="str">
        <f t="shared" si="70"/>
        <v>12.5012882566153-1.55943501569188j</v>
      </c>
      <c r="X145" s="91" t="str">
        <f t="shared" si="71"/>
        <v>1.54365876237932+0.724025652471346j</v>
      </c>
      <c r="Y145" s="91">
        <f t="shared" si="72"/>
        <v>4.6345930186807109</v>
      </c>
      <c r="Z145" s="91">
        <f t="shared" si="73"/>
        <v>-154.87191080157197</v>
      </c>
      <c r="AB145" s="91" t="str">
        <f t="shared" si="74"/>
        <v>11.7018164052174-1.45970734174834j</v>
      </c>
      <c r="AC145" s="91">
        <f t="shared" si="75"/>
        <v>21.432123833647012</v>
      </c>
      <c r="AD145" s="91">
        <f t="shared" si="76"/>
        <v>172.88954209085242</v>
      </c>
      <c r="AF145" s="91" t="str">
        <f t="shared" si="77"/>
        <v>4.10449913240864-1.74216371696548j</v>
      </c>
      <c r="AG145" s="91">
        <f t="shared" si="78"/>
        <v>12.984611080066841</v>
      </c>
      <c r="AH145" s="91">
        <f t="shared" si="79"/>
        <v>157.00109763081633</v>
      </c>
      <c r="AJ145" s="91" t="str">
        <f t="shared" si="80"/>
        <v>46874.9992933838-5.75522654095402j</v>
      </c>
      <c r="AK145" s="91" t="str">
        <f t="shared" si="81"/>
        <v>15000-5.89335206677613E-06j</v>
      </c>
      <c r="AL145" s="91" t="str">
        <f t="shared" si="95"/>
        <v>10000-848413.592696694j</v>
      </c>
      <c r="AM145" s="91" t="str">
        <f t="shared" si="96"/>
        <v>963.075483184612-263308.598758131j</v>
      </c>
      <c r="AN145" s="91" t="str">
        <f t="shared" si="97"/>
        <v>10963.0754831846-263308.598758131j</v>
      </c>
      <c r="AO145" s="91" t="str">
        <f t="shared" si="98"/>
        <v>14916.5538125667-846.282586040261j</v>
      </c>
      <c r="AP145" s="91" t="str">
        <f t="shared" si="99"/>
        <v>0.242424243095398+0.0000225487190190863j</v>
      </c>
      <c r="AQ145" s="91" t="str">
        <f t="shared" si="82"/>
        <v>1+3.58315805659988j</v>
      </c>
      <c r="AR145" s="91">
        <f t="shared" si="83"/>
        <v>9.0614750249578484E-8</v>
      </c>
      <c r="AS145" s="91" t="str">
        <f t="shared" si="84"/>
        <v>0.000199425271551016j</v>
      </c>
      <c r="AT145" s="91" t="str">
        <f t="shared" si="85"/>
        <v>9.06147502495785E-08+0.000199425271551016j</v>
      </c>
      <c r="AU145" s="91" t="str">
        <f t="shared" si="86"/>
        <v>5.39090908839519-1.50187336735162j</v>
      </c>
      <c r="AW145" s="91" t="str">
        <f t="shared" si="100"/>
        <v>1.29987883497795-0.387645005311249j</v>
      </c>
      <c r="AX145" s="91">
        <f t="shared" si="87"/>
        <v>2.6480687953969531</v>
      </c>
      <c r="AY145" s="91">
        <f t="shared" si="88"/>
        <v>163.39456388595647</v>
      </c>
      <c r="AZ145" s="91" t="str">
        <f t="shared" si="89"/>
        <v>14.6450952156949-6.43359336135233j</v>
      </c>
      <c r="BA145" s="91">
        <f t="shared" si="90"/>
        <v>24.080192629043928</v>
      </c>
      <c r="BB145" s="91">
        <f t="shared" si="91"/>
        <v>156.28410597680889</v>
      </c>
      <c r="BD145" s="91" t="str">
        <f t="shared" si="92"/>
        <v>4.66001048708719-3.8556903307325j</v>
      </c>
      <c r="BE145" s="91">
        <f t="shared" si="93"/>
        <v>15.632679875463772</v>
      </c>
      <c r="BF145" s="91">
        <f t="shared" si="94"/>
        <v>140.3956615167728</v>
      </c>
      <c r="BH145" s="91">
        <f t="shared" si="101"/>
        <v>-14.632679875463772</v>
      </c>
      <c r="BI145" s="112">
        <f t="shared" si="102"/>
        <v>-140.3956615167728</v>
      </c>
      <c r="BJ145" s="95"/>
      <c r="BK145" s="95"/>
      <c r="BL145" s="95"/>
      <c r="BM145" s="95"/>
      <c r="BN145" s="46"/>
      <c r="BO145" s="46"/>
      <c r="BP145" s="46"/>
    </row>
    <row r="146" spans="1:68" s="91" customFormat="1">
      <c r="A146" s="91">
        <v>82</v>
      </c>
      <c r="B146" s="91">
        <f t="shared" si="52"/>
        <v>4365.1583224016631</v>
      </c>
      <c r="C146" s="91" t="str">
        <f t="shared" si="53"/>
        <v>27427.0986348268j</v>
      </c>
      <c r="D146" s="91">
        <f t="shared" si="54"/>
        <v>0.99993700956304254</v>
      </c>
      <c r="E146" s="91" t="str">
        <f t="shared" si="55"/>
        <v>-0.0124668630158304j</v>
      </c>
      <c r="F146" s="91" t="str">
        <f t="shared" si="56"/>
        <v>0.999937009563043-0.0124668630158304j</v>
      </c>
      <c r="G146" s="91">
        <f t="shared" si="57"/>
        <v>1.278794599498326E-4</v>
      </c>
      <c r="H146" s="91">
        <f t="shared" si="58"/>
        <v>-0.71430662178217441</v>
      </c>
      <c r="J146" s="91">
        <f t="shared" si="59"/>
        <v>7.1641791044776131</v>
      </c>
      <c r="K146" s="91" t="str">
        <f t="shared" si="60"/>
        <v>1+0.680877723609575j</v>
      </c>
      <c r="L146" s="91">
        <f t="shared" si="61"/>
        <v>0.92418710251394998</v>
      </c>
      <c r="M146" s="91" t="str">
        <f t="shared" si="62"/>
        <v>0.123534517769028j</v>
      </c>
      <c r="N146" s="91" t="str">
        <f t="shared" si="63"/>
        <v>0.92418710251395+0.123534517769028j</v>
      </c>
      <c r="O146" s="91" t="str">
        <f t="shared" si="64"/>
        <v>1.15978745125107+0.581704655520865j</v>
      </c>
      <c r="P146" s="91" t="str">
        <f t="shared" si="65"/>
        <v>8.30892502388826+4.16743633805993j</v>
      </c>
      <c r="R146" s="91">
        <f t="shared" si="66"/>
        <v>11.82089552238806</v>
      </c>
      <c r="S146" s="91" t="str">
        <f t="shared" si="67"/>
        <v>1+0.00205703239761201j</v>
      </c>
      <c r="T146" s="91" t="str">
        <f t="shared" si="68"/>
        <v>0.92418710251395+0.123534517769028j</v>
      </c>
      <c r="U146" s="91" t="str">
        <f t="shared" si="69"/>
        <v>1.06333073713286-0.139907835860682j</v>
      </c>
      <c r="V146" s="91" t="str">
        <f t="shared" si="70"/>
        <v>12.5695215493914-1.65383591047254j</v>
      </c>
      <c r="X146" s="91" t="str">
        <f t="shared" si="71"/>
        <v>1.56514040514148+0.760743293937883j</v>
      </c>
      <c r="Y146" s="91">
        <f t="shared" si="72"/>
        <v>4.8121249854524937</v>
      </c>
      <c r="Z146" s="91">
        <f t="shared" si="73"/>
        <v>-154.07772935835393</v>
      </c>
      <c r="AB146" s="91" t="str">
        <f t="shared" si="74"/>
        <v>11.765686099956-1.54807119006029j</v>
      </c>
      <c r="AC146" s="91">
        <f t="shared" si="75"/>
        <v>21.486886841307463</v>
      </c>
      <c r="AD146" s="91">
        <f t="shared" si="76"/>
        <v>172.50435969360709</v>
      </c>
      <c r="AF146" s="91" t="str">
        <f t="shared" si="77"/>
        <v>4.05144099565535-1.80503872186082j</v>
      </c>
      <c r="AG146" s="91">
        <f t="shared" si="78"/>
        <v>12.938559981215441</v>
      </c>
      <c r="AH146" s="91">
        <f t="shared" si="79"/>
        <v>155.9855910899206</v>
      </c>
      <c r="AJ146" s="91" t="str">
        <f t="shared" si="80"/>
        <v>46874.9992252108-6.02646200276854j</v>
      </c>
      <c r="AK146" s="91" t="str">
        <f t="shared" si="81"/>
        <v>15000-6.17109719283603E-06j</v>
      </c>
      <c r="AL146" s="91" t="str">
        <f t="shared" si="95"/>
        <v>10000-810228.69090515j</v>
      </c>
      <c r="AM146" s="91" t="str">
        <f t="shared" si="96"/>
        <v>963.069344055074-251458.480894048j</v>
      </c>
      <c r="AN146" s="91" t="str">
        <f t="shared" si="97"/>
        <v>10963.0693440551-251458.480894048j</v>
      </c>
      <c r="AO146" s="91" t="str">
        <f t="shared" si="98"/>
        <v>14908.588535435-885.341701586006j</v>
      </c>
      <c r="AP146" s="91" t="str">
        <f t="shared" si="99"/>
        <v>0.24242424316015+0.0000236114074048453j</v>
      </c>
      <c r="AQ146" s="91" t="str">
        <f t="shared" si="82"/>
        <v>1+3.75202709324431j</v>
      </c>
      <c r="AR146" s="91">
        <f t="shared" si="83"/>
        <v>8.9709278283304584E-8</v>
      </c>
      <c r="AS146" s="91" t="str">
        <f t="shared" si="84"/>
        <v>0.000208823895043872j</v>
      </c>
      <c r="AT146" s="91" t="str">
        <f t="shared" si="85"/>
        <v>8.97092782833046E-08+0.000208823895043872j</v>
      </c>
      <c r="AU146" s="91" t="str">
        <f t="shared" si="86"/>
        <v>5.39084283373971-1.43430133470655j</v>
      </c>
      <c r="AW146" s="91" t="str">
        <f t="shared" si="100"/>
        <v>1.2998229412167-0.37237296242112j</v>
      </c>
      <c r="AX146" s="91">
        <f t="shared" si="87"/>
        <v>2.620240138184414</v>
      </c>
      <c r="AY146" s="91">
        <f t="shared" si="88"/>
        <v>164.01406400277466</v>
      </c>
      <c r="AZ146" s="91" t="str">
        <f t="shared" si="89"/>
        <v>14.7168488567957-6.39344183543459j</v>
      </c>
      <c r="BA146" s="91">
        <f t="shared" si="90"/>
        <v>24.107126979491866</v>
      </c>
      <c r="BB146" s="91">
        <f t="shared" si="91"/>
        <v>156.5184236963818</v>
      </c>
      <c r="BD146" s="91" t="str">
        <f t="shared" si="92"/>
        <v>4.59400833499451-3.85487782608571j</v>
      </c>
      <c r="BE146" s="91">
        <f t="shared" si="93"/>
        <v>15.558800119399853</v>
      </c>
      <c r="BF146" s="91">
        <f t="shared" si="94"/>
        <v>139.99965509269535</v>
      </c>
      <c r="BH146" s="91">
        <f t="shared" si="101"/>
        <v>-14.558800119399853</v>
      </c>
      <c r="BI146" s="112">
        <f t="shared" si="102"/>
        <v>-139.99965509269535</v>
      </c>
      <c r="BJ146" s="95"/>
      <c r="BK146" s="95"/>
      <c r="BL146" s="95"/>
      <c r="BM146" s="95"/>
      <c r="BN146" s="46"/>
      <c r="BO146" s="46"/>
      <c r="BP146" s="46"/>
    </row>
    <row r="147" spans="1:68" s="91" customFormat="1">
      <c r="A147" s="91">
        <v>83</v>
      </c>
      <c r="B147" s="91">
        <f t="shared" si="52"/>
        <v>4570.8818961487532</v>
      </c>
      <c r="C147" s="91" t="str">
        <f t="shared" si="53"/>
        <v>28719.697970735j</v>
      </c>
      <c r="D147" s="91">
        <f t="shared" si="54"/>
        <v>0.99993093235931063</v>
      </c>
      <c r="E147" s="91" t="str">
        <f t="shared" si="55"/>
        <v>-0.0130544081685159j</v>
      </c>
      <c r="F147" s="91" t="str">
        <f t="shared" si="56"/>
        <v>0.999930932359311-0.0130544081685159j</v>
      </c>
      <c r="G147" s="91">
        <f t="shared" si="57"/>
        <v>1.4021866324647123E-4</v>
      </c>
      <c r="H147" s="91">
        <f t="shared" si="58"/>
        <v>-0.74797166255969838</v>
      </c>
      <c r="J147" s="91">
        <f t="shared" si="59"/>
        <v>7.1641791044776131</v>
      </c>
      <c r="K147" s="91" t="str">
        <f t="shared" si="60"/>
        <v>1+0.712966502123496j</v>
      </c>
      <c r="L147" s="91">
        <f t="shared" si="61"/>
        <v>0.91687281092010764</v>
      </c>
      <c r="M147" s="91" t="str">
        <f t="shared" si="62"/>
        <v>0.12935652022565j</v>
      </c>
      <c r="N147" s="91" t="str">
        <f t="shared" si="63"/>
        <v>0.916872810920108+0.12935652022565j</v>
      </c>
      <c r="O147" s="91" t="str">
        <f t="shared" si="64"/>
        <v>1.17694516792971+0.611558074386584j</v>
      </c>
      <c r="P147" s="91" t="str">
        <f t="shared" si="65"/>
        <v>8.43184597919792+4.38131157769493j</v>
      </c>
      <c r="R147" s="91">
        <f t="shared" si="66"/>
        <v>11.82089552238806</v>
      </c>
      <c r="S147" s="91" t="str">
        <f t="shared" si="67"/>
        <v>1+0.00215397734780513j</v>
      </c>
      <c r="T147" s="91" t="str">
        <f t="shared" si="68"/>
        <v>0.916872810920108+0.12935652022565j</v>
      </c>
      <c r="U147" s="91" t="str">
        <f t="shared" si="69"/>
        <v>1.06970300635139-0.148569223131426j</v>
      </c>
      <c r="V147" s="91" t="str">
        <f t="shared" si="70"/>
        <v>12.6448474780642-1.75622126447895j</v>
      </c>
      <c r="X147" s="91" t="str">
        <f t="shared" si="71"/>
        <v>1.58912245240075+0.799560979687074j</v>
      </c>
      <c r="Y147" s="91">
        <f t="shared" si="72"/>
        <v>5.0031991187767417</v>
      </c>
      <c r="Z147" s="91">
        <f t="shared" si="73"/>
        <v>-153.29091757640361</v>
      </c>
      <c r="AB147" s="91" t="str">
        <f t="shared" si="74"/>
        <v>11.8361948483176-1.64390888219031j</v>
      </c>
      <c r="AC147" s="91">
        <f t="shared" si="75"/>
        <v>21.547219572658648</v>
      </c>
      <c r="AD147" s="91">
        <f t="shared" si="76"/>
        <v>172.09287086837344</v>
      </c>
      <c r="AF147" s="91" t="str">
        <f t="shared" si="77"/>
        <v>3.99449003002478-1.86848916298316j</v>
      </c>
      <c r="AG147" s="91">
        <f t="shared" si="78"/>
        <v>12.888571331469471</v>
      </c>
      <c r="AH147" s="91">
        <f t="shared" si="79"/>
        <v>154.93137539575773</v>
      </c>
      <c r="AJ147" s="91" t="str">
        <f t="shared" si="80"/>
        <v>46874.9991504605-6.31048039677976j</v>
      </c>
      <c r="AK147" s="91" t="str">
        <f t="shared" si="81"/>
        <v>15000-6.46193204341538E-06j</v>
      </c>
      <c r="AL147" s="91" t="str">
        <f t="shared" si="95"/>
        <v>10000-773762.392796272j</v>
      </c>
      <c r="AM147" s="91" t="str">
        <f t="shared" si="96"/>
        <v>963.062612723344-240141.740171474j</v>
      </c>
      <c r="AN147" s="91" t="str">
        <f t="shared" si="97"/>
        <v>10963.0626127233-240141.740171474j</v>
      </c>
      <c r="AO147" s="91" t="str">
        <f t="shared" si="98"/>
        <v>14899.87186731-926.121249927913j</v>
      </c>
      <c r="AP147" s="91" t="str">
        <f t="shared" si="99"/>
        <v>0.242424243231149+0.0000247241787509567j</v>
      </c>
      <c r="AQ147" s="91" t="str">
        <f t="shared" si="82"/>
        <v>1+3.92885468239655j</v>
      </c>
      <c r="AR147" s="91">
        <f t="shared" si="83"/>
        <v>8.8716448015066316E-8</v>
      </c>
      <c r="AS147" s="91" t="str">
        <f t="shared" si="84"/>
        <v>0.000218665462015623j</v>
      </c>
      <c r="AT147" s="91" t="str">
        <f t="shared" si="85"/>
        <v>8.87164480150663E-08+0.000218665462015623j</v>
      </c>
      <c r="AU147" s="91" t="str">
        <f t="shared" si="86"/>
        <v>5.39078240856075-1.36977164190333j</v>
      </c>
      <c r="AW147" s="91" t="str">
        <f t="shared" si="100"/>
        <v>1.29976462045953-0.357890630512745j</v>
      </c>
      <c r="AX147" s="91">
        <f t="shared" si="87"/>
        <v>2.5946815226572726</v>
      </c>
      <c r="AY147" s="91">
        <f t="shared" si="88"/>
        <v>164.60508869743404</v>
      </c>
      <c r="AZ147" s="91" t="str">
        <f t="shared" si="89"/>
        <v>14.7959277183559-6.37275784146622j</v>
      </c>
      <c r="BA147" s="91">
        <f t="shared" si="90"/>
        <v>24.141901095315884</v>
      </c>
      <c r="BB147" s="91">
        <f t="shared" si="91"/>
        <v>156.69795956580742</v>
      </c>
      <c r="BD147" s="91" t="str">
        <f t="shared" si="92"/>
        <v>4.52318205315824-3.85818666317998j</v>
      </c>
      <c r="BE147" s="91">
        <f t="shared" si="93"/>
        <v>15.483252854126711</v>
      </c>
      <c r="BF147" s="91">
        <f t="shared" si="94"/>
        <v>139.53646409319174</v>
      </c>
      <c r="BH147" s="91">
        <f t="shared" si="101"/>
        <v>-14.483252854126711</v>
      </c>
      <c r="BI147" s="112">
        <f t="shared" si="102"/>
        <v>-139.53646409319174</v>
      </c>
      <c r="BJ147" s="95"/>
      <c r="BK147" s="95"/>
      <c r="BL147" s="95"/>
      <c r="BM147" s="95"/>
      <c r="BN147" s="46"/>
      <c r="BO147" s="46"/>
      <c r="BP147" s="46"/>
    </row>
    <row r="148" spans="1:68" s="91" customFormat="1">
      <c r="A148" s="91">
        <v>84</v>
      </c>
      <c r="B148" s="91">
        <f t="shared" si="52"/>
        <v>4786.3009232263857</v>
      </c>
      <c r="C148" s="91" t="str">
        <f t="shared" si="53"/>
        <v>30073.2156365561j</v>
      </c>
      <c r="D148" s="91">
        <f t="shared" si="54"/>
        <v>0.99992426883792507</v>
      </c>
      <c r="E148" s="91" t="str">
        <f t="shared" si="55"/>
        <v>-0.0136696434711619j</v>
      </c>
      <c r="F148" s="91" t="str">
        <f t="shared" si="56"/>
        <v>0.999924268837925-0.0136696434711619j</v>
      </c>
      <c r="G148" s="91">
        <f t="shared" si="57"/>
        <v>1.5374865901397159E-4</v>
      </c>
      <c r="H148" s="91">
        <f t="shared" si="58"/>
        <v>-0.78322340734729312</v>
      </c>
      <c r="J148" s="91">
        <f t="shared" si="59"/>
        <v>7.1641791044776131</v>
      </c>
      <c r="K148" s="91" t="str">
        <f t="shared" si="60"/>
        <v>1+0.746567578177505j</v>
      </c>
      <c r="L148" s="91">
        <f t="shared" si="61"/>
        <v>0.90885284966722613</v>
      </c>
      <c r="M148" s="91" t="str">
        <f t="shared" si="62"/>
        <v>0.135452905204802j</v>
      </c>
      <c r="N148" s="91" t="str">
        <f t="shared" si="63"/>
        <v>0.908852849667226+0.135452905204802j</v>
      </c>
      <c r="O148" s="91" t="str">
        <f t="shared" si="64"/>
        <v>1.19614431123627+0.643169415588436j</v>
      </c>
      <c r="P148" s="91" t="str">
        <f t="shared" si="65"/>
        <v>8.56939208049865+4.60778088779775j</v>
      </c>
      <c r="R148" s="91">
        <f t="shared" si="66"/>
        <v>11.82089552238806</v>
      </c>
      <c r="S148" s="91" t="str">
        <f t="shared" si="67"/>
        <v>1+0.00225549117274171j</v>
      </c>
      <c r="T148" s="91" t="str">
        <f t="shared" si="68"/>
        <v>0.908852849667226+0.135452905204802j</v>
      </c>
      <c r="U148" s="91" t="str">
        <f t="shared" si="69"/>
        <v>1.07674131236044-0.157992845368848j</v>
      </c>
      <c r="V148" s="91" t="str">
        <f t="shared" si="70"/>
        <v>12.7280465580518-1.86761691838996j</v>
      </c>
      <c r="X148" s="91" t="str">
        <f t="shared" si="71"/>
        <v>1.61594414407365+0.840626413826005j</v>
      </c>
      <c r="Y148" s="91">
        <f t="shared" si="72"/>
        <v>5.2086698946309831</v>
      </c>
      <c r="Z148" s="91">
        <f t="shared" si="73"/>
        <v>-152.51620659815217</v>
      </c>
      <c r="AB148" s="91" t="str">
        <f t="shared" si="74"/>
        <v>11.914073250856-1.74818065511867j</v>
      </c>
      <c r="AC148" s="91">
        <f t="shared" si="75"/>
        <v>21.613718270936431</v>
      </c>
      <c r="AD148" s="91">
        <f t="shared" si="76"/>
        <v>171.65242107924033</v>
      </c>
      <c r="AF148" s="91" t="str">
        <f t="shared" si="77"/>
        <v>3.93347085850797-1.93228902392536j</v>
      </c>
      <c r="AG148" s="91">
        <f t="shared" si="78"/>
        <v>12.834354290903763</v>
      </c>
      <c r="AH148" s="91">
        <f t="shared" si="79"/>
        <v>153.83775618218678</v>
      </c>
      <c r="AJ148" s="91" t="str">
        <f t="shared" si="80"/>
        <v>46874.9990684985-6.60788416382964j</v>
      </c>
      <c r="AK148" s="91" t="str">
        <f t="shared" si="81"/>
        <v>15000-6.76647351822513E-06j</v>
      </c>
      <c r="AL148" s="91" t="str">
        <f t="shared" si="95"/>
        <v>10000-738937.348462651j</v>
      </c>
      <c r="AM148" s="91" t="str">
        <f t="shared" si="96"/>
        <v>963.055232073015-229334.37226458j</v>
      </c>
      <c r="AN148" s="91" t="str">
        <f t="shared" si="97"/>
        <v>10963.055232073-229334.37226458j</v>
      </c>
      <c r="AO148" s="91" t="str">
        <f t="shared" si="98"/>
        <v>14890.3347077774-968.684952510822j</v>
      </c>
      <c r="AP148" s="91" t="str">
        <f t="shared" si="99"/>
        <v>0.242424243308998+0.0000258893933945798j</v>
      </c>
      <c r="AQ148" s="91" t="str">
        <f t="shared" si="82"/>
        <v>1+4.11401589908087j</v>
      </c>
      <c r="AR148" s="91">
        <f t="shared" si="83"/>
        <v>8.7627831273472069E-8</v>
      </c>
      <c r="AS148" s="91" t="str">
        <f t="shared" si="84"/>
        <v>0.000228970847749298j</v>
      </c>
      <c r="AT148" s="91" t="str">
        <f t="shared" si="85"/>
        <v>8.76278312734721E-08+0.000228970847749298j</v>
      </c>
      <c r="AU148" s="91" t="str">
        <f t="shared" si="86"/>
        <v>5.39072729990745-1.30814741353309j</v>
      </c>
      <c r="AW148" s="91" t="str">
        <f t="shared" si="100"/>
        <v>1.29970337840089-0.344167269972424j</v>
      </c>
      <c r="AX148" s="91">
        <f t="shared" si="87"/>
        <v>2.5712154862289651</v>
      </c>
      <c r="AY148" s="91">
        <f t="shared" si="88"/>
        <v>165.16824114724884</v>
      </c>
      <c r="AZ148" s="91" t="str">
        <f t="shared" si="89"/>
        <v>14.8830946911624-6.37255036851142j</v>
      </c>
      <c r="BA148" s="91">
        <f t="shared" si="90"/>
        <v>24.184933757165389</v>
      </c>
      <c r="BB148" s="91">
        <f t="shared" si="91"/>
        <v>156.82066222648911</v>
      </c>
      <c r="BD148" s="91" t="str">
        <f t="shared" si="92"/>
        <v>4.44731472548218-3.86517449933152j</v>
      </c>
      <c r="BE148" s="91">
        <f t="shared" si="93"/>
        <v>15.405569777132715</v>
      </c>
      <c r="BF148" s="91">
        <f t="shared" si="94"/>
        <v>139.00599732943559</v>
      </c>
      <c r="BH148" s="91">
        <f t="shared" si="101"/>
        <v>-14.405569777132715</v>
      </c>
      <c r="BI148" s="112">
        <f t="shared" si="102"/>
        <v>-139.00599732943559</v>
      </c>
      <c r="BJ148" s="95"/>
      <c r="BK148" s="95"/>
      <c r="BL148" s="95"/>
      <c r="BM148" s="95"/>
      <c r="BN148" s="46"/>
      <c r="BO148" s="46"/>
      <c r="BP148" s="46"/>
    </row>
    <row r="149" spans="1:68" s="91" customFormat="1">
      <c r="A149" s="91">
        <v>85</v>
      </c>
      <c r="B149" s="91">
        <f t="shared" si="52"/>
        <v>5011.8723362727242</v>
      </c>
      <c r="C149" s="91" t="str">
        <f t="shared" si="53"/>
        <v>31490.5226247286j</v>
      </c>
      <c r="D149" s="91">
        <f t="shared" si="54"/>
        <v>0.99991696243201622</v>
      </c>
      <c r="E149" s="91" t="str">
        <f t="shared" si="55"/>
        <v>-0.0143138739203312j</v>
      </c>
      <c r="F149" s="91" t="str">
        <f t="shared" si="56"/>
        <v>0.999916962432016-0.0143138739203312j</v>
      </c>
      <c r="G149" s="91">
        <f t="shared" si="57"/>
        <v>1.6858439919097151E-4</v>
      </c>
      <c r="H149" s="91">
        <f t="shared" si="58"/>
        <v>-0.82013665290387605</v>
      </c>
      <c r="J149" s="91">
        <f t="shared" si="59"/>
        <v>7.1641791044776131</v>
      </c>
      <c r="K149" s="91" t="str">
        <f t="shared" si="60"/>
        <v>1+0.781752224158887j</v>
      </c>
      <c r="L149" s="91">
        <f t="shared" si="61"/>
        <v>0.90005913701952833</v>
      </c>
      <c r="M149" s="91" t="str">
        <f t="shared" si="62"/>
        <v>0.14183660395638j</v>
      </c>
      <c r="N149" s="91" t="str">
        <f t="shared" si="63"/>
        <v>0.900059137019528+0.14183660395638j</v>
      </c>
      <c r="O149" s="91" t="str">
        <f t="shared" si="64"/>
        <v>1.21767153144923+0.676668681371934j</v>
      </c>
      <c r="P149" s="91" t="str">
        <f t="shared" si="65"/>
        <v>8.72361694172583+4.84777562773923j</v>
      </c>
      <c r="R149" s="91">
        <f t="shared" si="66"/>
        <v>11.82089552238806</v>
      </c>
      <c r="S149" s="91" t="str">
        <f t="shared" si="67"/>
        <v>1+0.00236178919685464j</v>
      </c>
      <c r="T149" s="91" t="str">
        <f t="shared" si="68"/>
        <v>0.900059137019528+0.14183660395638j</v>
      </c>
      <c r="U149" s="91" t="str">
        <f t="shared" si="69"/>
        <v>1.08451941489155-0.168280899894732j</v>
      </c>
      <c r="V149" s="91" t="str">
        <f t="shared" si="70"/>
        <v>12.8199906954344-1.98923093606907j</v>
      </c>
      <c r="X149" s="91" t="str">
        <f t="shared" si="71"/>
        <v>1.64600126596464+0.884098942052436j</v>
      </c>
      <c r="Y149" s="91">
        <f t="shared" si="72"/>
        <v>5.4294376627215239</v>
      </c>
      <c r="Z149" s="91">
        <f t="shared" si="73"/>
        <v>-151.75889919400981</v>
      </c>
      <c r="AB149" s="91" t="str">
        <f t="shared" si="74"/>
        <v>12.0001374542486-1.86201731562674j</v>
      </c>
      <c r="AC149" s="91">
        <f t="shared" si="75"/>
        <v>21.687048800409343</v>
      </c>
      <c r="AD149" s="91">
        <f t="shared" si="76"/>
        <v>171.17996070059212</v>
      </c>
      <c r="AF149" s="91" t="str">
        <f t="shared" si="77"/>
        <v>3.86821928460168-1.99618418959611j</v>
      </c>
      <c r="AG149" s="91">
        <f t="shared" si="78"/>
        <v>12.77560436571807</v>
      </c>
      <c r="AH149" s="91">
        <f t="shared" si="79"/>
        <v>152.70412491703118</v>
      </c>
      <c r="AJ149" s="91" t="str">
        <f t="shared" si="80"/>
        <v>46874.9989786289-6.91930413689362j</v>
      </c>
      <c r="AK149" s="91" t="str">
        <f t="shared" si="81"/>
        <v>15000-7.08536759056394E-06j</v>
      </c>
      <c r="AL149" s="91" t="str">
        <f t="shared" si="95"/>
        <v>10000-705679.689316166j</v>
      </c>
      <c r="AM149" s="91" t="str">
        <f t="shared" si="96"/>
        <v>963.047139480896-219013.453295349j</v>
      </c>
      <c r="AN149" s="91" t="str">
        <f t="shared" si="97"/>
        <v>10963.0471394809-219013.453295349j</v>
      </c>
      <c r="AO149" s="91" t="str">
        <f t="shared" si="98"/>
        <v>14879.9019561621-1013.09708162937j</v>
      </c>
      <c r="AP149" s="91" t="str">
        <f t="shared" si="99"/>
        <v>0.242424243394358+0.0000271095229121302j</v>
      </c>
      <c r="AQ149" s="91" t="str">
        <f t="shared" si="82"/>
        <v>1+4.30790349506287j</v>
      </c>
      <c r="AR149" s="91">
        <f t="shared" si="83"/>
        <v>8.6434186752357512E-8</v>
      </c>
      <c r="AS149" s="91" t="str">
        <f t="shared" si="84"/>
        <v>0.000239761911349706j</v>
      </c>
      <c r="AT149" s="91" t="str">
        <f t="shared" si="85"/>
        <v>8.64341867523575E-08+0.000239761911349706j</v>
      </c>
      <c r="AU149" s="91" t="str">
        <f t="shared" si="86"/>
        <v>5.39067703996113-1.24929793697348j</v>
      </c>
      <c r="AW149" s="91" t="str">
        <f t="shared" si="100"/>
        <v>1.29963869609408-0.331173747963287j</v>
      </c>
      <c r="AX149" s="91">
        <f t="shared" si="87"/>
        <v>2.549676178956362</v>
      </c>
      <c r="AY149" s="91">
        <f t="shared" si="88"/>
        <v>165.70413977807115</v>
      </c>
      <c r="AZ149" s="91" t="str">
        <f t="shared" si="89"/>
        <v>14.9791917408008-6.39408025298388j</v>
      </c>
      <c r="BA149" s="91">
        <f t="shared" si="90"/>
        <v>24.236724979365736</v>
      </c>
      <c r="BB149" s="91">
        <f t="shared" si="91"/>
        <v>156.8841004786633</v>
      </c>
      <c r="BD149" s="91" t="str">
        <f t="shared" si="92"/>
        <v>4.36620366755212-3.87537089575573j</v>
      </c>
      <c r="BE149" s="91">
        <f t="shared" si="93"/>
        <v>15.325280544674474</v>
      </c>
      <c r="BF149" s="91">
        <f t="shared" si="94"/>
        <v>138.4082646951023</v>
      </c>
      <c r="BH149" s="91">
        <f t="shared" si="101"/>
        <v>-14.325280544674474</v>
      </c>
      <c r="BI149" s="112">
        <f t="shared" si="102"/>
        <v>-138.4082646951023</v>
      </c>
      <c r="BJ149" s="95"/>
      <c r="BK149" s="95"/>
      <c r="BL149" s="95"/>
      <c r="BM149" s="95"/>
      <c r="BN149" s="46"/>
      <c r="BO149" s="46"/>
      <c r="BP149" s="46"/>
    </row>
    <row r="150" spans="1:68" s="91" customFormat="1">
      <c r="A150" s="91">
        <v>86</v>
      </c>
      <c r="B150" s="91">
        <f t="shared" si="52"/>
        <v>5248.0746024977288</v>
      </c>
      <c r="C150" s="91" t="str">
        <f t="shared" si="53"/>
        <v>32974.6252333961j</v>
      </c>
      <c r="D150" s="91">
        <f t="shared" si="54"/>
        <v>0.99990895111724498</v>
      </c>
      <c r="E150" s="91" t="str">
        <f t="shared" si="55"/>
        <v>-0.01498846601518j</v>
      </c>
      <c r="F150" s="91" t="str">
        <f t="shared" si="56"/>
        <v>0.999908951117245-0.01498846601518j</v>
      </c>
      <c r="G150" s="91">
        <f t="shared" si="57"/>
        <v>1.8485193949181392E-4</v>
      </c>
      <c r="H150" s="91">
        <f t="shared" si="58"/>
        <v>-0.85878972367263506</v>
      </c>
      <c r="J150" s="91">
        <f t="shared" si="59"/>
        <v>7.1641791044776131</v>
      </c>
      <c r="K150" s="91" t="str">
        <f t="shared" si="60"/>
        <v>1+0.818595071419058j</v>
      </c>
      <c r="L150" s="91">
        <f t="shared" si="61"/>
        <v>0.89041702283817925</v>
      </c>
      <c r="M150" s="91" t="str">
        <f t="shared" si="62"/>
        <v>0.148521157161315j</v>
      </c>
      <c r="N150" s="91" t="str">
        <f t="shared" si="63"/>
        <v>0.890417022838179+0.148521157161315j</v>
      </c>
      <c r="O150" s="91" t="str">
        <f t="shared" si="64"/>
        <v>1.24186336660143+0.712196724579485j</v>
      </c>
      <c r="P150" s="91" t="str">
        <f t="shared" si="65"/>
        <v>8.89693158162219+5.10230489250974j</v>
      </c>
      <c r="R150" s="91">
        <f t="shared" si="66"/>
        <v>11.82089552238806</v>
      </c>
      <c r="S150" s="91" t="str">
        <f t="shared" si="67"/>
        <v>1+0.00247309689250471j</v>
      </c>
      <c r="T150" s="91" t="str">
        <f t="shared" si="68"/>
        <v>0.890417022838179+0.148521157161315j</v>
      </c>
      <c r="U150" s="91" t="str">
        <f t="shared" si="69"/>
        <v>1.09311968025218-0.179554409713269j</v>
      </c>
      <c r="V150" s="91" t="str">
        <f t="shared" si="70"/>
        <v>12.9216535337273-2.12249391780461j</v>
      </c>
      <c r="X150" s="91" t="str">
        <f t="shared" si="71"/>
        <v>1.67975785431772+0.930149671349512j</v>
      </c>
      <c r="Y150" s="91">
        <f t="shared" si="72"/>
        <v>5.6664543943665358</v>
      </c>
      <c r="Z150" s="91">
        <f t="shared" si="73"/>
        <v>-151.02493240727875</v>
      </c>
      <c r="AB150" s="91" t="str">
        <f t="shared" si="74"/>
        <v>12.0952988363812-1.98675797545881j</v>
      </c>
      <c r="AC150" s="91">
        <f t="shared" si="75"/>
        <v>21.76795579982738</v>
      </c>
      <c r="AD150" s="91">
        <f t="shared" si="76"/>
        <v>170.67196789498647</v>
      </c>
      <c r="AF150" s="91" t="str">
        <f t="shared" si="77"/>
        <v>3.79858613150601-2.05989194448219j</v>
      </c>
      <c r="AG150" s="91">
        <f t="shared" si="78"/>
        <v>12.712004079001309</v>
      </c>
      <c r="AH150" s="91">
        <f t="shared" si="79"/>
        <v>151.52997089528751</v>
      </c>
      <c r="AJ150" s="91" t="str">
        <f t="shared" si="80"/>
        <v>46874.9988800888-7.24540087915682j</v>
      </c>
      <c r="AK150" s="91" t="str">
        <f t="shared" si="81"/>
        <v>15000-7.41929067751413E-06j</v>
      </c>
      <c r="AL150" s="91" t="str">
        <f t="shared" si="95"/>
        <v>10000-673918.871402852j</v>
      </c>
      <c r="AM150" s="91" t="str">
        <f t="shared" si="96"/>
        <v>963.038266286388-209157.091208928j</v>
      </c>
      <c r="AN150" s="91" t="str">
        <f t="shared" si="97"/>
        <v>10963.0382662864-209157.091208928j</v>
      </c>
      <c r="AO150" s="91" t="str">
        <f t="shared" si="98"/>
        <v>14868.4920613-1059.42215307348j</v>
      </c>
      <c r="AP150" s="91" t="str">
        <f t="shared" si="99"/>
        <v>0.242424243487953+0.0000283871553618245j</v>
      </c>
      <c r="AQ150" s="91" t="str">
        <f t="shared" si="82"/>
        <v>1+4.51092873192859j</v>
      </c>
      <c r="AR150" s="91">
        <f t="shared" si="83"/>
        <v>8.5125381561009649E-8</v>
      </c>
      <c r="AS150" s="91" t="str">
        <f t="shared" si="84"/>
        <v>0.000251061542109527j</v>
      </c>
      <c r="AT150" s="91" t="str">
        <f t="shared" si="85"/>
        <v>8.51253815610096E-08+0.000251061542109527j</v>
      </c>
      <c r="AU150" s="91" t="str">
        <f t="shared" si="86"/>
        <v>5.39063120206371-1.19309838514173j</v>
      </c>
      <c r="AW150" s="91" t="str">
        <f t="shared" si="100"/>
        <v>1.29957002557778-0.318882476178198j</v>
      </c>
      <c r="AX150" s="91">
        <f t="shared" si="87"/>
        <v>2.5299088788939543</v>
      </c>
      <c r="AY150" s="91">
        <f t="shared" si="88"/>
        <v>166.21341180827704</v>
      </c>
      <c r="AZ150" s="91" t="str">
        <f t="shared" si="89"/>
        <v>15.0851455153857-6.43890995604438j</v>
      </c>
      <c r="BA150" s="91">
        <f t="shared" si="90"/>
        <v>24.297864678721325</v>
      </c>
      <c r="BB150" s="91">
        <f t="shared" si="91"/>
        <v>156.88537970326345</v>
      </c>
      <c r="BD150" s="91" t="str">
        <f t="shared" si="92"/>
        <v>4.27966523216465-3.88827637856897j</v>
      </c>
      <c r="BE150" s="91">
        <f t="shared" si="93"/>
        <v>15.241912957895238</v>
      </c>
      <c r="BF150" s="91">
        <f t="shared" si="94"/>
        <v>137.74338270356455</v>
      </c>
      <c r="BH150" s="91">
        <f t="shared" si="101"/>
        <v>-14.241912957895238</v>
      </c>
      <c r="BI150" s="112">
        <f t="shared" si="102"/>
        <v>-137.74338270356455</v>
      </c>
      <c r="BJ150" s="95"/>
      <c r="BK150" s="95"/>
      <c r="BL150" s="95"/>
      <c r="BM150" s="95"/>
      <c r="BN150" s="46"/>
      <c r="BO150" s="46"/>
      <c r="BP150" s="46"/>
    </row>
    <row r="151" spans="1:68" s="91" customFormat="1">
      <c r="A151" s="91">
        <v>87</v>
      </c>
      <c r="B151" s="91">
        <f t="shared" si="52"/>
        <v>5495.4087385762468</v>
      </c>
      <c r="C151" s="91" t="str">
        <f t="shared" si="53"/>
        <v>34528.6714431686j</v>
      </c>
      <c r="D151" s="91">
        <f t="shared" si="54"/>
        <v>0.99990016688527594</v>
      </c>
      <c r="E151" s="91" t="str">
        <f t="shared" si="55"/>
        <v>-0.0156948506559857j</v>
      </c>
      <c r="F151" s="91" t="str">
        <f t="shared" si="56"/>
        <v>0.999900166885276-0.0156948506559857j</v>
      </c>
      <c r="G151" s="91">
        <f t="shared" si="57"/>
        <v>2.0268951341356273E-4</v>
      </c>
      <c r="H151" s="91">
        <f t="shared" si="58"/>
        <v>-0.89926463842377136</v>
      </c>
      <c r="J151" s="91">
        <f t="shared" si="59"/>
        <v>7.1641791044776131</v>
      </c>
      <c r="K151" s="91" t="str">
        <f t="shared" si="60"/>
        <v>1+0.85717426857666j</v>
      </c>
      <c r="L151" s="91">
        <f t="shared" si="61"/>
        <v>0.87984465487360641</v>
      </c>
      <c r="M151" s="91" t="str">
        <f t="shared" si="62"/>
        <v>0.155520743653167j</v>
      </c>
      <c r="N151" s="91" t="str">
        <f t="shared" si="63"/>
        <v>0.879844654873606+0.155520743653167j</v>
      </c>
      <c r="O151" s="91" t="str">
        <f t="shared" si="64"/>
        <v>1.26911703862485+0.749905383060605j</v>
      </c>
      <c r="P151" s="91" t="str">
        <f t="shared" si="65"/>
        <v>9.09218176925266+5.37245647565807j</v>
      </c>
      <c r="R151" s="91">
        <f t="shared" si="66"/>
        <v>11.82089552238806</v>
      </c>
      <c r="S151" s="91" t="str">
        <f t="shared" si="67"/>
        <v>1+0.00258965035823764j</v>
      </c>
      <c r="T151" s="91" t="str">
        <f t="shared" si="68"/>
        <v>0.879844654873606+0.155520743653167j</v>
      </c>
      <c r="U151" s="91" t="str">
        <f t="shared" si="69"/>
        <v>1.10263398958393-0.191957531075047j</v>
      </c>
      <c r="V151" s="91" t="str">
        <f t="shared" si="70"/>
        <v>13.0341211903056-2.26910991957369j</v>
      </c>
      <c r="X151" s="91" t="str">
        <f t="shared" si="71"/>
        <v>1.71776082348027+0.97896100813674j</v>
      </c>
      <c r="Y151" s="91">
        <f t="shared" si="72"/>
        <v>5.9207310327433804</v>
      </c>
      <c r="Z151" s="91">
        <f t="shared" si="73"/>
        <v>-150.32095505399315</v>
      </c>
      <c r="AB151" s="91" t="str">
        <f t="shared" si="74"/>
        <v>12.2005740561657-2.12399771424021j</v>
      </c>
      <c r="AC151" s="91">
        <f t="shared" si="75"/>
        <v>21.857273168733677</v>
      </c>
      <c r="AD151" s="91">
        <f t="shared" si="76"/>
        <v>170.12435316112072</v>
      </c>
      <c r="AF151" s="91" t="str">
        <f t="shared" si="77"/>
        <v>3.72444142300702-2.12310097143296j</v>
      </c>
      <c r="AG151" s="91">
        <f t="shared" si="78"/>
        <v>12.643223893107557</v>
      </c>
      <c r="AH151" s="91">
        <f t="shared" si="79"/>
        <v>150.31489337702365</v>
      </c>
      <c r="AJ151" s="91" t="str">
        <f t="shared" si="80"/>
        <v>46874.9987720418-7.58686608515047j</v>
      </c>
      <c r="AK151" s="91" t="str">
        <f t="shared" si="81"/>
        <v>15000-7.76895107471293E-06j</v>
      </c>
      <c r="AL151" s="91" t="str">
        <f t="shared" si="95"/>
        <v>10000-643587.525769654j</v>
      </c>
      <c r="AM151" s="91" t="str">
        <f t="shared" si="96"/>
        <v>963.028537210028-199744.379337602j</v>
      </c>
      <c r="AN151" s="91" t="str">
        <f t="shared" si="97"/>
        <v>10963.02853721-199744.379337602j</v>
      </c>
      <c r="AO151" s="91" t="str">
        <f t="shared" si="98"/>
        <v>14856.0165520148-1107.72456230321j</v>
      </c>
      <c r="AP151" s="91" t="str">
        <f t="shared" si="99"/>
        <v>0.242424243590578+0.0000297250007732959j</v>
      </c>
      <c r="AQ151" s="91" t="str">
        <f t="shared" si="82"/>
        <v>1+4.72352225342546j</v>
      </c>
      <c r="AR151" s="91">
        <f t="shared" si="83"/>
        <v>8.3690305205697635E-8</v>
      </c>
      <c r="AS151" s="91" t="str">
        <f t="shared" si="84"/>
        <v>0.000262893708060568j</v>
      </c>
      <c r="AT151" s="91" t="str">
        <f t="shared" si="85"/>
        <v>8.36903052056976E-08+0.000262893708060568j</v>
      </c>
      <c r="AU151" s="91" t="str">
        <f t="shared" si="86"/>
        <v>5.39058939709614-1.13942955173011j</v>
      </c>
      <c r="AW151" s="91" t="str">
        <f t="shared" si="100"/>
        <v>1.29949678526277-0.307267351801242j</v>
      </c>
      <c r="AX151" s="91">
        <f t="shared" si="87"/>
        <v>2.5117694713503336</v>
      </c>
      <c r="AY151" s="91">
        <f t="shared" si="88"/>
        <v>166.69668748482755</v>
      </c>
      <c r="AZ151" s="91" t="str">
        <f t="shared" si="89"/>
        <v>15.2019716114612-6.50896628225358j</v>
      </c>
      <c r="BA151" s="91">
        <f t="shared" si="90"/>
        <v>24.369042640084007</v>
      </c>
      <c r="BB151" s="91">
        <f t="shared" si="91"/>
        <v>156.8210406459483</v>
      </c>
      <c r="BD151" s="91" t="str">
        <f t="shared" si="92"/>
        <v>4.18754004299828-3.90336214015161j</v>
      </c>
      <c r="BE151" s="91">
        <f t="shared" si="93"/>
        <v>15.154993364457898</v>
      </c>
      <c r="BF151" s="91">
        <f t="shared" si="94"/>
        <v>137.01158086185126</v>
      </c>
      <c r="BH151" s="91">
        <f t="shared" si="101"/>
        <v>-14.154993364457898</v>
      </c>
      <c r="BI151" s="112">
        <f t="shared" si="102"/>
        <v>-137.01158086185126</v>
      </c>
      <c r="BJ151" s="95"/>
      <c r="BK151" s="95"/>
      <c r="BL151" s="95"/>
      <c r="BM151" s="95"/>
      <c r="BN151" s="46"/>
      <c r="BO151" s="46"/>
      <c r="BP151" s="46"/>
    </row>
    <row r="152" spans="1:68" s="91" customFormat="1">
      <c r="A152" s="91">
        <v>88</v>
      </c>
      <c r="B152" s="91">
        <f t="shared" si="52"/>
        <v>5754.3993733715697</v>
      </c>
      <c r="C152" s="91" t="str">
        <f t="shared" si="53"/>
        <v>36155.9575944117j</v>
      </c>
      <c r="D152" s="91">
        <f t="shared" si="54"/>
        <v>0.99989053516645199</v>
      </c>
      <c r="E152" s="91" t="str">
        <f t="shared" si="55"/>
        <v>-0.016434526179278j</v>
      </c>
      <c r="F152" s="91" t="str">
        <f t="shared" si="56"/>
        <v>0.999890535166452-0.016434526179278j</v>
      </c>
      <c r="G152" s="91">
        <f t="shared" si="57"/>
        <v>2.2224871038163357E-4</v>
      </c>
      <c r="H152" s="91">
        <f t="shared" si="58"/>
        <v>-0.94164728480829263</v>
      </c>
      <c r="J152" s="91">
        <f t="shared" si="59"/>
        <v>7.1641791044776131</v>
      </c>
      <c r="K152" s="91" t="str">
        <f t="shared" si="60"/>
        <v>1+0.89757164728127j</v>
      </c>
      <c r="L152" s="91">
        <f t="shared" si="61"/>
        <v>0.86825228391885012</v>
      </c>
      <c r="M152" s="91" t="str">
        <f t="shared" si="62"/>
        <v>0.162850210493337j</v>
      </c>
      <c r="N152" s="91" t="str">
        <f t="shared" si="63"/>
        <v>0.86825228391885+0.162850210493337j</v>
      </c>
      <c r="O152" s="91" t="str">
        <f t="shared" si="64"/>
        <v>1.29990406002201+0.789957032292296j</v>
      </c>
      <c r="P152" s="91" t="str">
        <f t="shared" si="65"/>
        <v>9.3127455046353+5.65939366418361j</v>
      </c>
      <c r="R152" s="91">
        <f t="shared" si="66"/>
        <v>11.82089552238806</v>
      </c>
      <c r="S152" s="91" t="str">
        <f t="shared" si="67"/>
        <v>1+0.00271169681958088j</v>
      </c>
      <c r="T152" s="91" t="str">
        <f t="shared" si="68"/>
        <v>0.86825228391885+0.162850210493337j</v>
      </c>
      <c r="U152" s="91" t="str">
        <f t="shared" si="69"/>
        <v>1.11316462947517-0.205663032175655j</v>
      </c>
      <c r="V152" s="91" t="str">
        <f t="shared" si="70"/>
        <v>13.1586027842438-2.43112121616595j</v>
      </c>
      <c r="X152" s="91" t="str">
        <f t="shared" si="71"/>
        <v>1.76065836364498+1.03072524079515j</v>
      </c>
      <c r="Y152" s="91">
        <f t="shared" si="72"/>
        <v>6.193346723542188</v>
      </c>
      <c r="Z152" s="91">
        <f t="shared" si="73"/>
        <v>-149.65442548966021</v>
      </c>
      <c r="AB152" s="91" t="str">
        <f t="shared" si="74"/>
        <v>12.3170949081125-2.2756482009243j</v>
      </c>
      <c r="AC152" s="91">
        <f t="shared" si="75"/>
        <v>21.955936068475879</v>
      </c>
      <c r="AD152" s="91">
        <f t="shared" si="76"/>
        <v>169.53234039859996</v>
      </c>
      <c r="AF152" s="91" t="str">
        <f t="shared" si="77"/>
        <v>3.64567884998634-2.18547194788429j</v>
      </c>
      <c r="AG152" s="91">
        <f t="shared" si="78"/>
        <v>12.568923403576719</v>
      </c>
      <c r="AH152" s="91">
        <f t="shared" si="79"/>
        <v>149.05861363629509</v>
      </c>
      <c r="AJ152" s="91" t="str">
        <f t="shared" si="80"/>
        <v>46874.9986535706-7.9444240479216j</v>
      </c>
      <c r="AK152" s="91" t="str">
        <f t="shared" si="81"/>
        <v>15000-8.13509045874264E-06j</v>
      </c>
      <c r="AL152" s="91" t="str">
        <f t="shared" si="95"/>
        <v>10000-614621.315565899j</v>
      </c>
      <c r="AM152" s="91" t="str">
        <f t="shared" si="96"/>
        <v>963.017869715858-190755.352054912j</v>
      </c>
      <c r="AN152" s="91" t="str">
        <f t="shared" si="97"/>
        <v>10963.0178697159-190755.352054912j</v>
      </c>
      <c r="AO152" s="91" t="str">
        <f t="shared" si="98"/>
        <v>14842.3795507516-1158.0681570514j</v>
      </c>
      <c r="AP152" s="91" t="str">
        <f t="shared" si="99"/>
        <v>0.242424243703104+0.0000311258968959299j</v>
      </c>
      <c r="AQ152" s="91" t="str">
        <f t="shared" si="82"/>
        <v>1+4.94613499891552j</v>
      </c>
      <c r="AR152" s="91">
        <f t="shared" si="83"/>
        <v>8.211677527229744E-8</v>
      </c>
      <c r="AS152" s="91" t="str">
        <f t="shared" si="84"/>
        <v>0.00027528350681318j</v>
      </c>
      <c r="AT152" s="91" t="str">
        <f t="shared" si="85"/>
        <v>8.21167752722974E-08+0.00027528350681318j</v>
      </c>
      <c r="AU152" s="91" t="str">
        <f t="shared" si="86"/>
        <v>5.3905512701748-1.08817759836243j</v>
      </c>
      <c r="AW152" s="91" t="str">
        <f t="shared" si="100"/>
        <v>1.29941835504075-0.296303701542717j</v>
      </c>
      <c r="AX152" s="91">
        <f t="shared" si="87"/>
        <v>2.4951239042602906</v>
      </c>
      <c r="AY152" s="91">
        <f t="shared" si="88"/>
        <v>167.15459496974421</v>
      </c>
      <c r="AZ152" s="91" t="str">
        <f t="shared" si="89"/>
        <v>15.3307762190374-6.60661985542318j</v>
      </c>
      <c r="BA152" s="91">
        <f t="shared" si="90"/>
        <v>24.451059972736143</v>
      </c>
      <c r="BB152" s="91">
        <f t="shared" si="91"/>
        <v>156.68693536834411</v>
      </c>
      <c r="BD152" s="91" t="str">
        <f t="shared" si="92"/>
        <v>4.08969858648021-3.92007050139446j</v>
      </c>
      <c r="BE152" s="91">
        <f t="shared" si="93"/>
        <v>15.064047307837004</v>
      </c>
      <c r="BF152" s="91">
        <f t="shared" si="94"/>
        <v>136.21320860603925</v>
      </c>
      <c r="BH152" s="91">
        <f t="shared" si="101"/>
        <v>-14.064047307837004</v>
      </c>
      <c r="BI152" s="112">
        <f t="shared" si="102"/>
        <v>-136.21320860603925</v>
      </c>
      <c r="BJ152" s="95"/>
      <c r="BK152" s="95"/>
      <c r="BL152" s="95"/>
      <c r="BM152" s="95"/>
      <c r="BN152" s="46"/>
      <c r="BO152" s="46"/>
      <c r="BP152" s="46"/>
    </row>
    <row r="153" spans="1:68" s="91" customFormat="1">
      <c r="A153" s="91">
        <v>89</v>
      </c>
      <c r="B153" s="91">
        <f t="shared" si="52"/>
        <v>6025.5958607435823</v>
      </c>
      <c r="C153" s="91" t="str">
        <f t="shared" si="53"/>
        <v>37859.9353792262j</v>
      </c>
      <c r="D153" s="91">
        <f t="shared" si="54"/>
        <v>0.99987997419677022</v>
      </c>
      <c r="E153" s="91" t="str">
        <f t="shared" si="55"/>
        <v>-0.0172090615360119j</v>
      </c>
      <c r="F153" s="91" t="str">
        <f t="shared" si="56"/>
        <v>0.99987997419677-0.0172090615360119j</v>
      </c>
      <c r="G153" s="91">
        <f t="shared" si="57"/>
        <v>2.4369576824472927E-4</v>
      </c>
      <c r="H153" s="91">
        <f t="shared" si="58"/>
        <v>-0.98602760220421937</v>
      </c>
      <c r="J153" s="91">
        <f t="shared" si="59"/>
        <v>7.1641791044776131</v>
      </c>
      <c r="K153" s="91" t="str">
        <f t="shared" si="60"/>
        <v>1+0.93987289578929j</v>
      </c>
      <c r="L153" s="91">
        <f t="shared" si="61"/>
        <v>0.85554150192535716</v>
      </c>
      <c r="M153" s="91" t="str">
        <f t="shared" si="62"/>
        <v>0.170525104463671j</v>
      </c>
      <c r="N153" s="91" t="str">
        <f t="shared" si="63"/>
        <v>0.855541501925357+0.170525104463671j</v>
      </c>
      <c r="O153" s="91" t="str">
        <f t="shared" si="64"/>
        <v>1.33478749659171+0.832523164444135j</v>
      </c>
      <c r="P153" s="91" t="str">
        <f t="shared" si="65"/>
        <v>9.56265669200031+5.96434505870425j</v>
      </c>
      <c r="R153" s="91">
        <f t="shared" si="66"/>
        <v>11.82089552238806</v>
      </c>
      <c r="S153" s="91" t="str">
        <f t="shared" si="67"/>
        <v>1+0.00283949515344196j</v>
      </c>
      <c r="T153" s="91" t="str">
        <f t="shared" si="68"/>
        <v>0.855541501925357+0.170525104463671j</v>
      </c>
      <c r="U153" s="91" t="str">
        <f t="shared" si="69"/>
        <v>1.12482507296766-0.220879311514933j</v>
      </c>
      <c r="V153" s="91" t="str">
        <f t="shared" si="70"/>
        <v>13.2964396685132-2.61099126447503j</v>
      </c>
      <c r="X153" s="91" t="str">
        <f t="shared" si="71"/>
        <v>1.80922322994794+1.0856415857171j</v>
      </c>
      <c r="Y153" s="91">
        <f t="shared" si="72"/>
        <v>6.4854601981551943</v>
      </c>
      <c r="Z153" s="91">
        <f t="shared" si="73"/>
        <v>-149.03373686744595</v>
      </c>
      <c r="AB153" s="91" t="str">
        <f t="shared" si="74"/>
        <v>12.4461169641181-2.44401535148549j</v>
      </c>
      <c r="AC153" s="91">
        <f t="shared" si="75"/>
        <v>22.064994620796853</v>
      </c>
      <c r="AD153" s="91">
        <f t="shared" si="76"/>
        <v>168.89031765625563</v>
      </c>
      <c r="AF153" s="91" t="str">
        <f t="shared" si="77"/>
        <v>3.56222044272824-2.24663883393838j</v>
      </c>
      <c r="AG153" s="91">
        <f t="shared" si="78"/>
        <v>12.488752819958329</v>
      </c>
      <c r="AH153" s="91">
        <f t="shared" si="79"/>
        <v>147.7609866463136</v>
      </c>
      <c r="AJ153" s="91" t="str">
        <f t="shared" si="80"/>
        <v>46874.9985236696-8.31883319534745j</v>
      </c>
      <c r="AK153" s="91" t="str">
        <f t="shared" si="81"/>
        <v>15000-0.0000085184854603259j</v>
      </c>
      <c r="AL153" s="91" t="str">
        <f t="shared" si="95"/>
        <v>10000-586958.799576176j</v>
      </c>
      <c r="AM153" s="91" t="str">
        <f t="shared" si="96"/>
        <v>963.006173312716-182170.942425828j</v>
      </c>
      <c r="AN153" s="91" t="str">
        <f t="shared" si="97"/>
        <v>10963.0061733127-182170.942425828j</v>
      </c>
      <c r="AO153" s="91" t="str">
        <f t="shared" si="98"/>
        <v>14827.4772737604-1210.51573867167j</v>
      </c>
      <c r="AP153" s="91" t="str">
        <f t="shared" si="99"/>
        <v>0.242424243826486+0.0000325928152181087j</v>
      </c>
      <c r="AQ153" s="91" t="str">
        <f t="shared" si="82"/>
        <v>1+5.17923915987814j</v>
      </c>
      <c r="AR153" s="91">
        <f t="shared" si="83"/>
        <v>8.0391434009345613E-8</v>
      </c>
      <c r="AS153" s="91" t="str">
        <f t="shared" si="84"/>
        <v>0.000288257218791645j</v>
      </c>
      <c r="AT153" s="91" t="str">
        <f t="shared" si="85"/>
        <v>8.03914340093456E-08+0.000288257218791645j</v>
      </c>
      <c r="AU153" s="91" t="str">
        <f t="shared" si="86"/>
        <v>5.3905164976392-1.0392338131356j</v>
      </c>
      <c r="AW153" s="91" t="str">
        <f t="shared" si="100"/>
        <v>1.29933407107574-0.285968228617694j</v>
      </c>
      <c r="AX153" s="91">
        <f t="shared" si="87"/>
        <v>2.4798476299964261</v>
      </c>
      <c r="AY153" s="91">
        <f t="shared" si="88"/>
        <v>167.58775583145206</v>
      </c>
      <c r="AZ153" s="91" t="str">
        <f t="shared" si="89"/>
        <v>15.4727530832937-6.73478643781475j</v>
      </c>
      <c r="BA153" s="91">
        <f t="shared" si="90"/>
        <v>24.544842250793305</v>
      </c>
      <c r="BB153" s="91">
        <f t="shared" si="91"/>
        <v>156.47807348770772</v>
      </c>
      <c r="BD153" s="91" t="str">
        <f t="shared" si="92"/>
        <v>3.98604706223425-3.93781625229076j</v>
      </c>
      <c r="BE153" s="91">
        <f t="shared" si="93"/>
        <v>14.968600449954794</v>
      </c>
      <c r="BF153" s="91">
        <f t="shared" si="94"/>
        <v>135.34874247776568</v>
      </c>
      <c r="BH153" s="91">
        <f t="shared" si="101"/>
        <v>-13.968600449954794</v>
      </c>
      <c r="BI153" s="112">
        <f t="shared" si="102"/>
        <v>-135.34874247776568</v>
      </c>
      <c r="BJ153" s="95"/>
      <c r="BK153" s="95"/>
      <c r="BL153" s="95"/>
      <c r="BM153" s="95"/>
      <c r="BN153" s="46"/>
      <c r="BO153" s="46"/>
      <c r="BP153" s="46"/>
    </row>
    <row r="154" spans="1:68" s="91" customFormat="1">
      <c r="A154" s="91">
        <v>90</v>
      </c>
      <c r="B154" s="91">
        <f t="shared" si="52"/>
        <v>6309.5734448019366</v>
      </c>
      <c r="C154" s="91" t="str">
        <f t="shared" si="53"/>
        <v>39644.21916295j</v>
      </c>
      <c r="D154" s="91">
        <f t="shared" si="54"/>
        <v>0.99986839432378394</v>
      </c>
      <c r="E154" s="91" t="str">
        <f t="shared" si="55"/>
        <v>-0.0180200996195227j</v>
      </c>
      <c r="F154" s="91" t="str">
        <f t="shared" si="56"/>
        <v>0.999868394323784-0.0180200996195227j</v>
      </c>
      <c r="G154" s="91">
        <f t="shared" si="57"/>
        <v>2.672129912451487E-4</v>
      </c>
      <c r="H154" s="91">
        <f t="shared" si="58"/>
        <v>-1.0324997732556871</v>
      </c>
      <c r="J154" s="91">
        <f t="shared" si="59"/>
        <v>7.1641791044776131</v>
      </c>
      <c r="K154" s="91" t="str">
        <f t="shared" si="60"/>
        <v>1+0.984167740720233j</v>
      </c>
      <c r="L154" s="91">
        <f t="shared" si="61"/>
        <v>0.84160440661356173</v>
      </c>
      <c r="M154" s="91" t="str">
        <f t="shared" si="62"/>
        <v>0.178561705043272j</v>
      </c>
      <c r="N154" s="91" t="str">
        <f t="shared" si="63"/>
        <v>0.841604406613562+0.178561705043272j</v>
      </c>
      <c r="O154" s="91" t="str">
        <f t="shared" si="64"/>
        <v>1.37444401437483+0.877781375931118j</v>
      </c>
      <c r="P154" s="91" t="str">
        <f t="shared" si="65"/>
        <v>9.84676308805848+6.28858299174532j</v>
      </c>
      <c r="R154" s="91">
        <f t="shared" si="66"/>
        <v>11.82089552238806</v>
      </c>
      <c r="S154" s="91" t="str">
        <f t="shared" si="67"/>
        <v>1+0.00297331643722125j</v>
      </c>
      <c r="T154" s="91" t="str">
        <f t="shared" si="68"/>
        <v>0.841604406613562+0.178561705043272j</v>
      </c>
      <c r="U154" s="91" t="str">
        <f t="shared" si="69"/>
        <v>1.13774049024467-0.237859454898924j</v>
      </c>
      <c r="V154" s="91" t="str">
        <f t="shared" si="70"/>
        <v>13.4491114667728-2.81171176537236j</v>
      </c>
      <c r="X154" s="91" t="str">
        <f t="shared" si="71"/>
        <v>1.86438241334671+1.14391079294605j</v>
      </c>
      <c r="Y154" s="91">
        <f t="shared" si="72"/>
        <v>6.7983235487042979</v>
      </c>
      <c r="Z154" s="91">
        <f t="shared" si="73"/>
        <v>-148.46837953611583</v>
      </c>
      <c r="AB154" s="91" t="str">
        <f t="shared" si="74"/>
        <v>12.5890252241963-2.63189954406228j</v>
      </c>
      <c r="AC154" s="91">
        <f t="shared" si="75"/>
        <v>22.185629465762844</v>
      </c>
      <c r="AD154" s="91">
        <f t="shared" si="76"/>
        <v>168.19164842965799</v>
      </c>
      <c r="AF154" s="91" t="str">
        <f t="shared" si="77"/>
        <v>3.47402134376485-2.30621093864405j</v>
      </c>
      <c r="AG154" s="91">
        <f t="shared" si="78"/>
        <v>12.402354742684054</v>
      </c>
      <c r="AH154" s="91">
        <f t="shared" si="79"/>
        <v>146.42201208748222</v>
      </c>
      <c r="AJ154" s="91" t="str">
        <f t="shared" si="80"/>
        <v>46874.9983812359-8.71088769885301j</v>
      </c>
      <c r="AK154" s="91" t="str">
        <f t="shared" si="81"/>
        <v>15000-8.91994931166375E-06j</v>
      </c>
      <c r="AL154" s="91" t="str">
        <f t="shared" si="95"/>
        <v>10000-560541.301895291j</v>
      </c>
      <c r="AM154" s="91" t="str">
        <f t="shared" si="96"/>
        <v>962.993348788252-173972.941763171j</v>
      </c>
      <c r="AN154" s="91" t="str">
        <f t="shared" si="97"/>
        <v>10962.9933487883-173972.941763171j</v>
      </c>
      <c r="AO154" s="91" t="str">
        <f t="shared" si="98"/>
        <v>14811.1975223459-1265.12848399492j</v>
      </c>
      <c r="AP154" s="91" t="str">
        <f t="shared" si="99"/>
        <v>0.242424243961772+0.0000341288672701346j</v>
      </c>
      <c r="AQ154" s="91" t="str">
        <f t="shared" si="82"/>
        <v>1+5.42332918149156j</v>
      </c>
      <c r="AR154" s="91">
        <f t="shared" si="83"/>
        <v>7.8499634933612649E-8</v>
      </c>
      <c r="AS154" s="91" t="str">
        <f t="shared" si="84"/>
        <v>0.000301842362978485j</v>
      </c>
      <c r="AT154" s="91" t="str">
        <f t="shared" si="85"/>
        <v>7.84996349336126E-08+0.000301842362978485j</v>
      </c>
      <c r="AU154" s="91" t="str">
        <f t="shared" si="86"/>
        <v>5.39048478430428-0.99249438003396j</v>
      </c>
      <c r="AW154" s="91" t="str">
        <f t="shared" si="100"/>
        <v>1.29924322023519-0.276238962542636j</v>
      </c>
      <c r="AX154" s="91">
        <f t="shared" si="87"/>
        <v>2.4658250421993881</v>
      </c>
      <c r="AY154" s="91">
        <f t="shared" si="88"/>
        <v>167.99678109337881</v>
      </c>
      <c r="AZ154" s="91" t="str">
        <f t="shared" si="89"/>
        <v>15.6291724723386-6.89705690631806j</v>
      </c>
      <c r="BA154" s="91">
        <f t="shared" si="90"/>
        <v>24.651454507962214</v>
      </c>
      <c r="BB154" s="91">
        <f t="shared" si="91"/>
        <v>156.18842952303677</v>
      </c>
      <c r="BD154" s="91" t="str">
        <f t="shared" si="92"/>
        <v>3.8765333607433-3.95598897831809j</v>
      </c>
      <c r="BE154" s="91">
        <f t="shared" si="93"/>
        <v>14.868179784883424</v>
      </c>
      <c r="BF154" s="91">
        <f t="shared" si="94"/>
        <v>134.41879318086092</v>
      </c>
      <c r="BH154" s="91">
        <f t="shared" si="101"/>
        <v>-13.868179784883424</v>
      </c>
      <c r="BI154" s="112">
        <f t="shared" si="102"/>
        <v>-134.41879318086092</v>
      </c>
      <c r="BJ154" s="95"/>
      <c r="BK154" s="95"/>
      <c r="BL154" s="95"/>
      <c r="BM154" s="95"/>
      <c r="BN154" s="46"/>
      <c r="BO154" s="46"/>
      <c r="BP154" s="46"/>
    </row>
    <row r="155" spans="1:68" s="91" customFormat="1">
      <c r="A155" s="91">
        <v>91</v>
      </c>
      <c r="B155" s="91">
        <f t="shared" si="52"/>
        <v>6606.9344800759627</v>
      </c>
      <c r="C155" s="91" t="str">
        <f t="shared" si="53"/>
        <v>41512.5936507115j</v>
      </c>
      <c r="D155" s="91">
        <f t="shared" si="54"/>
        <v>0.99985569724554046</v>
      </c>
      <c r="E155" s="91" t="str">
        <f t="shared" si="55"/>
        <v>-0.0188693607503234j</v>
      </c>
      <c r="F155" s="91" t="str">
        <f t="shared" si="56"/>
        <v>0.99985569724554-0.0188693607503234j</v>
      </c>
      <c r="G155" s="91">
        <f t="shared" si="57"/>
        <v>2.9300030573102748E-4</v>
      </c>
      <c r="H155" s="91">
        <f t="shared" si="58"/>
        <v>-1.0811624245258808</v>
      </c>
      <c r="J155" s="91">
        <f t="shared" si="59"/>
        <v>7.1641791044776131</v>
      </c>
      <c r="K155" s="91" t="str">
        <f t="shared" si="60"/>
        <v>1+1.03055013737891j</v>
      </c>
      <c r="L155" s="91">
        <f t="shared" si="61"/>
        <v>0.8263226854866087</v>
      </c>
      <c r="M155" s="91" t="str">
        <f t="shared" si="62"/>
        <v>0.186977058939455j</v>
      </c>
      <c r="N155" s="91" t="str">
        <f t="shared" si="63"/>
        <v>0.826322685486609+0.186977058939455j</v>
      </c>
      <c r="O155" s="91" t="str">
        <f t="shared" si="64"/>
        <v>1.41969222111677+0.925909786471272j</v>
      </c>
      <c r="P155" s="91" t="str">
        <f t="shared" si="65"/>
        <v>10.1709293453142+6.63338354486882j</v>
      </c>
      <c r="R155" s="91">
        <f t="shared" si="66"/>
        <v>11.82089552238806</v>
      </c>
      <c r="S155" s="91" t="str">
        <f t="shared" si="67"/>
        <v>1+0.00311344452380336j</v>
      </c>
      <c r="T155" s="91" t="str">
        <f t="shared" si="68"/>
        <v>0.826322685486609+0.186977058939455j</v>
      </c>
      <c r="U155" s="91" t="str">
        <f t="shared" si="69"/>
        <v>1.15204771405362-0.256913010542423j</v>
      </c>
      <c r="V155" s="91" t="str">
        <f t="shared" si="70"/>
        <v>13.6182356646338-3.03694185596416j</v>
      </c>
      <c r="X155" s="91" t="str">
        <f t="shared" si="71"/>
        <v>1.92725517961742+1.20572589861643j</v>
      </c>
      <c r="Y155" s="91">
        <f t="shared" si="72"/>
        <v>7.1332985548973626</v>
      </c>
      <c r="Z155" s="91">
        <f t="shared" si="73"/>
        <v>-147.96915350651798</v>
      </c>
      <c r="AB155" s="91" t="str">
        <f t="shared" si="74"/>
        <v>12.7473337338814-2.84272590970832j</v>
      </c>
      <c r="AC155" s="91">
        <f t="shared" si="75"/>
        <v>22.319169277527664</v>
      </c>
      <c r="AD155" s="91">
        <f t="shared" si="76"/>
        <v>167.42843119737483</v>
      </c>
      <c r="AF155" s="91" t="str">
        <f t="shared" si="77"/>
        <v>3.38107455016449-2.36377583620806j</v>
      </c>
      <c r="AG155" s="91">
        <f t="shared" si="78"/>
        <v>12.309366237211382</v>
      </c>
      <c r="AH155" s="91">
        <f t="shared" si="79"/>
        <v>145.04184433142888</v>
      </c>
      <c r="AJ155" s="91" t="str">
        <f t="shared" si="80"/>
        <v>46874.9982250605-9.12141915794417j</v>
      </c>
      <c r="AK155" s="91" t="str">
        <f t="shared" si="81"/>
        <v>15000-9.34033357141009E-06j</v>
      </c>
      <c r="AL155" s="91" t="str">
        <f t="shared" si="95"/>
        <v>10000-535312.787468805j</v>
      </c>
      <c r="AM155" s="91" t="str">
        <f t="shared" si="96"/>
        <v>962.979287369397-166143.961004479j</v>
      </c>
      <c r="AN155" s="91" t="str">
        <f t="shared" si="97"/>
        <v>10962.9792873694-166143.961004479j</v>
      </c>
      <c r="AO155" s="91" t="str">
        <f t="shared" si="98"/>
        <v>14793.4191710346-1321.96527895454j</v>
      </c>
      <c r="AP155" s="91" t="str">
        <f t="shared" si="99"/>
        <v>0.24242424411011+0.0000357373112242002j</v>
      </c>
      <c r="AQ155" s="91" t="str">
        <f t="shared" si="82"/>
        <v>1+5.67892281141733j</v>
      </c>
      <c r="AR155" s="91">
        <f t="shared" si="83"/>
        <v>7.6425318495587635E-8</v>
      </c>
      <c r="AS155" s="91" t="str">
        <f t="shared" si="84"/>
        <v>0.000316067755285914j</v>
      </c>
      <c r="AT155" s="91" t="str">
        <f t="shared" si="85"/>
        <v>7.64253184955876E-08+0.000316067755285914j</v>
      </c>
      <c r="AU155" s="91" t="str">
        <f t="shared" si="86"/>
        <v>5.3904558609546-0.947860158727623j</v>
      </c>
      <c r="AW155" s="91" t="str">
        <f t="shared" si="100"/>
        <v>1.2991450341162-0.267095211628816j</v>
      </c>
      <c r="AX155" s="91">
        <f t="shared" si="87"/>
        <v>2.4529489146413432</v>
      </c>
      <c r="AY155" s="91">
        <f t="shared" si="88"/>
        <v>168.38226779160729</v>
      </c>
      <c r="AZ155" s="91" t="str">
        <f t="shared" si="89"/>
        <v>15.8013568401377-7.09786505030522j</v>
      </c>
      <c r="BA155" s="91">
        <f t="shared" si="90"/>
        <v>24.772118192169014</v>
      </c>
      <c r="BB155" s="91">
        <f t="shared" si="91"/>
        <v>155.81069898898215</v>
      </c>
      <c r="BD155" s="91" t="str">
        <f t="shared" si="92"/>
        <v>3.76115300460779-3.97395646188256j</v>
      </c>
      <c r="BE155" s="91">
        <f t="shared" si="93"/>
        <v>14.762315151852729</v>
      </c>
      <c r="BF155" s="91">
        <f t="shared" si="94"/>
        <v>133.42411212303617</v>
      </c>
      <c r="BH155" s="91">
        <f t="shared" si="101"/>
        <v>-13.762315151852729</v>
      </c>
      <c r="BI155" s="112">
        <f t="shared" si="102"/>
        <v>-133.42411212303617</v>
      </c>
      <c r="BJ155" s="95"/>
      <c r="BK155" s="95"/>
      <c r="BL155" s="95"/>
      <c r="BM155" s="95"/>
      <c r="BN155" s="46"/>
      <c r="BO155" s="46"/>
      <c r="BP155" s="46"/>
    </row>
    <row r="156" spans="1:68" s="91" customFormat="1">
      <c r="A156" s="91">
        <v>92</v>
      </c>
      <c r="B156" s="91">
        <f t="shared" si="52"/>
        <v>6918.309709189366</v>
      </c>
      <c r="C156" s="91" t="str">
        <f t="shared" si="53"/>
        <v>43469.0219152965j</v>
      </c>
      <c r="D156" s="91">
        <f t="shared" si="54"/>
        <v>0.99984177517609174</v>
      </c>
      <c r="E156" s="91" t="str">
        <f t="shared" si="55"/>
        <v>-0.0197586463251348j</v>
      </c>
      <c r="F156" s="91" t="str">
        <f t="shared" si="56"/>
        <v>0.999841775176092-0.0197586463251348j</v>
      </c>
      <c r="G156" s="91">
        <f t="shared" si="57"/>
        <v>3.2127696716927192E-4</v>
      </c>
      <c r="H156" s="91">
        <f t="shared" si="58"/>
        <v>-1.1321188367060628</v>
      </c>
      <c r="J156" s="91">
        <f t="shared" si="59"/>
        <v>7.1641791044776131</v>
      </c>
      <c r="K156" s="91" t="str">
        <f t="shared" si="60"/>
        <v>1+1.07911846904724j</v>
      </c>
      <c r="L156" s="91">
        <f t="shared" si="61"/>
        <v>0.80956661147136377</v>
      </c>
      <c r="M156" s="91" t="str">
        <f t="shared" si="62"/>
        <v>0.195789016246099j</v>
      </c>
      <c r="N156" s="91" t="str">
        <f t="shared" si="63"/>
        <v>0.809566611471364+0.195789016246099j</v>
      </c>
      <c r="O156" s="91" t="str">
        <f t="shared" si="64"/>
        <v>1.47152932685919+0.977077338116204j</v>
      </c>
      <c r="P156" s="91" t="str">
        <f t="shared" si="65"/>
        <v>10.5422996551106+6.99995704919072j</v>
      </c>
      <c r="R156" s="91">
        <f t="shared" si="66"/>
        <v>11.82089552238806</v>
      </c>
      <c r="S156" s="91" t="str">
        <f t="shared" si="67"/>
        <v>1+0.00326017664364724j</v>
      </c>
      <c r="T156" s="91" t="str">
        <f t="shared" si="68"/>
        <v>0.809566611471364+0.195789016246099j</v>
      </c>
      <c r="U156" s="91" t="str">
        <f t="shared" si="69"/>
        <v>1.1678941946354-0.278421411666037j</v>
      </c>
      <c r="V156" s="91" t="str">
        <f t="shared" si="70"/>
        <v>13.8055552559886-3.29119041850002j</v>
      </c>
      <c r="X156" s="91" t="str">
        <f t="shared" si="71"/>
        <v>1.99920212482291+1.2712569028813j</v>
      </c>
      <c r="Y156" s="91">
        <f t="shared" si="72"/>
        <v>7.4918755624444326</v>
      </c>
      <c r="Z156" s="91">
        <f t="shared" si="73"/>
        <v>-147.54844840970378</v>
      </c>
      <c r="AB156" s="91" t="str">
        <f t="shared" si="74"/>
        <v>12.9226740205894-3.08071498243534j</v>
      </c>
      <c r="AC156" s="91">
        <f t="shared" si="75"/>
        <v>22.467110195800469</v>
      </c>
      <c r="AD156" s="91">
        <f t="shared" si="76"/>
        <v>166.59119047006365</v>
      </c>
      <c r="AF156" s="91" t="str">
        <f t="shared" si="77"/>
        <v>3.28341546959186-2.41890318199531j</v>
      </c>
      <c r="AG156" s="91">
        <f t="shared" si="78"/>
        <v>12.209421197060147</v>
      </c>
      <c r="AH156" s="91">
        <f t="shared" si="79"/>
        <v>143.62080102896539</v>
      </c>
      <c r="AJ156" s="91" t="str">
        <f t="shared" si="80"/>
        <v>46874.9980538175-9.55129836412908j</v>
      </c>
      <c r="AK156" s="91" t="str">
        <f t="shared" si="81"/>
        <v>15000-9.78052993094172E-06j</v>
      </c>
      <c r="AL156" s="91" t="str">
        <f t="shared" si="95"/>
        <v>10000-511219.743235179j</v>
      </c>
      <c r="AM156" s="91" t="str">
        <f t="shared" si="96"/>
        <v>962.963869802179-158667.393827402j</v>
      </c>
      <c r="AN156" s="91" t="str">
        <f t="shared" si="97"/>
        <v>10962.9638698022-158667.393827402j</v>
      </c>
      <c r="AO156" s="91" t="str">
        <f t="shared" si="98"/>
        <v>14774.0116600731-1381.08195482302j</v>
      </c>
      <c r="AP156" s="91" t="str">
        <f t="shared" si="99"/>
        <v>0.242424244272759+0.0000374215588054055j</v>
      </c>
      <c r="AQ156" s="91" t="str">
        <f t="shared" si="82"/>
        <v>1+5.94656219801256j</v>
      </c>
      <c r="AR156" s="91">
        <f t="shared" si="83"/>
        <v>7.4150875749391777E-8</v>
      </c>
      <c r="AS156" s="91" t="str">
        <f t="shared" si="84"/>
        <v>0.000330963569678246j</v>
      </c>
      <c r="AT156" s="91" t="str">
        <f t="shared" si="85"/>
        <v>7.41508757493918E-08+0.000330963569678246j</v>
      </c>
      <c r="AU156" s="91" t="str">
        <f t="shared" si="86"/>
        <v>5.39042948205897-0.905236474287801j</v>
      </c>
      <c r="AW156" s="91" t="str">
        <f t="shared" si="100"/>
        <v>1.29903868261852-0.258517518054704j</v>
      </c>
      <c r="AX156" s="91">
        <f t="shared" si="87"/>
        <v>2.4411198477335314</v>
      </c>
      <c r="AY156" s="91">
        <f t="shared" si="88"/>
        <v>168.74479599392475</v>
      </c>
      <c r="AZ156" s="91" t="str">
        <f t="shared" si="89"/>
        <v>15.9906346445219-7.34270554673872j</v>
      </c>
      <c r="BA156" s="91">
        <f t="shared" si="90"/>
        <v>24.908230043534001</v>
      </c>
      <c r="BB156" s="91">
        <f t="shared" si="91"/>
        <v>155.33598646398838</v>
      </c>
      <c r="BD156" s="91" t="str">
        <f t="shared" si="92"/>
        <v>3.63995485908382-3.99106922086224j</v>
      </c>
      <c r="BE156" s="91">
        <f t="shared" si="93"/>
        <v>14.650541044793668</v>
      </c>
      <c r="BF156" s="91">
        <f t="shared" si="94"/>
        <v>132.36559702289011</v>
      </c>
      <c r="BH156" s="91">
        <f t="shared" si="101"/>
        <v>-13.650541044793668</v>
      </c>
      <c r="BI156" s="112">
        <f t="shared" si="102"/>
        <v>-132.36559702289011</v>
      </c>
      <c r="BJ156" s="95"/>
      <c r="BK156" s="95"/>
      <c r="BL156" s="95"/>
      <c r="BM156" s="95"/>
      <c r="BN156" s="46"/>
      <c r="BO156" s="46"/>
      <c r="BP156" s="46"/>
    </row>
    <row r="157" spans="1:68" s="91" customFormat="1">
      <c r="A157" s="91">
        <v>93</v>
      </c>
      <c r="B157" s="91">
        <f t="shared" si="52"/>
        <v>7244.3596007499063</v>
      </c>
      <c r="C157" s="91" t="str">
        <f t="shared" si="53"/>
        <v>45517.6538033572j</v>
      </c>
      <c r="D157" s="91">
        <f t="shared" si="54"/>
        <v>0.99982650993049593</v>
      </c>
      <c r="E157" s="91" t="str">
        <f t="shared" si="55"/>
        <v>-0.0206898426378896j</v>
      </c>
      <c r="F157" s="91" t="str">
        <f t="shared" si="56"/>
        <v>0.999826509930496-0.0206898426378896j</v>
      </c>
      <c r="G157" s="91">
        <f t="shared" si="57"/>
        <v>3.5228343313386227E-4</v>
      </c>
      <c r="H157" s="91">
        <f t="shared" si="58"/>
        <v>-1.1854771648458649</v>
      </c>
      <c r="J157" s="91">
        <f t="shared" si="59"/>
        <v>7.1641791044776131</v>
      </c>
      <c r="K157" s="91" t="str">
        <f t="shared" si="60"/>
        <v>1+1.12997575566834j</v>
      </c>
      <c r="L157" s="91">
        <f t="shared" si="61"/>
        <v>0.79119394166068635</v>
      </c>
      <c r="M157" s="91" t="str">
        <f t="shared" si="62"/>
        <v>0.205016268306091j</v>
      </c>
      <c r="N157" s="91" t="str">
        <f t="shared" si="63"/>
        <v>0.791193941660686+0.205016268306091j</v>
      </c>
      <c r="O157" s="91" t="str">
        <f t="shared" si="64"/>
        <v>1.53117883271752+1.0314274949609j</v>
      </c>
      <c r="P157" s="91" t="str">
        <f t="shared" si="65"/>
        <v>10.9696393985733+7.38933130718257j</v>
      </c>
      <c r="R157" s="91">
        <f t="shared" si="66"/>
        <v>11.82089552238806</v>
      </c>
      <c r="S157" s="91" t="str">
        <f t="shared" si="67"/>
        <v>1+0.00341382403525179j</v>
      </c>
      <c r="T157" s="91" t="str">
        <f t="shared" si="68"/>
        <v>0.791193941660686+0.205016268306091j</v>
      </c>
      <c r="U157" s="91" t="str">
        <f t="shared" si="69"/>
        <v>1.18543516044033-0.302858321152086j</v>
      </c>
      <c r="V157" s="91" t="str">
        <f t="shared" si="70"/>
        <v>14.0129051801305-3.58005657242466j</v>
      </c>
      <c r="X157" s="91" t="str">
        <f t="shared" si="71"/>
        <v>2.08188876686535+1.34062585515444j</v>
      </c>
      <c r="Y157" s="91">
        <f t="shared" si="72"/>
        <v>7.8756946104244001</v>
      </c>
      <c r="Z157" s="91">
        <f t="shared" si="73"/>
        <v>-147.22061459498383</v>
      </c>
      <c r="AB157" s="91" t="str">
        <f t="shared" si="74"/>
        <v>13.1167636771222-3.35110781151987j</v>
      </c>
      <c r="AC157" s="91">
        <f t="shared" si="75"/>
        <v>22.631136850669279</v>
      </c>
      <c r="AD157" s="91">
        <f t="shared" si="76"/>
        <v>165.66847644868301</v>
      </c>
      <c r="AF157" s="91" t="str">
        <f t="shared" si="77"/>
        <v>3.18112611317521-2.47114944875045j</v>
      </c>
      <c r="AG157" s="91">
        <f t="shared" si="78"/>
        <v>12.102152976235292</v>
      </c>
      <c r="AH157" s="91">
        <f t="shared" si="79"/>
        <v>142.15936991619589</v>
      </c>
      <c r="AJ157" s="91" t="str">
        <f t="shared" si="80"/>
        <v>46874.9978660533-10.0014371479693j</v>
      </c>
      <c r="AK157" s="91" t="str">
        <f t="shared" si="81"/>
        <v>15000-0.0000102414721057554j</v>
      </c>
      <c r="AL157" s="91" t="str">
        <f t="shared" si="95"/>
        <v>10000-488211.064617378j</v>
      </c>
      <c r="AM157" s="91" t="str">
        <f t="shared" si="96"/>
        <v>962.946965343306-151527.381425372j</v>
      </c>
      <c r="AN157" s="91" t="str">
        <f t="shared" si="97"/>
        <v>10962.9469653433-151527.381425372j</v>
      </c>
      <c r="AO157" s="91" t="str">
        <f t="shared" si="98"/>
        <v>14752.8345014944-1442.53041761551j</v>
      </c>
      <c r="AP157" s="91" t="str">
        <f t="shared" si="99"/>
        <v>0.242424244451101+0.0000391851825284809j</v>
      </c>
      <c r="AQ157" s="91" t="str">
        <f t="shared" si="82"/>
        <v>1+6.22681504029926j</v>
      </c>
      <c r="AR157" s="91">
        <f t="shared" si="83"/>
        <v>7.1656998869812003E-8</v>
      </c>
      <c r="AS157" s="91" t="str">
        <f t="shared" si="84"/>
        <v>0.000346561402174925j</v>
      </c>
      <c r="AT157" s="91" t="str">
        <f t="shared" si="85"/>
        <v>7.1656998869812E-08+0.000346561402174925j</v>
      </c>
      <c r="AU157" s="91" t="str">
        <f t="shared" si="86"/>
        <v>5.39040542368614-0.864532916373123j</v>
      </c>
      <c r="AW157" s="91" t="str">
        <f t="shared" si="100"/>
        <v>1.29892326701334-0.25048761540253j</v>
      </c>
      <c r="AX157" s="91">
        <f t="shared" si="87"/>
        <v>2.4302457270625437</v>
      </c>
      <c r="AY157" s="91">
        <f t="shared" si="88"/>
        <v>169.08492623403345</v>
      </c>
      <c r="AZ157" s="91" t="str">
        <f t="shared" si="89"/>
        <v>16.1982585234651-7.63841876193418j</v>
      </c>
      <c r="BA157" s="91">
        <f t="shared" si="90"/>
        <v>25.061382577731838</v>
      </c>
      <c r="BB157" s="91">
        <f t="shared" si="91"/>
        <v>154.75340268271646</v>
      </c>
      <c r="BD157" s="91" t="str">
        <f t="shared" si="92"/>
        <v>3.51304639098622-4.00666620963313j</v>
      </c>
      <c r="BE157" s="91">
        <f t="shared" si="93"/>
        <v>14.532398703297849</v>
      </c>
      <c r="BF157" s="91">
        <f t="shared" si="94"/>
        <v>131.24429615022933</v>
      </c>
      <c r="BH157" s="91">
        <f t="shared" si="101"/>
        <v>-13.532398703297849</v>
      </c>
      <c r="BI157" s="112">
        <f t="shared" si="102"/>
        <v>-131.24429615022933</v>
      </c>
      <c r="BJ157" s="95"/>
      <c r="BK157" s="95"/>
      <c r="BL157" s="95"/>
      <c r="BM157" s="95"/>
      <c r="BN157" s="46"/>
      <c r="BO157" s="46"/>
      <c r="BP157" s="46"/>
    </row>
    <row r="158" spans="1:68" s="91" customFormat="1">
      <c r="A158" s="91">
        <v>94</v>
      </c>
      <c r="B158" s="91">
        <f t="shared" si="52"/>
        <v>7585.775750291843</v>
      </c>
      <c r="C158" s="91" t="str">
        <f t="shared" si="53"/>
        <v>47662.8347377929j</v>
      </c>
      <c r="D158" s="91">
        <f t="shared" si="54"/>
        <v>0.99980977192154141</v>
      </c>
      <c r="E158" s="91" t="str">
        <f t="shared" si="55"/>
        <v>-0.021664924880815j</v>
      </c>
      <c r="F158" s="91" t="str">
        <f t="shared" si="56"/>
        <v>0.999809771921541-0.021664924880815j</v>
      </c>
      <c r="G158" s="91">
        <f t="shared" si="57"/>
        <v>3.8628341874576296E-4</v>
      </c>
      <c r="H158" s="91">
        <f t="shared" si="58"/>
        <v>-1.2413506690939646</v>
      </c>
      <c r="J158" s="91">
        <f t="shared" si="59"/>
        <v>7.1641791044776131</v>
      </c>
      <c r="K158" s="91" t="str">
        <f t="shared" si="60"/>
        <v>1+1.18322987236571j</v>
      </c>
      <c r="L158" s="91">
        <f t="shared" si="61"/>
        <v>0.77104870980834095</v>
      </c>
      <c r="M158" s="91" t="str">
        <f t="shared" si="62"/>
        <v>0.214678387358171j</v>
      </c>
      <c r="N158" s="91" t="str">
        <f t="shared" si="63"/>
        <v>0.771048709808341+0.214678387358171j</v>
      </c>
      <c r="O158" s="91" t="str">
        <f t="shared" si="64"/>
        <v>1.60015284670898+1.08905135178343j</v>
      </c>
      <c r="P158" s="91" t="str">
        <f t="shared" si="65"/>
        <v>11.4637815883628+7.80215893814995j</v>
      </c>
      <c r="R158" s="91">
        <f t="shared" si="66"/>
        <v>11.82089552238806</v>
      </c>
      <c r="S158" s="91" t="str">
        <f t="shared" si="67"/>
        <v>1+0.00357471260533447j</v>
      </c>
      <c r="T158" s="91" t="str">
        <f t="shared" si="68"/>
        <v>0.771048709808341+0.214678387358171j</v>
      </c>
      <c r="U158" s="91" t="str">
        <f t="shared" si="69"/>
        <v>1.20482766431469-0.330816645134726j</v>
      </c>
      <c r="V158" s="91" t="str">
        <f t="shared" si="70"/>
        <v>14.2421419423468-3.91054899920452j</v>
      </c>
      <c r="X158" s="91" t="str">
        <f t="shared" si="71"/>
        <v>2.17736830713987+1.41386672780627j</v>
      </c>
      <c r="Y158" s="91">
        <f t="shared" si="72"/>
        <v>8.2865679518061928</v>
      </c>
      <c r="Z158" s="91">
        <f t="shared" si="73"/>
        <v>-147.00245771493539</v>
      </c>
      <c r="AB158" s="91" t="str">
        <f t="shared" si="74"/>
        <v>13.3313404831056-3.66046486513761j</v>
      </c>
      <c r="AC158" s="91">
        <f t="shared" si="75"/>
        <v>22.813144128573782</v>
      </c>
      <c r="AD158" s="91">
        <f t="shared" si="76"/>
        <v>164.64634170189433</v>
      </c>
      <c r="AF158" s="91" t="str">
        <f t="shared" si="77"/>
        <v>3.07433873250997-2.52006356677211j</v>
      </c>
      <c r="AG158" s="91">
        <f t="shared" si="78"/>
        <v>11.987197259191547</v>
      </c>
      <c r="AH158" s="91">
        <f t="shared" si="79"/>
        <v>140.65821345417771</v>
      </c>
      <c r="AJ158" s="91" t="str">
        <f t="shared" si="80"/>
        <v>46874.997660174-10.472790313178j</v>
      </c>
      <c r="AK158" s="91" t="str">
        <f t="shared" si="81"/>
        <v>15000-0.0000107241378160034j</v>
      </c>
      <c r="AL158" s="91" t="str">
        <f t="shared" si="95"/>
        <v>10000-466237.947123228j</v>
      </c>
      <c r="AM158" s="91" t="str">
        <f t="shared" si="96"/>
        <v>962.928430654872-144708.77886886j</v>
      </c>
      <c r="AN158" s="91" t="str">
        <f t="shared" si="97"/>
        <v>10962.9284306549-144708.77886886j</v>
      </c>
      <c r="AO158" s="91" t="str">
        <f t="shared" si="98"/>
        <v>14729.7368100791-1506.35766110576j</v>
      </c>
      <c r="AP158" s="91" t="str">
        <f t="shared" si="99"/>
        <v>0.242424244646649+0.0000410319232755663j</v>
      </c>
      <c r="AQ158" s="91" t="str">
        <f t="shared" si="82"/>
        <v>1+6.52027579213007j</v>
      </c>
      <c r="AR158" s="91">
        <f t="shared" si="83"/>
        <v>6.8922517247487247E-8</v>
      </c>
      <c r="AS158" s="91" t="str">
        <f t="shared" si="84"/>
        <v>0.000362894337869913j</v>
      </c>
      <c r="AT158" s="91" t="str">
        <f t="shared" si="85"/>
        <v>6.89225172474872E-08+0.000362894337869913j</v>
      </c>
      <c r="AU158" s="91" t="str">
        <f t="shared" si="86"/>
        <v>5.39038348160385-0.825663147461196j</v>
      </c>
      <c r="AW158" s="91" t="str">
        <f t="shared" si="100"/>
        <v>1.29879781245257-0.242988388546595j</v>
      </c>
      <c r="AX158" s="91">
        <f t="shared" si="87"/>
        <v>2.4202411972661695</v>
      </c>
      <c r="AY158" s="91">
        <f t="shared" si="88"/>
        <v>169.40319731672986</v>
      </c>
      <c r="AZ158" s="91" t="str">
        <f t="shared" si="89"/>
        <v>16.4252653976067-7.99356470055603j</v>
      </c>
      <c r="BA158" s="91">
        <f t="shared" si="90"/>
        <v>25.23338532583994</v>
      </c>
      <c r="BB158" s="91">
        <f t="shared" si="91"/>
        <v>154.04953901862416</v>
      </c>
      <c r="BD158" s="91" t="str">
        <f t="shared" si="92"/>
        <v>3.38059823539721-4.02008166222401j</v>
      </c>
      <c r="BE158" s="91">
        <f t="shared" si="93"/>
        <v>14.407438456457699</v>
      </c>
      <c r="BF158" s="91">
        <f t="shared" si="94"/>
        <v>130.06141077090757</v>
      </c>
      <c r="BH158" s="91">
        <f t="shared" si="101"/>
        <v>-13.407438456457699</v>
      </c>
      <c r="BI158" s="112">
        <f t="shared" si="102"/>
        <v>-130.06141077090757</v>
      </c>
      <c r="BJ158" s="95"/>
      <c r="BK158" s="95"/>
      <c r="BL158" s="95"/>
      <c r="BM158" s="95"/>
      <c r="BN158" s="46"/>
      <c r="BO158" s="46"/>
      <c r="BP158" s="46"/>
    </row>
    <row r="159" spans="1:68" s="91" customFormat="1">
      <c r="A159" s="91">
        <v>95</v>
      </c>
      <c r="B159" s="91">
        <f t="shared" si="52"/>
        <v>7943.2823472428199</v>
      </c>
      <c r="C159" s="91" t="str">
        <f t="shared" si="53"/>
        <v>49909.1149349751j</v>
      </c>
      <c r="D159" s="91">
        <f t="shared" si="54"/>
        <v>0.99979141905967595</v>
      </c>
      <c r="E159" s="91" t="str">
        <f t="shared" si="55"/>
        <v>-0.0226859613340796j</v>
      </c>
      <c r="F159" s="91" t="str">
        <f t="shared" si="56"/>
        <v>0.999791419059676-0.0226859613340796j</v>
      </c>
      <c r="G159" s="91">
        <f t="shared" si="57"/>
        <v>4.235661523724525E-4</v>
      </c>
      <c r="H159" s="91">
        <f t="shared" si="58"/>
        <v>-1.2998579564638215</v>
      </c>
      <c r="J159" s="91">
        <f t="shared" si="59"/>
        <v>7.1641791044776131</v>
      </c>
      <c r="K159" s="91" t="str">
        <f t="shared" si="60"/>
        <v>1+1.23899377826076j</v>
      </c>
      <c r="L159" s="91">
        <f t="shared" si="61"/>
        <v>0.74895990232599507</v>
      </c>
      <c r="M159" s="91" t="str">
        <f t="shared" si="62"/>
        <v>0.22479586805227j</v>
      </c>
      <c r="N159" s="91" t="str">
        <f t="shared" si="63"/>
        <v>0.748959902325995+0.22479586805227j</v>
      </c>
      <c r="O159" s="91" t="str">
        <f t="shared" si="64"/>
        <v>1.68033372905232+1.1499436703436j</v>
      </c>
      <c r="P159" s="91" t="str">
        <f t="shared" si="65"/>
        <v>12.0382117902256+8.23840241440191j</v>
      </c>
      <c r="R159" s="91">
        <f t="shared" si="66"/>
        <v>11.82089552238806</v>
      </c>
      <c r="S159" s="91" t="str">
        <f t="shared" si="67"/>
        <v>1+0.00374318362012313j</v>
      </c>
      <c r="T159" s="91" t="str">
        <f t="shared" si="68"/>
        <v>0.748959902325995+0.22479586805227j</v>
      </c>
      <c r="U159" s="91" t="str">
        <f t="shared" si="69"/>
        <v>1.22621928381502-0.363044595395651j</v>
      </c>
      <c r="V159" s="91" t="str">
        <f t="shared" si="70"/>
        <v>14.4950100415149-4.29151223213964j</v>
      </c>
      <c r="X159" s="91" t="str">
        <f t="shared" si="71"/>
        <v>2.2881895417901+1.49086102323637j</v>
      </c>
      <c r="Y159" s="91">
        <f t="shared" si="72"/>
        <v>8.7265021128315414</v>
      </c>
      <c r="Z159" s="91">
        <f t="shared" si="73"/>
        <v>-146.91390136406176</v>
      </c>
      <c r="AB159" s="91" t="str">
        <f t="shared" si="74"/>
        <v>13.5680373746948-4.01706505844855j</v>
      </c>
      <c r="AC159" s="91">
        <f t="shared" si="75"/>
        <v>23.015257851822781</v>
      </c>
      <c r="AD159" s="91">
        <f t="shared" si="76"/>
        <v>163.50765102965789</v>
      </c>
      <c r="AF159" s="91" t="str">
        <f t="shared" si="77"/>
        <v>2.96323870039958-2.56519340878018j</v>
      </c>
      <c r="AG159" s="91">
        <f t="shared" si="78"/>
        <v>11.864195123388178</v>
      </c>
      <c r="AH159" s="91">
        <f t="shared" si="79"/>
        <v>139.11817093658851</v>
      </c>
      <c r="AJ159" s="91" t="str">
        <f t="shared" si="80"/>
        <v>46874.9974344318-10.9663576618675j</v>
      </c>
      <c r="AK159" s="91" t="str">
        <f t="shared" si="81"/>
        <v>15000-0.0000112295508603694j</v>
      </c>
      <c r="AL159" s="91" t="str">
        <f t="shared" si="95"/>
        <v>10000-445253.782824536j</v>
      </c>
      <c r="AM159" s="91" t="str">
        <f t="shared" si="96"/>
        <v>962.908108593204-138197.122980828j</v>
      </c>
      <c r="AN159" s="91" t="str">
        <f t="shared" si="97"/>
        <v>10962.9081085932-138197.122980828j</v>
      </c>
      <c r="AO159" s="91" t="str">
        <f t="shared" si="98"/>
        <v>14704.5568729264-1572.60465404084j</v>
      </c>
      <c r="AP159" s="91" t="str">
        <f t="shared" si="99"/>
        <v>0.242424244861062+0.0000429656982311195j</v>
      </c>
      <c r="AQ159" s="91" t="str">
        <f t="shared" si="82"/>
        <v>1+6.82756692310459j</v>
      </c>
      <c r="AR159" s="91">
        <f t="shared" si="83"/>
        <v>6.5924217770853922E-8</v>
      </c>
      <c r="AS159" s="91" t="str">
        <f t="shared" si="84"/>
        <v>0.000379997021109615j</v>
      </c>
      <c r="AT159" s="91" t="str">
        <f t="shared" si="85"/>
        <v>6.59242177708539E-08+0.000379997021109615j</v>
      </c>
      <c r="AU159" s="91" t="str">
        <f t="shared" si="86"/>
        <v>5.39036346954504-0.788544719718561j</v>
      </c>
      <c r="AW159" s="91" t="str">
        <f t="shared" si="100"/>
        <v>1.29866125985999-0.236003835782661j</v>
      </c>
      <c r="AX159" s="91">
        <f t="shared" si="87"/>
        <v>2.4110271536444152</v>
      </c>
      <c r="AY159" s="91">
        <f t="shared" si="88"/>
        <v>169.70012445234914</v>
      </c>
      <c r="AZ159" s="91" t="str">
        <f t="shared" si="89"/>
        <v>16.6722417484662-8.41891563421482j</v>
      </c>
      <c r="BA159" s="91">
        <f t="shared" si="90"/>
        <v>25.426285005467189</v>
      </c>
      <c r="BB159" s="91">
        <f t="shared" si="91"/>
        <v>153.20777548200698</v>
      </c>
      <c r="BD159" s="91" t="str">
        <f t="shared" si="92"/>
        <v>3.24284781993027-4.03065300366494j</v>
      </c>
      <c r="BE159" s="91">
        <f t="shared" si="93"/>
        <v>14.275222277032588</v>
      </c>
      <c r="BF159" s="91">
        <f t="shared" si="94"/>
        <v>128.81829538893757</v>
      </c>
      <c r="BH159" s="91">
        <f t="shared" si="101"/>
        <v>-13.275222277032588</v>
      </c>
      <c r="BI159" s="112">
        <f t="shared" si="102"/>
        <v>-128.81829538893757</v>
      </c>
      <c r="BJ159" s="95"/>
      <c r="BK159" s="95"/>
      <c r="BL159" s="95"/>
      <c r="BM159" s="95"/>
      <c r="BN159" s="46"/>
      <c r="BO159" s="46"/>
      <c r="BP159" s="46"/>
    </row>
    <row r="160" spans="1:68" s="91" customFormat="1">
      <c r="A160" s="91">
        <v>96</v>
      </c>
      <c r="B160" s="91">
        <f t="shared" si="52"/>
        <v>8317.6377110267131</v>
      </c>
      <c r="C160" s="91" t="str">
        <f t="shared" si="53"/>
        <v>52261.2590563659j</v>
      </c>
      <c r="D160" s="91">
        <f t="shared" si="54"/>
        <v>0.99977129554680366</v>
      </c>
      <c r="E160" s="91" t="str">
        <f t="shared" si="55"/>
        <v>-0.0237551177528936j</v>
      </c>
      <c r="F160" s="91" t="str">
        <f t="shared" si="56"/>
        <v>0.999771295546804-0.0237551177528936j</v>
      </c>
      <c r="G160" s="91">
        <f t="shared" si="57"/>
        <v>4.6444885131757574E-4</v>
      </c>
      <c r="H160" s="91">
        <f t="shared" si="58"/>
        <v>-1.3611232341664099</v>
      </c>
      <c r="J160" s="91">
        <f t="shared" si="59"/>
        <v>7.1641791044776131</v>
      </c>
      <c r="K160" s="91" t="str">
        <f t="shared" si="60"/>
        <v>1+1.29738575607428j</v>
      </c>
      <c r="L160" s="91">
        <f t="shared" si="61"/>
        <v>0.72474000654279769</v>
      </c>
      <c r="M160" s="91" t="str">
        <f t="shared" si="62"/>
        <v>0.235390170921415j</v>
      </c>
      <c r="N160" s="91" t="str">
        <f t="shared" si="63"/>
        <v>0.724740006542798+0.235390170921415j</v>
      </c>
      <c r="O160" s="91" t="str">
        <f t="shared" si="64"/>
        <v>1.77408100466977+1.21393122666628j</v>
      </c>
      <c r="P160" s="91" t="str">
        <f t="shared" si="65"/>
        <v>12.7098340633058+8.69682072835544j</v>
      </c>
      <c r="R160" s="91">
        <f t="shared" si="66"/>
        <v>11.82089552238806</v>
      </c>
      <c r="S160" s="91" t="str">
        <f t="shared" si="67"/>
        <v>1+0.00391959442922744j</v>
      </c>
      <c r="T160" s="91" t="str">
        <f t="shared" si="68"/>
        <v>0.724740006542798+0.235390170921415j</v>
      </c>
      <c r="U160" s="91" t="str">
        <f t="shared" si="69"/>
        <v>1.24972768497849-0.40049399277359j</v>
      </c>
      <c r="V160" s="91" t="str">
        <f t="shared" si="70"/>
        <v>14.7729003955666-4.73419764592065j</v>
      </c>
      <c r="X160" s="91" t="str">
        <f t="shared" si="71"/>
        <v>2.41753732771677+1.57123438693196j</v>
      </c>
      <c r="Y160" s="91">
        <f t="shared" si="72"/>
        <v>9.1977158437840902</v>
      </c>
      <c r="Z160" s="91">
        <f t="shared" si="73"/>
        <v>-146.97887950560383</v>
      </c>
      <c r="AB160" s="91" t="str">
        <f t="shared" si="74"/>
        <v>13.8281563190102-4.43144022771096j</v>
      </c>
      <c r="AC160" s="91">
        <f t="shared" si="75"/>
        <v>23.2398507723642</v>
      </c>
      <c r="AD160" s="91">
        <f t="shared" si="76"/>
        <v>162.23116345472801</v>
      </c>
      <c r="AF160" s="91" t="str">
        <f t="shared" si="77"/>
        <v>2.84806643746605-2.6060930127352j</v>
      </c>
      <c r="AG160" s="91">
        <f t="shared" si="78"/>
        <v>11.7327962362485</v>
      </c>
      <c r="AH160" s="91">
        <f t="shared" si="79"/>
        <v>137.54025773920441</v>
      </c>
      <c r="AJ160" s="91" t="str">
        <f t="shared" si="80"/>
        <v>46874.9971869105-11.4831861152416j</v>
      </c>
      <c r="AK160" s="91" t="str">
        <f t="shared" si="81"/>
        <v>15000-0.0000117587832876823j</v>
      </c>
      <c r="AL160" s="91" t="str">
        <f t="shared" si="95"/>
        <v>10000-425214.06149543j</v>
      </c>
      <c r="AM160" s="91" t="str">
        <f t="shared" si="96"/>
        <v>962.88582688156-131978.601658263j</v>
      </c>
      <c r="AN160" s="91" t="str">
        <f t="shared" si="97"/>
        <v>10962.8858268816-131978.601658263j</v>
      </c>
      <c r="AO160" s="91" t="str">
        <f t="shared" si="98"/>
        <v>14677.1217740266-1641.30509259803j</v>
      </c>
      <c r="AP160" s="91" t="str">
        <f t="shared" si="99"/>
        <v>0.242424245096162+0.0000449906091907824j</v>
      </c>
      <c r="AQ160" s="91" t="str">
        <f t="shared" si="82"/>
        <v>1+7.14934023891086j</v>
      </c>
      <c r="AR160" s="91">
        <f t="shared" si="83"/>
        <v>6.2636647769217854E-8</v>
      </c>
      <c r="AS160" s="91" t="str">
        <f t="shared" si="84"/>
        <v>0.000397905728978178j</v>
      </c>
      <c r="AT160" s="91" t="str">
        <f t="shared" si="85"/>
        <v>6.26366477692179E-08+0.000397905728978178j</v>
      </c>
      <c r="AU160" s="91" t="str">
        <f t="shared" si="86"/>
        <v>5.39034521762673-0.753098900120844j</v>
      </c>
      <c r="AW160" s="91" t="str">
        <f t="shared" si="100"/>
        <v>1.29851245714098-0.229519033088798j</v>
      </c>
      <c r="AX160" s="91">
        <f t="shared" si="87"/>
        <v>2.4025302531168724</v>
      </c>
      <c r="AY160" s="91">
        <f t="shared" si="88"/>
        <v>169.97619768153058</v>
      </c>
      <c r="AZ160" s="91" t="str">
        <f t="shared" si="89"/>
        <v>16.9389333632725-8.92810540649832j</v>
      </c>
      <c r="BA160" s="91">
        <f t="shared" si="90"/>
        <v>25.642381025481079</v>
      </c>
      <c r="BB160" s="91">
        <f t="shared" si="91"/>
        <v>152.20736113625861</v>
      </c>
      <c r="BD160" s="91" t="str">
        <f t="shared" si="92"/>
        <v>3.10010179939234-4.0377296964046j</v>
      </c>
      <c r="BE160" s="91">
        <f t="shared" si="93"/>
        <v>14.135326489365385</v>
      </c>
      <c r="BF160" s="91">
        <f t="shared" si="94"/>
        <v>127.5164554207349</v>
      </c>
      <c r="BH160" s="91">
        <f t="shared" si="101"/>
        <v>-13.135326489365385</v>
      </c>
      <c r="BI160" s="112">
        <f t="shared" si="102"/>
        <v>-127.5164554207349</v>
      </c>
      <c r="BJ160" s="95"/>
      <c r="BK160" s="95"/>
      <c r="BL160" s="95"/>
      <c r="BM160" s="95"/>
      <c r="BN160" s="46"/>
      <c r="BO160" s="46"/>
      <c r="BP160" s="46"/>
    </row>
    <row r="161" spans="1:68" s="91" customFormat="1">
      <c r="A161" s="91">
        <v>97</v>
      </c>
      <c r="B161" s="91">
        <f t="shared" si="52"/>
        <v>8709.635899560808</v>
      </c>
      <c r="C161" s="91" t="str">
        <f t="shared" si="53"/>
        <v>54724.2563150043j</v>
      </c>
      <c r="D161" s="91">
        <f t="shared" si="54"/>
        <v>0.99974923055370934</v>
      </c>
      <c r="E161" s="91" t="str">
        <f t="shared" si="55"/>
        <v>-0.0248746619613656j</v>
      </c>
      <c r="F161" s="91" t="str">
        <f t="shared" si="56"/>
        <v>0.999749230553709-0.0248746619613656j</v>
      </c>
      <c r="G161" s="91">
        <f t="shared" si="57"/>
        <v>5.0927943929285617E-4</v>
      </c>
      <c r="H161" s="91">
        <f t="shared" si="58"/>
        <v>-1.4252765750804195</v>
      </c>
      <c r="J161" s="91">
        <f t="shared" si="59"/>
        <v>7.1641791044776131</v>
      </c>
      <c r="K161" s="91" t="str">
        <f t="shared" si="60"/>
        <v>1+1.35852966301998j</v>
      </c>
      <c r="L161" s="91">
        <f t="shared" si="61"/>
        <v>0.69818341890366264</v>
      </c>
      <c r="M161" s="91" t="str">
        <f t="shared" si="62"/>
        <v>0.246483767902394j</v>
      </c>
      <c r="N161" s="91" t="str">
        <f t="shared" si="63"/>
        <v>0.698183418903663+0.246483767902394j</v>
      </c>
      <c r="O161" s="91" t="str">
        <f t="shared" si="64"/>
        <v>1.884370518011+1.28055593044642j</v>
      </c>
      <c r="P161" s="91" t="str">
        <f t="shared" si="65"/>
        <v>13.4999678902281+9.17413203901913j</v>
      </c>
      <c r="R161" s="91">
        <f t="shared" si="66"/>
        <v>11.82089552238806</v>
      </c>
      <c r="S161" s="91" t="str">
        <f t="shared" si="67"/>
        <v>1+0.00410431922362532j</v>
      </c>
      <c r="T161" s="91" t="str">
        <f t="shared" si="68"/>
        <v>0.698183418903663+0.246483767902394j</v>
      </c>
      <c r="U161" s="91" t="str">
        <f t="shared" si="69"/>
        <v>1.27540456945526-0.444384951368271j</v>
      </c>
      <c r="V161" s="91" t="str">
        <f t="shared" si="70"/>
        <v>15.076424164307-5.25302808184583j</v>
      </c>
      <c r="X161" s="91" t="str">
        <f t="shared" si="71"/>
        <v>2.56941399991769+1.65419006579825j</v>
      </c>
      <c r="Y161" s="91">
        <f t="shared" si="72"/>
        <v>9.7026470946273324</v>
      </c>
      <c r="Z161" s="91">
        <f t="shared" si="73"/>
        <v>-147.22654434570413</v>
      </c>
      <c r="AB161" s="91" t="str">
        <f t="shared" si="74"/>
        <v>14.1122693914802-4.91709085683093j</v>
      </c>
      <c r="AC161" s="91">
        <f t="shared" si="75"/>
        <v>23.489547080100692</v>
      </c>
      <c r="AD161" s="91">
        <f t="shared" si="76"/>
        <v>160.79030127174329</v>
      </c>
      <c r="AF161" s="91" t="str">
        <f t="shared" si="77"/>
        <v>2.72911820141615-2.64233038650608j</v>
      </c>
      <c r="AG161" s="91">
        <f t="shared" si="78"/>
        <v>11.592662115723343</v>
      </c>
      <c r="AH161" s="91">
        <f t="shared" si="79"/>
        <v>135.92566144607329</v>
      </c>
      <c r="AJ161" s="91" t="str">
        <f t="shared" si="80"/>
        <v>46874.9969155087-12.0243719342313j</v>
      </c>
      <c r="AK161" s="91" t="str">
        <f t="shared" si="81"/>
        <v>15000-0.000012312957670876j</v>
      </c>
      <c r="AL161" s="91" t="str">
        <f t="shared" si="95"/>
        <v>10000-406076.2762002j</v>
      </c>
      <c r="AM161" s="91" t="str">
        <f t="shared" si="96"/>
        <v>962.861396655759-126040.02457471j</v>
      </c>
      <c r="AN161" s="91" t="str">
        <f t="shared" si="97"/>
        <v>10962.8613966558-126040.02457471j</v>
      </c>
      <c r="AO161" s="91" t="str">
        <f t="shared" si="98"/>
        <v>14647.2470932066-1712.48401000235j</v>
      </c>
      <c r="AP161" s="91" t="str">
        <f t="shared" si="99"/>
        <v>0.242424245353944+0.0000471109512618391j</v>
      </c>
      <c r="AQ161" s="91" t="str">
        <f t="shared" si="82"/>
        <v>1+7.48627826389259j</v>
      </c>
      <c r="AR161" s="91">
        <f t="shared" si="83"/>
        <v>5.9031898944129627E-8</v>
      </c>
      <c r="AS161" s="91" t="str">
        <f t="shared" si="84"/>
        <v>0.000416658448246053j</v>
      </c>
      <c r="AT161" s="91" t="str">
        <f t="shared" si="85"/>
        <v>5.90318989441296E-08+0.000416658448246053j</v>
      </c>
      <c r="AU161" s="91" t="str">
        <f t="shared" si="86"/>
        <v>5.3903285709078-0.719250503452056j</v>
      </c>
      <c r="AW161" s="91" t="str">
        <f t="shared" si="100"/>
        <v>1.29835014964274-0.223520100408323j</v>
      </c>
      <c r="AX161" s="91">
        <f t="shared" si="87"/>
        <v>2.3946824454777591</v>
      </c>
      <c r="AY161" s="91">
        <f t="shared" si="88"/>
        <v>170.23188055427465</v>
      </c>
      <c r="AZ161" s="91" t="str">
        <f t="shared" si="89"/>
        <v>17.2235984341913-9.53848152114634j</v>
      </c>
      <c r="BA161" s="91">
        <f t="shared" si="90"/>
        <v>25.884229525578458</v>
      </c>
      <c r="BB161" s="91">
        <f t="shared" si="91"/>
        <v>151.02218182601797</v>
      </c>
      <c r="BD161" s="91" t="str">
        <f t="shared" si="92"/>
        <v>2.95273707189759-4.04068282713245j</v>
      </c>
      <c r="BE161" s="91">
        <f t="shared" si="93"/>
        <v>13.987344561201114</v>
      </c>
      <c r="BF161" s="91">
        <f t="shared" si="94"/>
        <v>126.157542000348</v>
      </c>
      <c r="BH161" s="91">
        <f t="shared" si="101"/>
        <v>-12.987344561201114</v>
      </c>
      <c r="BI161" s="112">
        <f t="shared" si="102"/>
        <v>-126.157542000348</v>
      </c>
      <c r="BJ161" s="95"/>
      <c r="BK161" s="95"/>
      <c r="BL161" s="95"/>
      <c r="BM161" s="95"/>
      <c r="BN161" s="46"/>
      <c r="BO161" s="46"/>
      <c r="BP161" s="46"/>
    </row>
    <row r="162" spans="1:68" s="91" customFormat="1">
      <c r="A162" s="91">
        <v>98</v>
      </c>
      <c r="B162" s="91">
        <f t="shared" si="52"/>
        <v>9120.1083935590977</v>
      </c>
      <c r="C162" s="91" t="str">
        <f t="shared" si="53"/>
        <v>57303.3310582957j</v>
      </c>
      <c r="D162" s="91">
        <f t="shared" si="54"/>
        <v>0.99972503676988345</v>
      </c>
      <c r="E162" s="91" t="str">
        <f t="shared" si="55"/>
        <v>-0.0260469686628617j</v>
      </c>
      <c r="F162" s="91" t="str">
        <f t="shared" si="56"/>
        <v>0.999725036769883-0.0260469686628617j</v>
      </c>
      <c r="G162" s="91">
        <f t="shared" si="57"/>
        <v>5.5843952953369422E-4</v>
      </c>
      <c r="H162" s="91">
        <f t="shared" si="58"/>
        <v>-1.4924541959612783</v>
      </c>
      <c r="J162" s="91">
        <f t="shared" si="59"/>
        <v>7.1641791044776131</v>
      </c>
      <c r="K162" s="91" t="str">
        <f t="shared" si="60"/>
        <v>1+1.42255519352219j</v>
      </c>
      <c r="L162" s="91">
        <f t="shared" si="61"/>
        <v>0.66906469959338477</v>
      </c>
      <c r="M162" s="91" t="str">
        <f t="shared" si="62"/>
        <v>0.258100190001749j</v>
      </c>
      <c r="N162" s="91" t="str">
        <f t="shared" si="63"/>
        <v>0.669064699593385+0.258100190001749j</v>
      </c>
      <c r="O162" s="91" t="str">
        <f t="shared" si="64"/>
        <v>2.0149726900252+1.34888353835859j</v>
      </c>
      <c r="P162" s="91" t="str">
        <f t="shared" si="65"/>
        <v>14.4356252419716+9.66364325988244j</v>
      </c>
      <c r="R162" s="91">
        <f t="shared" si="66"/>
        <v>11.82089552238806</v>
      </c>
      <c r="S162" s="91" t="str">
        <f t="shared" si="67"/>
        <v>1+0.00429774982937218j</v>
      </c>
      <c r="T162" s="91" t="str">
        <f t="shared" si="68"/>
        <v>0.669064699593385+0.258100190001749j</v>
      </c>
      <c r="U162" s="91" t="str">
        <f t="shared" si="69"/>
        <v>1.30317285967356-0.496291932692453j</v>
      </c>
      <c r="V162" s="91" t="str">
        <f t="shared" si="70"/>
        <v>15.4046702218128-5.86661508496153j</v>
      </c>
      <c r="X162" s="91" t="str">
        <f t="shared" si="71"/>
        <v>2.74886928617546+1.73823930028294j</v>
      </c>
      <c r="Y162" s="91">
        <f t="shared" si="72"/>
        <v>10.243936358542687</v>
      </c>
      <c r="Z162" s="91">
        <f t="shared" si="73"/>
        <v>-147.69290791353419</v>
      </c>
      <c r="AB162" s="91" t="str">
        <f t="shared" si="74"/>
        <v>14.4195237337386-5.49143826101049j</v>
      </c>
      <c r="AC162" s="91">
        <f t="shared" si="75"/>
        <v>23.767202850379054</v>
      </c>
      <c r="AD162" s="91">
        <f t="shared" si="76"/>
        <v>159.15148837340547</v>
      </c>
      <c r="AF162" s="91" t="str">
        <f t="shared" si="77"/>
        <v>2.60674558368989-2.67349569038832j</v>
      </c>
      <c r="AG162" s="91">
        <f t="shared" si="78"/>
        <v>11.443469372545227</v>
      </c>
      <c r="AH162" s="91">
        <f t="shared" si="79"/>
        <v>134.27573467018695</v>
      </c>
      <c r="AJ162" s="91" t="str">
        <f t="shared" si="80"/>
        <v>46874.9966179226-12.5910630447811j</v>
      </c>
      <c r="AK162" s="91" t="str">
        <f t="shared" si="81"/>
        <v>15000-0.0000128932494881165j</v>
      </c>
      <c r="AL162" s="91" t="str">
        <f t="shared" si="95"/>
        <v>10000-387799.833130383j</v>
      </c>
      <c r="AM162" s="91" t="str">
        <f t="shared" si="96"/>
        <v>962.834610870668-120368.795201641j</v>
      </c>
      <c r="AN162" s="91" t="str">
        <f t="shared" si="97"/>
        <v>10962.8346108707-120368.795201641j</v>
      </c>
      <c r="AO162" s="91" t="str">
        <f t="shared" si="98"/>
        <v>14614.7367020682-1786.15623661359j</v>
      </c>
      <c r="AP162" s="91" t="str">
        <f t="shared" si="99"/>
        <v>0.242424245636596+0.0000493312219737001j</v>
      </c>
      <c r="AQ162" s="91" t="str">
        <f t="shared" si="82"/>
        <v>1+7.83909568877485j</v>
      </c>
      <c r="AR162" s="91">
        <f t="shared" si="83"/>
        <v>5.5079370454847559E-8</v>
      </c>
      <c r="AS162" s="91" t="str">
        <f t="shared" si="84"/>
        <v>0.000436294955945031j</v>
      </c>
      <c r="AT162" s="91" t="str">
        <f t="shared" si="85"/>
        <v>5.50793704548476E-08+0.000436294955945031j</v>
      </c>
      <c r="AU162" s="91" t="str">
        <f t="shared" si="86"/>
        <v>5.3903133880737-0.686927732828958j</v>
      </c>
      <c r="AW162" s="91" t="str">
        <f t="shared" si="100"/>
        <v>1.29817296979239-0.217994169844971j</v>
      </c>
      <c r="AX162" s="91">
        <f t="shared" si="87"/>
        <v>2.3874205253542065</v>
      </c>
      <c r="AY162" s="91">
        <f t="shared" si="88"/>
        <v>170.46760903022982</v>
      </c>
      <c r="AZ162" s="91" t="str">
        <f t="shared" si="89"/>
        <v>17.5219344234554-10.2722088216238j</v>
      </c>
      <c r="BA162" s="91">
        <f t="shared" si="90"/>
        <v>26.154623375733273</v>
      </c>
      <c r="BB162" s="91">
        <f t="shared" si="91"/>
        <v>149.61909740363518</v>
      </c>
      <c r="BD162" s="91" t="str">
        <f t="shared" si="92"/>
        <v>2.80120018226158-4.0389151796321j</v>
      </c>
      <c r="BE162" s="91">
        <f t="shared" si="93"/>
        <v>13.830889897899446</v>
      </c>
      <c r="BF162" s="91">
        <f t="shared" si="94"/>
        <v>124.74334370041657</v>
      </c>
      <c r="BH162" s="91">
        <f t="shared" si="101"/>
        <v>-12.830889897899446</v>
      </c>
      <c r="BI162" s="112">
        <f t="shared" si="102"/>
        <v>-124.74334370041657</v>
      </c>
      <c r="BJ162" s="95"/>
      <c r="BK162" s="95"/>
      <c r="BL162" s="95"/>
      <c r="BM162" s="95"/>
      <c r="BN162" s="46"/>
      <c r="BO162" s="46"/>
      <c r="BP162" s="46"/>
    </row>
    <row r="163" spans="1:68" s="91" customFormat="1">
      <c r="A163" s="91">
        <v>99</v>
      </c>
      <c r="B163" s="91">
        <f t="shared" si="52"/>
        <v>9549.9258602143655</v>
      </c>
      <c r="C163" s="91" t="str">
        <f t="shared" si="53"/>
        <v>60003.9538495533j</v>
      </c>
      <c r="D163" s="91">
        <f t="shared" si="54"/>
        <v>0.99969850881343603</v>
      </c>
      <c r="E163" s="91" t="str">
        <f t="shared" si="55"/>
        <v>-0.0272745244770697j</v>
      </c>
      <c r="F163" s="91" t="str">
        <f t="shared" si="56"/>
        <v>0.999698508813436-0.0272745244770697j</v>
      </c>
      <c r="G163" s="91">
        <f t="shared" si="57"/>
        <v>6.1234769982621918E-4</v>
      </c>
      <c r="H163" s="91">
        <f t="shared" si="58"/>
        <v>-1.562798749022849</v>
      </c>
      <c r="J163" s="91">
        <f t="shared" si="59"/>
        <v>7.1641791044776131</v>
      </c>
      <c r="K163" s="91" t="str">
        <f t="shared" si="60"/>
        <v>1+1.48959815431516j</v>
      </c>
      <c r="L163" s="91">
        <f t="shared" si="61"/>
        <v>0.63713665877005077</v>
      </c>
      <c r="M163" s="91" t="str">
        <f t="shared" si="62"/>
        <v>0.270264077208193j</v>
      </c>
      <c r="N163" s="91" t="str">
        <f t="shared" si="63"/>
        <v>0.637136658770051+0.270264077208193j</v>
      </c>
      <c r="O163" s="91" t="str">
        <f t="shared" si="64"/>
        <v>2.17067300060161+1.41718924261852j</v>
      </c>
      <c r="P163" s="91" t="str">
        <f t="shared" si="65"/>
        <v>15.5510901535638+10.1529975590581j</v>
      </c>
      <c r="R163" s="91">
        <f t="shared" si="66"/>
        <v>11.82089552238806</v>
      </c>
      <c r="S163" s="91" t="str">
        <f t="shared" si="67"/>
        <v>1+0.0045002965387165j</v>
      </c>
      <c r="T163" s="91" t="str">
        <f t="shared" si="68"/>
        <v>0.637136658770051+0.270264077208193j</v>
      </c>
      <c r="U163" s="91" t="str">
        <f t="shared" si="69"/>
        <v>1.33271787198429-0.558256167520814j</v>
      </c>
      <c r="V163" s="91" t="str">
        <f t="shared" si="70"/>
        <v>15.7539187255456-6.59908783099231j</v>
      </c>
      <c r="X163" s="91" t="str">
        <f t="shared" si="71"/>
        <v>2.96228004063582+1.82076250743765j</v>
      </c>
      <c r="Y163" s="91">
        <f t="shared" si="72"/>
        <v>10.824363282288555</v>
      </c>
      <c r="Z163" s="91">
        <f t="shared" si="73"/>
        <v>-148.42307780987954</v>
      </c>
      <c r="AB163" s="91" t="str">
        <f t="shared" si="74"/>
        <v>14.7464373914823-6.17706852726261j</v>
      </c>
      <c r="AC163" s="91">
        <f t="shared" si="75"/>
        <v>24.075839421440406</v>
      </c>
      <c r="AD163" s="91">
        <f t="shared" si="76"/>
        <v>157.27189774280933</v>
      </c>
      <c r="AF163" s="91" t="str">
        <f t="shared" si="77"/>
        <v>2.48135359959832-2.6992095509207j</v>
      </c>
      <c r="AG163" s="91">
        <f t="shared" si="78"/>
        <v>11.284912843549822</v>
      </c>
      <c r="AH163" s="91">
        <f t="shared" si="79"/>
        <v>132.59198448966131</v>
      </c>
      <c r="AJ163" s="91" t="str">
        <f t="shared" si="80"/>
        <v>46874.9962916258-13.184461472722j</v>
      </c>
      <c r="AK163" s="91" t="str">
        <f t="shared" si="81"/>
        <v>15000-0.0000135008896161495j</v>
      </c>
      <c r="AL163" s="91" t="str">
        <f t="shared" si="95"/>
        <v>10000-370345.965499866j</v>
      </c>
      <c r="AM163" s="91" t="str">
        <f t="shared" si="96"/>
        <v>962.805242554199-114952.88408934j</v>
      </c>
      <c r="AN163" s="91" t="str">
        <f t="shared" si="97"/>
        <v>10962.8052425542-114952.88408934j</v>
      </c>
      <c r="AO163" s="91" t="str">
        <f t="shared" si="98"/>
        <v>14579.3826830236-1862.3247058172j</v>
      </c>
      <c r="AP163" s="91" t="str">
        <f t="shared" si="99"/>
        <v>0.242424245946519+0.0000516561308177647j</v>
      </c>
      <c r="AQ163" s="91" t="str">
        <f t="shared" si="82"/>
        <v>1+8.20854088661889j</v>
      </c>
      <c r="AR163" s="91">
        <f t="shared" si="83"/>
        <v>5.0745509146714897E-8</v>
      </c>
      <c r="AS163" s="91" t="str">
        <f t="shared" si="84"/>
        <v>0.000456856903740652j</v>
      </c>
      <c r="AT163" s="91" t="str">
        <f t="shared" si="85"/>
        <v>5.07455091467149E-08+0.000456856903740652j</v>
      </c>
      <c r="AU163" s="91" t="str">
        <f t="shared" si="86"/>
        <v>5.39029954023687-0.656062027412256j</v>
      </c>
      <c r="AW163" s="91" t="str">
        <f t="shared" si="100"/>
        <v>1.29797942583453-0.212929355658969j</v>
      </c>
      <c r="AX163" s="91">
        <f t="shared" si="87"/>
        <v>2.3806857048172287</v>
      </c>
      <c r="AY163" s="91">
        <f t="shared" si="88"/>
        <v>170.6837905700917</v>
      </c>
      <c r="AZ163" s="91" t="str">
        <f t="shared" si="89"/>
        <v>17.8252931171297-11.1576572723905j</v>
      </c>
      <c r="BA163" s="91">
        <f t="shared" si="90"/>
        <v>26.45652512625762</v>
      </c>
      <c r="BB163" s="91">
        <f t="shared" si="91"/>
        <v>147.95568831290106</v>
      </c>
      <c r="BD163" s="91" t="str">
        <f t="shared" si="92"/>
        <v>2.64600497003299-4.03187148623566j</v>
      </c>
      <c r="BE163" s="91">
        <f t="shared" si="93"/>
        <v>13.665598548367042</v>
      </c>
      <c r="BF163" s="91">
        <f t="shared" si="94"/>
        <v>123.27577505975302</v>
      </c>
      <c r="BH163" s="91">
        <f t="shared" si="101"/>
        <v>-12.665598548367042</v>
      </c>
      <c r="BI163" s="112">
        <f t="shared" si="102"/>
        <v>-123.27577505975302</v>
      </c>
      <c r="BJ163" s="95"/>
      <c r="BK163" s="95"/>
      <c r="BL163" s="95"/>
      <c r="BM163" s="95"/>
      <c r="BN163" s="46"/>
      <c r="BO163" s="46"/>
      <c r="BP163" s="46"/>
    </row>
    <row r="164" spans="1:68" s="91" customFormat="1">
      <c r="A164" s="91">
        <v>100</v>
      </c>
      <c r="B164" s="91">
        <f t="shared" si="52"/>
        <v>10000</v>
      </c>
      <c r="C164" s="91" t="str">
        <f t="shared" si="53"/>
        <v>62831.8530717959j</v>
      </c>
      <c r="D164" s="91">
        <f t="shared" si="54"/>
        <v>0.99966942148760329</v>
      </c>
      <c r="E164" s="91" t="str">
        <f t="shared" si="55"/>
        <v>-0.0285599332144527j</v>
      </c>
      <c r="F164" s="91" t="str">
        <f t="shared" si="56"/>
        <v>0.999669421487603-0.0285599332144527j</v>
      </c>
      <c r="G164" s="91">
        <f t="shared" si="57"/>
        <v>6.7146308854129676E-4</v>
      </c>
      <c r="H164" s="91">
        <f t="shared" si="58"/>
        <v>-1.6364596275604597</v>
      </c>
      <c r="J164" s="91">
        <f t="shared" si="59"/>
        <v>7.1641791044776131</v>
      </c>
      <c r="K164" s="91" t="str">
        <f t="shared" si="60"/>
        <v>1+1.55980075250733j</v>
      </c>
      <c r="L164" s="91">
        <f t="shared" si="61"/>
        <v>0.60212825816169624</v>
      </c>
      <c r="M164" s="91" t="str">
        <f t="shared" si="62"/>
        <v>0.283001230757331j</v>
      </c>
      <c r="N164" s="91" t="str">
        <f t="shared" si="63"/>
        <v>0.602128258161696+0.283001230757331j</v>
      </c>
      <c r="O164" s="91" t="str">
        <f t="shared" si="64"/>
        <v>2.35752442234135+1.48243904408246j</v>
      </c>
      <c r="P164" s="91" t="str">
        <f t="shared" si="65"/>
        <v>16.8897272048336+10.6204588232773j</v>
      </c>
      <c r="R164" s="91">
        <f t="shared" si="66"/>
        <v>11.82089552238806</v>
      </c>
      <c r="S164" s="91" t="str">
        <f t="shared" si="67"/>
        <v>1+0.00471238898038469j</v>
      </c>
      <c r="T164" s="91" t="str">
        <f t="shared" si="68"/>
        <v>0.602128258161696+0.283001230757331j</v>
      </c>
      <c r="U164" s="91" t="str">
        <f t="shared" si="69"/>
        <v>1.36329924632734-0.632926574122772j</v>
      </c>
      <c r="V164" s="91" t="str">
        <f t="shared" si="70"/>
        <v>16.1154179565859-7.48175890604829j</v>
      </c>
      <c r="X164" s="91" t="str">
        <f t="shared" si="71"/>
        <v>3.21766104849034+1.89729208533661j</v>
      </c>
      <c r="Y164" s="91">
        <f t="shared" si="72"/>
        <v>11.446694580253984</v>
      </c>
      <c r="Z164" s="91">
        <f t="shared" si="73"/>
        <v>-149.47429597352433</v>
      </c>
      <c r="AB164" s="91" t="str">
        <f t="shared" si="74"/>
        <v>15.0848183283447-7.00329176557848j</v>
      </c>
      <c r="AC164" s="91">
        <f t="shared" si="75"/>
        <v>24.418487836045209</v>
      </c>
      <c r="AD164" s="91">
        <f t="shared" si="76"/>
        <v>155.09639948021865</v>
      </c>
      <c r="AF164" s="91" t="str">
        <f t="shared" si="77"/>
        <v>2.35339731181754-2.71913122631021j</v>
      </c>
      <c r="AG164" s="91">
        <f t="shared" si="78"/>
        <v>11.116708520028237</v>
      </c>
      <c r="AH164" s="91">
        <f t="shared" si="79"/>
        <v>130.87605854067826</v>
      </c>
      <c r="AJ164" s="91" t="str">
        <f t="shared" si="80"/>
        <v>46874.9959338486-13.8058258933903j</v>
      </c>
      <c r="AK164" s="91" t="str">
        <f t="shared" si="81"/>
        <v>15000-0.0000141371669411541j</v>
      </c>
      <c r="AL164" s="91" t="str">
        <f t="shared" si="95"/>
        <v>10000-353677.651315322j</v>
      </c>
      <c r="AM164" s="91" t="str">
        <f t="shared" si="96"/>
        <v>962.773042894666-109780.803350595j</v>
      </c>
      <c r="AN164" s="91" t="str">
        <f t="shared" si="97"/>
        <v>10962.7730428947-109780.803350595j</v>
      </c>
      <c r="AO164" s="91" t="str">
        <f t="shared" si="98"/>
        <v>14540.9654011871-1940.97860384786j</v>
      </c>
      <c r="AP164" s="91" t="str">
        <f t="shared" si="99"/>
        <v>0.242424246286342+0.0000540906092368695j</v>
      </c>
      <c r="AQ164" s="91" t="str">
        <f t="shared" si="82"/>
        <v>1+8.59539750022168j</v>
      </c>
      <c r="AR164" s="91">
        <f t="shared" si="83"/>
        <v>4.5993524717238934E-8</v>
      </c>
      <c r="AS164" s="91" t="str">
        <f t="shared" si="84"/>
        <v>0.000478387906280978j</v>
      </c>
      <c r="AT164" s="91" t="str">
        <f t="shared" si="85"/>
        <v>4.59935247172389E-08+0.000478387906280978j</v>
      </c>
      <c r="AU164" s="91" t="str">
        <f t="shared" si="86"/>
        <v>5.39028690984258-0.626587916981583j</v>
      </c>
      <c r="AW164" s="91" t="str">
        <f t="shared" si="100"/>
        <v>1.29776788958434-0.208314725950177j</v>
      </c>
      <c r="AX164" s="91">
        <f t="shared" si="87"/>
        <v>2.3744232062260866</v>
      </c>
      <c r="AY164" s="91">
        <f t="shared" si="88"/>
        <v>170.88080339086878</v>
      </c>
      <c r="AZ164" s="91" t="str">
        <f t="shared" si="89"/>
        <v>18.1177040418435-12.2310369708355j</v>
      </c>
      <c r="BA164" s="91">
        <f t="shared" si="90"/>
        <v>26.792911042271307</v>
      </c>
      <c r="BB164" s="91">
        <f t="shared" si="91"/>
        <v>145.97720287108746</v>
      </c>
      <c r="BD164" s="91" t="str">
        <f t="shared" si="92"/>
        <v>2.48772838647953-4.01904850913464j</v>
      </c>
      <c r="BE164" s="91">
        <f t="shared" si="93"/>
        <v>13.491131726254332</v>
      </c>
      <c r="BF164" s="91">
        <f t="shared" si="94"/>
        <v>121.75686193154701</v>
      </c>
      <c r="BH164" s="91">
        <f t="shared" si="101"/>
        <v>-12.491131726254332</v>
      </c>
      <c r="BI164" s="112">
        <f t="shared" si="102"/>
        <v>-121.75686193154701</v>
      </c>
      <c r="BJ164" s="95"/>
      <c r="BK164" s="95"/>
      <c r="BL164" s="95"/>
      <c r="BM164" s="95"/>
      <c r="BN164" s="46"/>
      <c r="BO164" s="46"/>
      <c r="BP164" s="46"/>
    </row>
    <row r="165" spans="1:68" s="91" customFormat="1">
      <c r="A165" s="91">
        <v>101</v>
      </c>
      <c r="B165" s="91">
        <f t="shared" si="52"/>
        <v>10471.285480508997</v>
      </c>
      <c r="C165" s="91" t="str">
        <f t="shared" si="53"/>
        <v>65793.0270784171j</v>
      </c>
      <c r="D165" s="91">
        <f t="shared" si="54"/>
        <v>0.99963752786904359</v>
      </c>
      <c r="E165" s="91" t="str">
        <f t="shared" si="55"/>
        <v>-0.0299059213992805j</v>
      </c>
      <c r="F165" s="91" t="str">
        <f t="shared" si="56"/>
        <v>0.999637527869044-0.0299059213992805j</v>
      </c>
      <c r="G165" s="91">
        <f t="shared" si="57"/>
        <v>7.3628934365697397E-4</v>
      </c>
      <c r="H165" s="91">
        <f t="shared" si="58"/>
        <v>-1.7135932863211172</v>
      </c>
      <c r="J165" s="91">
        <f t="shared" si="59"/>
        <v>7.1641791044776131</v>
      </c>
      <c r="K165" s="91" t="str">
        <f t="shared" si="60"/>
        <v>1+1.6333118972217j</v>
      </c>
      <c r="L165" s="91">
        <f t="shared" si="61"/>
        <v>0.56374231021278942</v>
      </c>
      <c r="M165" s="91" t="str">
        <f t="shared" si="62"/>
        <v>0.296338667859542j</v>
      </c>
      <c r="N165" s="91" t="str">
        <f t="shared" si="63"/>
        <v>0.563742310212789+0.296338667859542j</v>
      </c>
      <c r="O165" s="91" t="str">
        <f t="shared" si="64"/>
        <v>2.58308421679813+1.53943414521993j</v>
      </c>
      <c r="P165" s="91" t="str">
        <f t="shared" si="65"/>
        <v>18.5056779710911+11.028781935904j</v>
      </c>
      <c r="R165" s="91">
        <f t="shared" si="66"/>
        <v>11.82089552238806</v>
      </c>
      <c r="S165" s="91" t="str">
        <f t="shared" si="67"/>
        <v>1+0.00493447703088128j</v>
      </c>
      <c r="T165" s="91" t="str">
        <f t="shared" si="68"/>
        <v>0.563742310212789+0.296338667859542j</v>
      </c>
      <c r="U165" s="91" t="str">
        <f t="shared" si="69"/>
        <v>1.39342685752299-0.723720349343994j</v>
      </c>
      <c r="V165" s="91" t="str">
        <f t="shared" si="70"/>
        <v>16.4715533008688-8.55502263702154j</v>
      </c>
      <c r="X165" s="91" t="str">
        <f t="shared" si="71"/>
        <v>3.52493455318479+1.96033993822817j</v>
      </c>
      <c r="Y165" s="91">
        <f t="shared" si="72"/>
        <v>12.11336733976448</v>
      </c>
      <c r="Z165" s="91">
        <f t="shared" si="73"/>
        <v>-150.92002682661627</v>
      </c>
      <c r="AB165" s="91" t="str">
        <f t="shared" si="74"/>
        <v>15.4181784052154-8.00791903889823j</v>
      </c>
      <c r="AC165" s="91">
        <f t="shared" si="75"/>
        <v>24.797868532922287</v>
      </c>
      <c r="AD165" s="91">
        <f t="shared" si="76"/>
        <v>152.55346308761446</v>
      </c>
      <c r="AF165" s="91" t="str">
        <f t="shared" si="77"/>
        <v>2.2233769908403-2.73296632391647j</v>
      </c>
      <c r="AG165" s="91">
        <f t="shared" si="78"/>
        <v>10.938596173731847</v>
      </c>
      <c r="AH165" s="91">
        <f t="shared" si="79"/>
        <v>129.12972794056932</v>
      </c>
      <c r="AJ165" s="91" t="str">
        <f t="shared" si="80"/>
        <v>46874.9955415537-14.4564743014037j</v>
      </c>
      <c r="AK165" s="91" t="str">
        <f t="shared" si="81"/>
        <v>15000-0.0000148034310926439j</v>
      </c>
      <c r="AL165" s="91" t="str">
        <f t="shared" si="95"/>
        <v>10000-337759.534847608j</v>
      </c>
      <c r="AM165" s="91" t="str">
        <f t="shared" si="96"/>
        <v>962.737739145414-104841.582293095j</v>
      </c>
      <c r="AN165" s="91" t="str">
        <f t="shared" si="97"/>
        <v>10962.7377391454-104841.582293095j</v>
      </c>
      <c r="AO165" s="91" t="str">
        <f t="shared" si="98"/>
        <v>14499.2537626026-2022.0913653707j</v>
      </c>
      <c r="AP165" s="91" t="str">
        <f t="shared" si="99"/>
        <v>0.24242424665895+0.0000566398210855338j</v>
      </c>
      <c r="AQ165" s="91" t="str">
        <f t="shared" si="82"/>
        <v>1+9.00048610432746j</v>
      </c>
      <c r="AR165" s="91">
        <f t="shared" si="83"/>
        <v>4.0783077401906595E-8</v>
      </c>
      <c r="AS165" s="91" t="str">
        <f t="shared" si="84"/>
        <v>0.000500933633709111j</v>
      </c>
      <c r="AT165" s="91" t="str">
        <f t="shared" si="85"/>
        <v>4.07830774019066E-08+0.000500933633709111j</v>
      </c>
      <c r="AU165" s="91" t="str">
        <f t="shared" si="86"/>
        <v>5.39027538967095-0.598442883065916j</v>
      </c>
      <c r="AW165" s="91" t="str">
        <f t="shared" si="100"/>
        <v>1.2975365831061-0.204140275910994j</v>
      </c>
      <c r="AX165" s="91">
        <f t="shared" si="87"/>
        <v>2.3685818745871083</v>
      </c>
      <c r="AY165" s="91">
        <f t="shared" si="88"/>
        <v>171.05899586052058</v>
      </c>
      <c r="AZ165" s="91" t="str">
        <f t="shared" si="89"/>
        <v>18.3709117235498-13.5380391012079j</v>
      </c>
      <c r="BA165" s="91">
        <f t="shared" si="90"/>
        <v>27.16645040750938</v>
      </c>
      <c r="BB165" s="91">
        <f t="shared" si="91"/>
        <v>143.61245894813493</v>
      </c>
      <c r="BD165" s="91" t="str">
        <f t="shared" si="92"/>
        <v>2.32700448423188-4.00000457804291j</v>
      </c>
      <c r="BE165" s="91">
        <f t="shared" si="93"/>
        <v>13.307178048318955</v>
      </c>
      <c r="BF165" s="91">
        <f t="shared" si="94"/>
        <v>120.18872380108986</v>
      </c>
      <c r="BH165" s="91">
        <f t="shared" si="101"/>
        <v>-12.307178048318955</v>
      </c>
      <c r="BI165" s="112">
        <f t="shared" si="102"/>
        <v>-120.18872380108986</v>
      </c>
      <c r="BJ165" s="95"/>
      <c r="BK165" s="95"/>
      <c r="BL165" s="95"/>
      <c r="BM165" s="95"/>
      <c r="BN165" s="46"/>
      <c r="BO165" s="46"/>
      <c r="BP165" s="46"/>
    </row>
    <row r="166" spans="1:68" s="91" customFormat="1">
      <c r="A166" s="91">
        <v>102</v>
      </c>
      <c r="B166" s="91">
        <f t="shared" si="52"/>
        <v>10964.781961431861</v>
      </c>
      <c r="C166" s="91" t="str">
        <f t="shared" si="53"/>
        <v>68893.7569164964j</v>
      </c>
      <c r="D166" s="91">
        <f t="shared" si="54"/>
        <v>0.99960255721169677</v>
      </c>
      <c r="E166" s="91" t="str">
        <f t="shared" si="55"/>
        <v>-0.0313153440529529j</v>
      </c>
      <c r="F166" s="91" t="str">
        <f t="shared" si="56"/>
        <v>0.999602557211697-0.0313153440529529j</v>
      </c>
      <c r="G166" s="91">
        <f t="shared" si="57"/>
        <v>8.0737895991999753E-4</v>
      </c>
      <c r="H166" s="91">
        <f t="shared" si="58"/>
        <v>-1.7943635773664053</v>
      </c>
      <c r="J166" s="91">
        <f t="shared" si="59"/>
        <v>7.1641791044776131</v>
      </c>
      <c r="K166" s="91" t="str">
        <f t="shared" si="60"/>
        <v>1+1.71028751545202j</v>
      </c>
      <c r="L166" s="91">
        <f t="shared" si="61"/>
        <v>0.52165295524852728</v>
      </c>
      <c r="M166" s="91" t="str">
        <f t="shared" si="62"/>
        <v>0.3103046790071j</v>
      </c>
      <c r="N166" s="91" t="str">
        <f t="shared" si="63"/>
        <v>0.521652955248527+0.3103046790071j</v>
      </c>
      <c r="O166" s="91" t="str">
        <f t="shared" si="64"/>
        <v>2.85649382448633+1.57941042578106j</v>
      </c>
      <c r="P166" s="91" t="str">
        <f t="shared" si="65"/>
        <v>20.4644333694543+11.3151791697748j</v>
      </c>
      <c r="R166" s="91">
        <f t="shared" si="66"/>
        <v>11.82089552238806</v>
      </c>
      <c r="S166" s="91" t="str">
        <f t="shared" si="67"/>
        <v>1+0.00516703176873723j</v>
      </c>
      <c r="T166" s="91" t="str">
        <f t="shared" si="68"/>
        <v>0.521652955248527+0.3103046790071j</v>
      </c>
      <c r="U166" s="91" t="str">
        <f t="shared" si="69"/>
        <v>1.42030665237261-0.834962715546934j</v>
      </c>
      <c r="V166" s="91" t="str">
        <f t="shared" si="70"/>
        <v>16.7892965474494-9.87000702556973j</v>
      </c>
      <c r="X166" s="91" t="str">
        <f t="shared" si="71"/>
        <v>3.8959548462113+1.99749664090575j</v>
      </c>
      <c r="Y166" s="91">
        <f t="shared" si="72"/>
        <v>12.825871548239114</v>
      </c>
      <c r="Z166" s="91">
        <f t="shared" si="73"/>
        <v>-152.85531298081443</v>
      </c>
      <c r="AB166" s="91" t="str">
        <f t="shared" si="74"/>
        <v>15.7156016034619-9.23880865400451j</v>
      </c>
      <c r="AC166" s="91">
        <f t="shared" si="75"/>
        <v>25.215770213151679</v>
      </c>
      <c r="AD166" s="91">
        <f t="shared" si="76"/>
        <v>149.54979578878195</v>
      </c>
      <c r="AF166" s="91" t="str">
        <f t="shared" si="77"/>
        <v>2.09183188600114-2.74047376683103j</v>
      </c>
      <c r="AG166" s="91">
        <f t="shared" si="78"/>
        <v>10.750341586439013</v>
      </c>
      <c r="AH166" s="91">
        <f t="shared" si="79"/>
        <v>127.35486735179975</v>
      </c>
      <c r="AJ166" s="91" t="str">
        <f t="shared" si="80"/>
        <v>46874.9951114109-15.1377868062539j</v>
      </c>
      <c r="AK166" s="91" t="str">
        <f t="shared" si="81"/>
        <v>15000-0.0000155010953062118j</v>
      </c>
      <c r="AL166" s="91" t="str">
        <f t="shared" si="95"/>
        <v>10000-322557.851637514j</v>
      </c>
      <c r="AM166" s="91" t="str">
        <f t="shared" si="96"/>
        <v>962.699032329839-100124.744148817j</v>
      </c>
      <c r="AN166" s="91" t="str">
        <f t="shared" si="97"/>
        <v>10962.6990323298-100124.744148817j</v>
      </c>
      <c r="AO166" s="91" t="str">
        <f t="shared" si="98"/>
        <v>14454.005695928-2105.61852139231j</v>
      </c>
      <c r="AP166" s="91" t="str">
        <f t="shared" si="99"/>
        <v>0.242424247067507+0.0000593091735831721j</v>
      </c>
      <c r="AQ166" s="91" t="str">
        <f t="shared" si="82"/>
        <v>1+9.42466594617671j</v>
      </c>
      <c r="AR166" s="91">
        <f t="shared" si="83"/>
        <v>3.506993552849211E-8</v>
      </c>
      <c r="AS166" s="91" t="str">
        <f t="shared" si="84"/>
        <v>0.000524541908535682j</v>
      </c>
      <c r="AT166" s="91" t="str">
        <f t="shared" si="85"/>
        <v>3.50699355284921E-08+0.000524541908535682j</v>
      </c>
      <c r="AU166" s="91" t="str">
        <f t="shared" si="86"/>
        <v>5.39026488192687-0.571567226334813j</v>
      </c>
      <c r="AW166" s="91" t="str">
        <f t="shared" si="100"/>
        <v>1.29728356422098-0.20039690252679j</v>
      </c>
      <c r="AX166" s="91">
        <f t="shared" si="87"/>
        <v>2.3631138084713417</v>
      </c>
      <c r="AY166" s="91">
        <f t="shared" si="88"/>
        <v>171.21868601009822</v>
      </c>
      <c r="AZ166" s="91" t="str">
        <f t="shared" si="89"/>
        <v>18.5361630247158-15.1347125025014j</v>
      </c>
      <c r="BA166" s="91">
        <f t="shared" si="90"/>
        <v>27.578884021623015</v>
      </c>
      <c r="BB166" s="91">
        <f t="shared" si="91"/>
        <v>140.7684817988802</v>
      </c>
      <c r="BD166" s="91" t="str">
        <f t="shared" si="92"/>
        <v>2.16451667049379-3.97436820645005j</v>
      </c>
      <c r="BE166" s="91">
        <f t="shared" si="93"/>
        <v>13.113455394910345</v>
      </c>
      <c r="BF166" s="91">
        <f t="shared" si="94"/>
        <v>118.57355336189801</v>
      </c>
      <c r="BH166" s="91">
        <f t="shared" si="101"/>
        <v>-12.113455394910345</v>
      </c>
      <c r="BI166" s="112">
        <f t="shared" si="102"/>
        <v>-118.57355336189801</v>
      </c>
      <c r="BJ166" s="95"/>
      <c r="BK166" s="95"/>
      <c r="BL166" s="95"/>
      <c r="BM166" s="95"/>
      <c r="BN166" s="46"/>
      <c r="BO166" s="46"/>
      <c r="BP166" s="46"/>
    </row>
    <row r="167" spans="1:68" s="91" customFormat="1">
      <c r="A167" s="91">
        <v>103</v>
      </c>
      <c r="B167" s="91">
        <f t="shared" si="52"/>
        <v>11481.536214968835</v>
      </c>
      <c r="C167" s="91" t="str">
        <f t="shared" si="53"/>
        <v>72140.6196497425j</v>
      </c>
      <c r="D167" s="91">
        <f t="shared" si="54"/>
        <v>0.99956421264841111</v>
      </c>
      <c r="E167" s="91" t="str">
        <f t="shared" si="55"/>
        <v>-0.032791190749883j</v>
      </c>
      <c r="F167" s="91" t="str">
        <f t="shared" si="56"/>
        <v>0.999564212648411-0.032791190749883j</v>
      </c>
      <c r="G167" s="91">
        <f t="shared" si="57"/>
        <v>8.8533804323060491E-4</v>
      </c>
      <c r="H167" s="91">
        <f t="shared" si="58"/>
        <v>-1.8789421022161263</v>
      </c>
      <c r="J167" s="91">
        <f t="shared" si="59"/>
        <v>7.1641791044776131</v>
      </c>
      <c r="K167" s="91" t="str">
        <f t="shared" si="60"/>
        <v>1+1.79089088280486j</v>
      </c>
      <c r="L167" s="91">
        <f t="shared" si="61"/>
        <v>0.4755028952404815</v>
      </c>
      <c r="M167" s="91" t="str">
        <f t="shared" si="62"/>
        <v>0.324928887982105j</v>
      </c>
      <c r="N167" s="91" t="str">
        <f t="shared" si="63"/>
        <v>0.475502895240482+0.324928887982105j</v>
      </c>
      <c r="O167" s="91" t="str">
        <f t="shared" si="64"/>
        <v>3.1880408394675+1.58780172645071j</v>
      </c>
      <c r="P167" s="91" t="str">
        <f t="shared" si="65"/>
        <v>22.8396955663343+11.3752959506917j</v>
      </c>
      <c r="R167" s="91">
        <f t="shared" si="66"/>
        <v>11.82089552238806</v>
      </c>
      <c r="S167" s="91" t="str">
        <f t="shared" si="67"/>
        <v>1+0.00541054647373069j</v>
      </c>
      <c r="T167" s="91" t="str">
        <f t="shared" si="68"/>
        <v>0.475502895240482+0.324928887982105j</v>
      </c>
      <c r="U167" s="91" t="str">
        <f t="shared" si="69"/>
        <v>1.43891211025302-0.971883809836841j</v>
      </c>
      <c r="V167" s="91" t="str">
        <f t="shared" si="70"/>
        <v>17.0092297211999-11.4885369759818j</v>
      </c>
      <c r="X167" s="91" t="str">
        <f t="shared" si="71"/>
        <v>4.34378179695484+1.98842944747213j</v>
      </c>
      <c r="Y167" s="91">
        <f t="shared" si="72"/>
        <v>13.583592570275956</v>
      </c>
      <c r="Z167" s="91">
        <f t="shared" si="73"/>
        <v>-155.40337103713722</v>
      </c>
      <c r="AB167" s="91" t="str">
        <f t="shared" si="74"/>
        <v>15.9214697962286-10.7538317410088j</v>
      </c>
      <c r="AC167" s="91">
        <f t="shared" si="75"/>
        <v>25.671888696811628</v>
      </c>
      <c r="AD167" s="91">
        <f t="shared" si="76"/>
        <v>145.96374420079837</v>
      </c>
      <c r="AF167" s="91" t="str">
        <f t="shared" si="77"/>
        <v>1.95933275222562-2.74147172163337j</v>
      </c>
      <c r="AG167" s="91">
        <f t="shared" si="78"/>
        <v>10.551738297200279</v>
      </c>
      <c r="AH167" s="91">
        <f t="shared" si="79"/>
        <v>125.5534326323093</v>
      </c>
      <c r="AJ167" s="91" t="str">
        <f t="shared" si="80"/>
        <v>46874.9946397687-15.8512085596466j</v>
      </c>
      <c r="AK167" s="91" t="str">
        <f t="shared" si="81"/>
        <v>15000-0.0000162316394211921j</v>
      </c>
      <c r="AL167" s="91" t="str">
        <f t="shared" si="95"/>
        <v>10000-308040.356876829j</v>
      </c>
      <c r="AM167" s="91" t="str">
        <f t="shared" si="96"/>
        <v>962.656594727669-95620.2838510599j</v>
      </c>
      <c r="AN167" s="91" t="str">
        <f t="shared" si="97"/>
        <v>10962.6565947277-95620.2838510599j</v>
      </c>
      <c r="AO167" s="91" t="str">
        <f t="shared" si="98"/>
        <v>14404.9688980715-2191.49541200225j</v>
      </c>
      <c r="AP167" s="91" t="str">
        <f t="shared" si="99"/>
        <v>0.242424247515481+0.0000621043287835214j</v>
      </c>
      <c r="AQ167" s="91" t="str">
        <f t="shared" si="82"/>
        <v>1+9.86883676808477j</v>
      </c>
      <c r="AR167" s="91">
        <f t="shared" si="83"/>
        <v>2.8805600032820268E-8</v>
      </c>
      <c r="AS167" s="91" t="str">
        <f t="shared" si="84"/>
        <v>0.000549262807076816j</v>
      </c>
      <c r="AT167" s="91" t="str">
        <f t="shared" si="85"/>
        <v>2.88056000328203E-08+0.000549262807076816j</v>
      </c>
      <c r="AU167" s="91" t="str">
        <f t="shared" si="86"/>
        <v>5.39025529740981-0.545903939969295j</v>
      </c>
      <c r="AW167" s="91" t="str">
        <f t="shared" si="100"/>
        <v>1.29700671074093-0.197076380595543j</v>
      </c>
      <c r="AX167" s="91">
        <f t="shared" si="87"/>
        <v>2.3579740083450362</v>
      </c>
      <c r="AY167" s="91">
        <f t="shared" si="88"/>
        <v>171.36016114397481</v>
      </c>
      <c r="AZ167" s="91" t="str">
        <f t="shared" si="89"/>
        <v>18.530926933516-17.0855375754692j</v>
      </c>
      <c r="BA167" s="91">
        <f t="shared" si="90"/>
        <v>28.029862705156646</v>
      </c>
      <c r="BB167" s="91">
        <f t="shared" si="91"/>
        <v>137.32390534477315</v>
      </c>
      <c r="BD167" s="91" t="str">
        <f t="shared" si="92"/>
        <v>2.00098840380658-3.94184542745589j</v>
      </c>
      <c r="BE167" s="91">
        <f t="shared" si="93"/>
        <v>12.909712305545288</v>
      </c>
      <c r="BF167" s="91">
        <f t="shared" si="94"/>
        <v>116.91359377628407</v>
      </c>
      <c r="BH167" s="91">
        <f t="shared" si="101"/>
        <v>-11.909712305545288</v>
      </c>
      <c r="BI167" s="112">
        <f t="shared" si="102"/>
        <v>-116.91359377628407</v>
      </c>
      <c r="BJ167" s="95"/>
      <c r="BK167" s="95"/>
      <c r="BL167" s="95"/>
      <c r="BM167" s="95"/>
      <c r="BN167" s="46"/>
      <c r="BO167" s="46"/>
      <c r="BP167" s="46"/>
    </row>
    <row r="168" spans="1:68" s="91" customFormat="1">
      <c r="A168" s="91">
        <v>104</v>
      </c>
      <c r="B168" s="91">
        <f t="shared" si="52"/>
        <v>12022.644346174135</v>
      </c>
      <c r="C168" s="91" t="str">
        <f t="shared" si="53"/>
        <v>75540.502309327j</v>
      </c>
      <c r="D168" s="91">
        <f t="shared" si="54"/>
        <v>0.99952216867082777</v>
      </c>
      <c r="E168" s="91" t="str">
        <f t="shared" si="55"/>
        <v>-0.034336591958785j</v>
      </c>
      <c r="F168" s="91" t="str">
        <f t="shared" si="56"/>
        <v>0.999522168670828-0.034336591958785j</v>
      </c>
      <c r="G168" s="91">
        <f t="shared" si="57"/>
        <v>9.708315450944969E-4</v>
      </c>
      <c r="H168" s="91">
        <f t="shared" si="58"/>
        <v>-1.9675085811063258</v>
      </c>
      <c r="J168" s="91">
        <f t="shared" si="59"/>
        <v>7.1641791044776131</v>
      </c>
      <c r="K168" s="91" t="str">
        <f t="shared" si="60"/>
        <v>1+1.87529296982904j</v>
      </c>
      <c r="L168" s="91">
        <f t="shared" si="61"/>
        <v>0.42490036069096027</v>
      </c>
      <c r="M168" s="91" t="str">
        <f t="shared" si="62"/>
        <v>0.340242314692495j</v>
      </c>
      <c r="N168" s="91" t="str">
        <f t="shared" si="63"/>
        <v>0.42490036069096+0.340242314692495j</v>
      </c>
      <c r="O168" s="91" t="str">
        <f t="shared" si="64"/>
        <v>3.5873638519645+1.54087887364409j</v>
      </c>
      <c r="P168" s="91" t="str">
        <f t="shared" si="65"/>
        <v>25.7005171484024+11.039132229092j</v>
      </c>
      <c r="R168" s="91">
        <f t="shared" si="66"/>
        <v>11.82089552238806</v>
      </c>
      <c r="S168" s="91" t="str">
        <f t="shared" si="67"/>
        <v>1+0.00566553767319952j</v>
      </c>
      <c r="T168" s="91" t="str">
        <f t="shared" si="68"/>
        <v>0.42490036069096+0.340242314692495j</v>
      </c>
      <c r="U168" s="91" t="str">
        <f t="shared" si="69"/>
        <v>1.44050151495069-1.14015914532025j</v>
      </c>
      <c r="V168" s="91" t="str">
        <f t="shared" si="70"/>
        <v>17.0280179080738-13.4777021357259j</v>
      </c>
      <c r="X168" s="91" t="str">
        <f t="shared" si="71"/>
        <v>4.88004998242197+1.90043922543407j</v>
      </c>
      <c r="Y168" s="91">
        <f t="shared" si="72"/>
        <v>14.381712930297983</v>
      </c>
      <c r="Z168" s="91">
        <f t="shared" si="73"/>
        <v>-158.72255499130861</v>
      </c>
      <c r="AB168" s="91" t="str">
        <f t="shared" si="74"/>
        <v>15.9390564568089-12.6157874867827j</v>
      </c>
      <c r="AC168" s="91">
        <f t="shared" si="75"/>
        <v>26.161725202661273</v>
      </c>
      <c r="AD168" s="91">
        <f t="shared" si="76"/>
        <v>141.63833160163367</v>
      </c>
      <c r="AF168" s="91" t="str">
        <f t="shared" si="77"/>
        <v>1.82647334528998-2.73584223339466j</v>
      </c>
      <c r="AG168" s="91">
        <f t="shared" si="78"/>
        <v>10.342608794446441</v>
      </c>
      <c r="AH168" s="91">
        <f t="shared" si="79"/>
        <v>123.7274366412759</v>
      </c>
      <c r="AJ168" s="91" t="str">
        <f t="shared" si="80"/>
        <v>46874.9941226233-16.5982528207955j</v>
      </c>
      <c r="AK168" s="91" t="str">
        <f t="shared" si="81"/>
        <v>15000-0.0000169966130195986j</v>
      </c>
      <c r="AL168" s="91" t="str">
        <f t="shared" si="95"/>
        <v>10000-294176.257012769j</v>
      </c>
      <c r="AM168" s="91" t="str">
        <f t="shared" si="96"/>
        <v>962.610067122313-91318.6468119624j</v>
      </c>
      <c r="AN168" s="91" t="str">
        <f t="shared" si="97"/>
        <v>10962.6100671223-91318.6468119624j</v>
      </c>
      <c r="AO168" s="91" t="str">
        <f t="shared" si="98"/>
        <v>14351.8818871277-2279.63478368307j</v>
      </c>
      <c r="AP168" s="91" t="str">
        <f t="shared" si="99"/>
        <v>0.242424248006674+0.000065031215584599j</v>
      </c>
      <c r="AQ168" s="91" t="str">
        <f t="shared" si="82"/>
        <v>1+10.3339407159159j</v>
      </c>
      <c r="AR168" s="91">
        <f t="shared" si="83"/>
        <v>2.1936892748490364E-8</v>
      </c>
      <c r="AS168" s="91" t="str">
        <f t="shared" si="84"/>
        <v>0.000575148765672708j</v>
      </c>
      <c r="AT168" s="91" t="str">
        <f t="shared" si="85"/>
        <v>2.19368927484904E-08+0.000575148765672708j</v>
      </c>
      <c r="AU168" s="91" t="str">
        <f t="shared" si="86"/>
        <v>5.39024655475638-0.521398588743717j</v>
      </c>
      <c r="AW168" s="91" t="str">
        <f t="shared" si="100"/>
        <v>1.29670370331887-0.194171339930592j</v>
      </c>
      <c r="AX168" s="91">
        <f t="shared" si="87"/>
        <v>2.3531200410221342</v>
      </c>
      <c r="AY168" s="91">
        <f t="shared" si="88"/>
        <v>171.48367753106422</v>
      </c>
      <c r="AZ168" s="91" t="str">
        <f t="shared" si="89"/>
        <v>18.2186091743644-19.4538463038429j</v>
      </c>
      <c r="BA168" s="91">
        <f t="shared" si="90"/>
        <v>28.514845243683386</v>
      </c>
      <c r="BB168" s="91">
        <f t="shared" si="91"/>
        <v>133.12200913269783</v>
      </c>
      <c r="BD168" s="91" t="str">
        <f t="shared" si="92"/>
        <v>1.83717259855377-3.90222553254148j</v>
      </c>
      <c r="BE168" s="91">
        <f t="shared" si="93"/>
        <v>12.695728835468552</v>
      </c>
      <c r="BF168" s="91">
        <f t="shared" si="94"/>
        <v>115.21111417234006</v>
      </c>
      <c r="BH168" s="91">
        <f t="shared" si="101"/>
        <v>-11.695728835468552</v>
      </c>
      <c r="BI168" s="112">
        <f t="shared" si="102"/>
        <v>-115.21111417234006</v>
      </c>
      <c r="BJ168" s="95"/>
      <c r="BK168" s="95"/>
      <c r="BL168" s="95"/>
      <c r="BM168" s="95"/>
      <c r="BN168" s="46"/>
      <c r="BO168" s="46"/>
      <c r="BP168" s="46"/>
    </row>
    <row r="169" spans="1:68" s="91" customFormat="1">
      <c r="A169" s="91">
        <v>105</v>
      </c>
      <c r="B169" s="91">
        <f t="shared" si="52"/>
        <v>12589.254117941677</v>
      </c>
      <c r="C169" s="91" t="str">
        <f t="shared" si="53"/>
        <v>79100.6165022012j</v>
      </c>
      <c r="D169" s="91">
        <f t="shared" si="54"/>
        <v>0.99947606836612857</v>
      </c>
      <c r="E169" s="91" t="str">
        <f t="shared" si="55"/>
        <v>-0.0359548256828187j</v>
      </c>
      <c r="F169" s="91" t="str">
        <f t="shared" si="56"/>
        <v>0.999476068366129-0.0359548256828187j</v>
      </c>
      <c r="G169" s="91">
        <f t="shared" si="57"/>
        <v>1.0645890145944809E-3</v>
      </c>
      <c r="H169" s="91">
        <f t="shared" si="58"/>
        <v>-2.0602512402443689</v>
      </c>
      <c r="J169" s="91">
        <f t="shared" si="59"/>
        <v>7.1641791044776131</v>
      </c>
      <c r="K169" s="91" t="str">
        <f t="shared" si="60"/>
        <v>1+1.96367280466714j</v>
      </c>
      <c r="L169" s="91">
        <f t="shared" si="61"/>
        <v>0.36941578488782756</v>
      </c>
      <c r="M169" s="91" t="str">
        <f t="shared" si="62"/>
        <v>0.356277440969429j</v>
      </c>
      <c r="N169" s="91" t="str">
        <f t="shared" si="63"/>
        <v>0.369415784887828+0.356277440969429j</v>
      </c>
      <c r="O169" s="91" t="str">
        <f t="shared" si="64"/>
        <v>4.05854769368748+1.40141228254496j</v>
      </c>
      <c r="P169" s="91" t="str">
        <f t="shared" si="65"/>
        <v>29.0761625816417+10.0399685913669j</v>
      </c>
      <c r="R169" s="91">
        <f t="shared" si="66"/>
        <v>11.82089552238806</v>
      </c>
      <c r="S169" s="91" t="str">
        <f t="shared" si="67"/>
        <v>1+0.00593254623766509j</v>
      </c>
      <c r="T169" s="91" t="str">
        <f t="shared" si="68"/>
        <v>0.369415784887828+0.356277440969429j</v>
      </c>
      <c r="U169" s="91" t="str">
        <f t="shared" si="69"/>
        <v>1.41050534619069-1.34428118475675j</v>
      </c>
      <c r="V169" s="91" t="str">
        <f t="shared" si="70"/>
        <v>16.6734363310899-15.8906074377216j</v>
      </c>
      <c r="X169" s="91" t="str">
        <f t="shared" si="71"/>
        <v>5.50806970652271+1.68288102389948j</v>
      </c>
      <c r="Y169" s="91">
        <f t="shared" si="72"/>
        <v>15.207575225660843</v>
      </c>
      <c r="Z169" s="91">
        <f t="shared" si="73"/>
        <v>-163.01051128214337</v>
      </c>
      <c r="AB169" s="91" t="str">
        <f t="shared" si="74"/>
        <v>15.6071507820203-14.8743847023287j</v>
      </c>
      <c r="AC169" s="91">
        <f t="shared" si="75"/>
        <v>26.672945940817318</v>
      </c>
      <c r="AD169" s="91">
        <f t="shared" si="76"/>
        <v>136.37710644153654</v>
      </c>
      <c r="AF169" s="91" t="str">
        <f t="shared" si="77"/>
        <v>1.69386115656716-2.72353436566163j</v>
      </c>
      <c r="AG169" s="91">
        <f t="shared" si="78"/>
        <v>10.122805097629202</v>
      </c>
      <c r="AH169" s="91">
        <f t="shared" si="79"/>
        <v>121.87892387346884</v>
      </c>
      <c r="AJ169" s="91" t="str">
        <f t="shared" si="80"/>
        <v>46874.9935555847-17.3805041661725j</v>
      </c>
      <c r="AK169" s="91" t="str">
        <f t="shared" si="81"/>
        <v>15000-0.0000177976387129953j</v>
      </c>
      <c r="AL169" s="91" t="str">
        <f t="shared" si="95"/>
        <v>10000-280936.144430731j</v>
      </c>
      <c r="AM169" s="91" t="str">
        <f t="shared" si="96"/>
        <v>962.559055786656-87210.7086554885j</v>
      </c>
      <c r="AN169" s="91" t="str">
        <f t="shared" si="97"/>
        <v>10962.5590557867-87210.7086554885j</v>
      </c>
      <c r="AO169" s="91" t="str">
        <f t="shared" si="98"/>
        <v>14294.475407976-2369.92429955705j</v>
      </c>
      <c r="AP169" s="91" t="str">
        <f t="shared" si="99"/>
        <v>0.242424248545257+0.0000680960423046744j</v>
      </c>
      <c r="AQ169" s="91" t="str">
        <f t="shared" si="82"/>
        <v>1+10.8209643375011j</v>
      </c>
      <c r="AR169" s="91">
        <f t="shared" si="83"/>
        <v>1.4405504975532707E-8</v>
      </c>
      <c r="AS169" s="91" t="str">
        <f t="shared" si="84"/>
        <v>0.000602254691912129j</v>
      </c>
      <c r="AT169" s="91" t="str">
        <f t="shared" si="85"/>
        <v>1.44055049755327E-08+0.000602254691912129j</v>
      </c>
      <c r="AU169" s="91" t="str">
        <f t="shared" si="86"/>
        <v>5.39023857974997-0.497999193562248j</v>
      </c>
      <c r="AW169" s="91" t="str">
        <f t="shared" si="100"/>
        <v>1.29637200679864-0.191675243601019j</v>
      </c>
      <c r="AX169" s="91">
        <f t="shared" si="87"/>
        <v>2.3485117188377922</v>
      </c>
      <c r="AY169" s="91">
        <f t="shared" si="88"/>
        <v>171.58946016207602</v>
      </c>
      <c r="AZ169" s="91" t="str">
        <f t="shared" si="89"/>
        <v>17.3816220684625-22.2742403745144j</v>
      </c>
      <c r="BA169" s="91">
        <f t="shared" si="90"/>
        <v>29.021457659655109</v>
      </c>
      <c r="BB169" s="91">
        <f t="shared" si="91"/>
        <v>127.96656660361259</v>
      </c>
      <c r="BD169" s="91" t="str">
        <f t="shared" si="92"/>
        <v>1.67384007378329-3.85538496100914j</v>
      </c>
      <c r="BE169" s="91">
        <f t="shared" si="93"/>
        <v>12.471316816466986</v>
      </c>
      <c r="BF169" s="91">
        <f t="shared" si="94"/>
        <v>113.46838403554482</v>
      </c>
      <c r="BH169" s="91">
        <f t="shared" si="101"/>
        <v>-11.471316816466986</v>
      </c>
      <c r="BI169" s="112">
        <f t="shared" si="102"/>
        <v>-113.46838403554482</v>
      </c>
      <c r="BJ169" s="95"/>
      <c r="BK169" s="95"/>
      <c r="BL169" s="95"/>
      <c r="BM169" s="95"/>
      <c r="BN169" s="46"/>
      <c r="BO169" s="46"/>
      <c r="BP169" s="46"/>
    </row>
    <row r="170" spans="1:68" s="91" customFormat="1">
      <c r="A170" s="91">
        <v>106</v>
      </c>
      <c r="B170" s="91">
        <f t="shared" si="52"/>
        <v>13182.567385564085</v>
      </c>
      <c r="C170" s="91" t="str">
        <f t="shared" si="53"/>
        <v>82828.5137078811j</v>
      </c>
      <c r="D170" s="91">
        <f t="shared" si="54"/>
        <v>0.99942552038719024</v>
      </c>
      <c r="E170" s="91" t="str">
        <f t="shared" si="55"/>
        <v>-0.0376493244126732j</v>
      </c>
      <c r="F170" s="91" t="str">
        <f t="shared" si="56"/>
        <v>0.99942552038719-0.0376493244126732j</v>
      </c>
      <c r="G170" s="91">
        <f t="shared" si="57"/>
        <v>1.1674109204643031E-3</v>
      </c>
      <c r="H170" s="91">
        <f t="shared" si="58"/>
        <v>-2.1573672179962147</v>
      </c>
      <c r="J170" s="91">
        <f t="shared" si="59"/>
        <v>7.1641791044776131</v>
      </c>
      <c r="K170" s="91" t="str">
        <f t="shared" si="60"/>
        <v>1+2.05621785279815j</v>
      </c>
      <c r="L170" s="91">
        <f t="shared" si="61"/>
        <v>0.30857815729743709</v>
      </c>
      <c r="M170" s="91" t="str">
        <f t="shared" si="62"/>
        <v>0.373068279465609j</v>
      </c>
      <c r="N170" s="91" t="str">
        <f t="shared" si="63"/>
        <v>0.308578157297437+0.373068279465609j</v>
      </c>
      <c r="O170" s="91" t="str">
        <f t="shared" si="64"/>
        <v>4.58910360506127+1.11533774646523j</v>
      </c>
      <c r="P170" s="91" t="str">
        <f t="shared" si="65"/>
        <v>32.8771601556628+7.99047937766135j</v>
      </c>
      <c r="R170" s="91">
        <f t="shared" si="66"/>
        <v>11.82089552238806</v>
      </c>
      <c r="S170" s="91" t="str">
        <f t="shared" si="67"/>
        <v>1+0.00621213852809108j</v>
      </c>
      <c r="T170" s="91" t="str">
        <f t="shared" si="68"/>
        <v>0.308578157297437+0.373068279465609j</v>
      </c>
      <c r="U170" s="91" t="str">
        <f t="shared" si="69"/>
        <v>1.32634450367464-1.58340735363686j</v>
      </c>
      <c r="V170" s="91" t="str">
        <f t="shared" si="70"/>
        <v>15.6785798046316-18.7172928967223j</v>
      </c>
      <c r="X170" s="91" t="str">
        <f t="shared" si="71"/>
        <v>6.20770913000543+1.26330764471274j</v>
      </c>
      <c r="Y170" s="91">
        <f t="shared" si="72"/>
        <v>16.034864624252588</v>
      </c>
      <c r="Z170" s="91">
        <f t="shared" si="73"/>
        <v>-168.49703141441438</v>
      </c>
      <c r="AB170" s="91" t="str">
        <f t="shared" si="74"/>
        <v>14.6759164817483-17.5203003549831j</v>
      </c>
      <c r="AC170" s="91">
        <f t="shared" si="75"/>
        <v>27.179561524367561</v>
      </c>
      <c r="AD170" s="91">
        <f t="shared" si="76"/>
        <v>129.95129580253564</v>
      </c>
      <c r="AF170" s="91" t="str">
        <f t="shared" si="77"/>
        <v>1.56210770194624-2.70456570945195j</v>
      </c>
      <c r="AG170" s="91">
        <f t="shared" si="78"/>
        <v>9.8922086941897742</v>
      </c>
      <c r="AH170" s="91">
        <f t="shared" si="79"/>
        <v>120.00994467262819</v>
      </c>
      <c r="AJ170" s="91" t="str">
        <f t="shared" si="80"/>
        <v>46874.9929338392-18.1996218505188j</v>
      </c>
      <c r="AK170" s="91" t="str">
        <f t="shared" si="81"/>
        <v>15000-0.0000186364155842733j</v>
      </c>
      <c r="AL170" s="91" t="str">
        <f t="shared" si="95"/>
        <v>10000-268291.935076795j</v>
      </c>
      <c r="AM170" s="91" t="str">
        <f t="shared" si="96"/>
        <v>962.503129183017-83287.7558628901j</v>
      </c>
      <c r="AN170" s="91" t="str">
        <f t="shared" si="97"/>
        <v>10962.503129183-83287.7558628901j</v>
      </c>
      <c r="AO170" s="91" t="str">
        <f t="shared" si="98"/>
        <v>14232.4742367065-2462.22400100032j</v>
      </c>
      <c r="AP170" s="91" t="str">
        <f t="shared" si="99"/>
        <v>0.242424249135802+0.0000713053098509221j</v>
      </c>
      <c r="AQ170" s="91" t="str">
        <f t="shared" si="82"/>
        <v>1+11.3309406752381j</v>
      </c>
      <c r="AR170" s="91">
        <f t="shared" si="83"/>
        <v>6.1475024957850103E-9</v>
      </c>
      <c r="AS170" s="91" t="str">
        <f t="shared" si="84"/>
        <v>0.000630638081098791j</v>
      </c>
      <c r="AT170" s="91" t="str">
        <f t="shared" si="85"/>
        <v>6.14750249578501E-09+0.000630638081098791j</v>
      </c>
      <c r="AU170" s="91" t="str">
        <f t="shared" si="86"/>
        <v>5.39023130469045-0.475656121204977j</v>
      </c>
      <c r="AW170" s="91" t="str">
        <f t="shared" si="100"/>
        <v>1.29600884994037-0.18958236705282j</v>
      </c>
      <c r="AX170" s="91">
        <f t="shared" si="87"/>
        <v>2.3441107920529132</v>
      </c>
      <c r="AY170" s="91">
        <f t="shared" si="88"/>
        <v>171.67770255985062</v>
      </c>
      <c r="AZ170" s="91" t="str">
        <f t="shared" si="89"/>
        <v>15.6985776285575-25.4887592989509j</v>
      </c>
      <c r="BA170" s="91">
        <f t="shared" si="90"/>
        <v>29.523672316420495</v>
      </c>
      <c r="BB170" s="91">
        <f t="shared" si="91"/>
        <v>121.62899836238623</v>
      </c>
      <c r="BD170" s="91" t="str">
        <f t="shared" si="92"/>
        <v>1.51176743723455-3.8012891704214j</v>
      </c>
      <c r="BE170" s="91">
        <f t="shared" si="93"/>
        <v>12.236319486242701</v>
      </c>
      <c r="BF170" s="91">
        <f t="shared" si="94"/>
        <v>111.68764723247877</v>
      </c>
      <c r="BH170" s="91">
        <f t="shared" si="101"/>
        <v>-11.236319486242701</v>
      </c>
      <c r="BI170" s="112">
        <f t="shared" si="102"/>
        <v>-111.68764723247877</v>
      </c>
      <c r="BJ170" s="95"/>
      <c r="BK170" s="95"/>
      <c r="BL170" s="95"/>
      <c r="BM170" s="95"/>
      <c r="BN170" s="46"/>
      <c r="BO170" s="46"/>
      <c r="BP170" s="46"/>
    </row>
    <row r="171" spans="1:68" s="91" customFormat="1">
      <c r="A171" s="91">
        <v>107</v>
      </c>
      <c r="B171" s="91">
        <f t="shared" si="52"/>
        <v>13803.842646028861</v>
      </c>
      <c r="C171" s="91" t="str">
        <f t="shared" si="53"/>
        <v>86732.1012961475j</v>
      </c>
      <c r="D171" s="91">
        <f t="shared" si="54"/>
        <v>0.99937009563042534</v>
      </c>
      <c r="E171" s="91" t="str">
        <f t="shared" si="55"/>
        <v>-0.0394236824073398j</v>
      </c>
      <c r="F171" s="91" t="str">
        <f t="shared" si="56"/>
        <v>0.999370095630425-0.0394236824073398j</v>
      </c>
      <c r="G171" s="91">
        <f t="shared" si="57"/>
        <v>1.2801756012403073E-3</v>
      </c>
      <c r="H171" s="91">
        <f t="shared" si="58"/>
        <v>-2.2590629909979727</v>
      </c>
      <c r="J171" s="91">
        <f t="shared" si="59"/>
        <v>7.1641791044776131</v>
      </c>
      <c r="K171" s="91" t="str">
        <f t="shared" si="60"/>
        <v>1+2.15312441467686j</v>
      </c>
      <c r="L171" s="91">
        <f t="shared" si="61"/>
        <v>0.24187102513949832</v>
      </c>
      <c r="M171" s="91" t="str">
        <f t="shared" si="62"/>
        <v>0.39065044580067j</v>
      </c>
      <c r="N171" s="91" t="str">
        <f t="shared" si="63"/>
        <v>0.241871025139498+0.39065044580067j</v>
      </c>
      <c r="O171" s="91" t="str">
        <f t="shared" si="64"/>
        <v>5.12999527399945+0.616400719547355j</v>
      </c>
      <c r="P171" s="91" t="str">
        <f t="shared" si="65"/>
        <v>36.7522049480558+4.41600515496613j</v>
      </c>
      <c r="R171" s="91">
        <f t="shared" si="66"/>
        <v>11.82089552238806</v>
      </c>
      <c r="S171" s="91" t="str">
        <f t="shared" si="67"/>
        <v>1+0.00650490759721106j</v>
      </c>
      <c r="T171" s="91" t="str">
        <f t="shared" si="68"/>
        <v>0.241871025139498+0.39065044580067j</v>
      </c>
      <c r="U171" s="91" t="str">
        <f t="shared" si="69"/>
        <v>1.15775144227167-1.84301203170362j</v>
      </c>
      <c r="V171" s="91" t="str">
        <f t="shared" si="70"/>
        <v>13.6856588399875-21.7860526732726j</v>
      </c>
      <c r="X171" s="91" t="str">
        <f t="shared" si="71"/>
        <v>6.90863012485814+0.554948956883498j</v>
      </c>
      <c r="Y171" s="91">
        <f t="shared" si="72"/>
        <v>16.815771296565959</v>
      </c>
      <c r="Z171" s="91">
        <f t="shared" si="73"/>
        <v>-175.40746739022282</v>
      </c>
      <c r="AB171" s="91" t="str">
        <f t="shared" si="74"/>
        <v>12.8104451191443-20.3928093924341j</v>
      </c>
      <c r="AC171" s="91">
        <f t="shared" si="75"/>
        <v>27.63408658841476</v>
      </c>
      <c r="AD171" s="91">
        <f t="shared" si="76"/>
        <v>122.1363981794081</v>
      </c>
      <c r="AF171" s="91" t="str">
        <f t="shared" si="77"/>
        <v>1.43181870489511-2.67902220165366j</v>
      </c>
      <c r="AG171" s="91">
        <f t="shared" si="78"/>
        <v>9.6507298213018</v>
      </c>
      <c r="AH171" s="91">
        <f t="shared" si="79"/>
        <v>118.12252981884225</v>
      </c>
      <c r="AJ171" s="91" t="str">
        <f t="shared" si="80"/>
        <v>46874.9922521089-19.057343326247j</v>
      </c>
      <c r="AK171" s="91" t="str">
        <f t="shared" si="81"/>
        <v>15000-0.0000195147227916331j</v>
      </c>
      <c r="AL171" s="91" t="str">
        <f t="shared" si="95"/>
        <v>10000-256216.808887683j</v>
      </c>
      <c r="AM171" s="91" t="str">
        <f t="shared" si="96"/>
        <v>962.441814350713-79541.4672895708j</v>
      </c>
      <c r="AN171" s="91" t="str">
        <f t="shared" si="97"/>
        <v>10962.4418143507-79541.4672895708j</v>
      </c>
      <c r="AO171" s="91" t="str">
        <f t="shared" si="98"/>
        <v>14165.5994291742-2556.36377051191j</v>
      </c>
      <c r="AP171" s="91" t="str">
        <f t="shared" si="99"/>
        <v>0.242424249783321+0.0000746658255086954j</v>
      </c>
      <c r="AQ171" s="91" t="str">
        <f t="shared" si="82"/>
        <v>1+11.864951457313j</v>
      </c>
      <c r="AR171" s="91">
        <f t="shared" si="83"/>
        <v>-2.9072171669542112E-9</v>
      </c>
      <c r="AS171" s="91" t="str">
        <f t="shared" si="84"/>
        <v>0.000660359138206582j</v>
      </c>
      <c r="AT171" s="91" t="str">
        <f t="shared" si="85"/>
        <v>-2.90721716695421E-09+0.000660359138206582j</v>
      </c>
      <c r="AU171" s="91" t="str">
        <f t="shared" si="86"/>
        <v>5.39022466781964-0.454321979049882j</v>
      </c>
      <c r="AW171" s="91" t="str">
        <f t="shared" si="100"/>
        <v>1.29561120339091-0.187887777940672j</v>
      </c>
      <c r="AX171" s="91">
        <f t="shared" si="87"/>
        <v>2.339880652944017</v>
      </c>
      <c r="AY171" s="91">
        <f t="shared" si="88"/>
        <v>171.74856663167662</v>
      </c>
      <c r="AZ171" s="91" t="str">
        <f t="shared" si="89"/>
        <v>12.7657965740757-28.82807838532j</v>
      </c>
      <c r="BA171" s="91">
        <f t="shared" si="90"/>
        <v>29.9739672413588</v>
      </c>
      <c r="BB171" s="91">
        <f t="shared" si="91"/>
        <v>113.88496481108476</v>
      </c>
      <c r="BD171" s="91" t="str">
        <f t="shared" si="92"/>
        <v>1.35172482676435-3.73999241347211j</v>
      </c>
      <c r="BE171" s="91">
        <f t="shared" si="93"/>
        <v>11.990610474245855</v>
      </c>
      <c r="BF171" s="91">
        <f t="shared" si="94"/>
        <v>109.87109645051902</v>
      </c>
      <c r="BH171" s="91">
        <f t="shared" si="101"/>
        <v>-10.990610474245855</v>
      </c>
      <c r="BI171" s="112">
        <f t="shared" si="102"/>
        <v>-109.87109645051902</v>
      </c>
      <c r="BJ171" s="95"/>
      <c r="BK171" s="95"/>
      <c r="BL171" s="95"/>
      <c r="BM171" s="95"/>
      <c r="BN171" s="46"/>
      <c r="BO171" s="46"/>
      <c r="BP171" s="46"/>
    </row>
    <row r="172" spans="1:68" s="91" customFormat="1">
      <c r="A172" s="91">
        <v>108</v>
      </c>
      <c r="B172" s="91">
        <f t="shared" si="52"/>
        <v>14454.397707459284</v>
      </c>
      <c r="C172" s="91" t="str">
        <f t="shared" si="53"/>
        <v>90819.6592996385j</v>
      </c>
      <c r="D172" s="91">
        <f t="shared" si="54"/>
        <v>0.99930932359310609</v>
      </c>
      <c r="E172" s="91" t="str">
        <f t="shared" si="55"/>
        <v>-0.0412816633180175j</v>
      </c>
      <c r="F172" s="91" t="str">
        <f t="shared" si="56"/>
        <v>0.999309323593106-0.0412816633180175j</v>
      </c>
      <c r="G172" s="91">
        <f t="shared" si="57"/>
        <v>1.4038469076797617E-3</v>
      </c>
      <c r="H172" s="91">
        <f t="shared" si="58"/>
        <v>-2.3655548212449644</v>
      </c>
      <c r="J172" s="91">
        <f t="shared" si="59"/>
        <v>7.1641791044776131</v>
      </c>
      <c r="K172" s="91" t="str">
        <f t="shared" si="60"/>
        <v>1+2.25459804211353j</v>
      </c>
      <c r="L172" s="91">
        <f t="shared" si="61"/>
        <v>0.16872810920107484</v>
      </c>
      <c r="M172" s="91" t="str">
        <f t="shared" si="62"/>
        <v>0.409061234106693j</v>
      </c>
      <c r="N172" s="91" t="str">
        <f t="shared" si="63"/>
        <v>0.168728109201075+0.409061234106693j</v>
      </c>
      <c r="O172" s="91" t="str">
        <f t="shared" si="64"/>
        <v>5.57198811524368-0.146308121704003j</v>
      </c>
      <c r="P172" s="91" t="str">
        <f t="shared" si="65"/>
        <v>39.9187208256264-1.04817758832719j</v>
      </c>
      <c r="R172" s="91">
        <f t="shared" si="66"/>
        <v>11.82089552238806</v>
      </c>
      <c r="S172" s="91" t="str">
        <f t="shared" si="67"/>
        <v>1+0.00681147444747289j</v>
      </c>
      <c r="T172" s="91" t="str">
        <f t="shared" si="68"/>
        <v>0.168728109201075+0.409061234106693j</v>
      </c>
      <c r="U172" s="91" t="str">
        <f t="shared" si="69"/>
        <v>0.875966213036725-2.0833063759056j</v>
      </c>
      <c r="V172" s="91" t="str">
        <f t="shared" si="70"/>
        <v>10.354705085449-24.626547010705j</v>
      </c>
      <c r="X172" s="91" t="str">
        <f t="shared" si="71"/>
        <v>7.45991227813506-0.504598625971549j</v>
      </c>
      <c r="Y172" s="91">
        <f t="shared" si="72"/>
        <v>17.474499601912406</v>
      </c>
      <c r="Z172" s="91">
        <f t="shared" si="73"/>
        <v>176.13032996375182</v>
      </c>
      <c r="AB172" s="91" t="str">
        <f t="shared" si="74"/>
        <v>9.69250971202714-23.0516508297639j</v>
      </c>
      <c r="AC172" s="91">
        <f t="shared" si="75"/>
        <v>27.961046461791923</v>
      </c>
      <c r="AD172" s="91">
        <f t="shared" si="76"/>
        <v>112.80525509299322</v>
      </c>
      <c r="AF172" s="91" t="str">
        <f t="shared" si="77"/>
        <v>1.30358451815677-2.64705627396893j</v>
      </c>
      <c r="AG172" s="91">
        <f t="shared" si="78"/>
        <v>9.3983061067071585</v>
      </c>
      <c r="AH172" s="91">
        <f t="shared" si="79"/>
        <v>116.21866629328507</v>
      </c>
      <c r="AJ172" s="91" t="str">
        <f t="shared" si="80"/>
        <v>46874.9915046065-19.955487928696j</v>
      </c>
      <c r="AK172" s="91" t="str">
        <f t="shared" si="81"/>
        <v>15000-0.0000204344233424187j</v>
      </c>
      <c r="AL172" s="91" t="str">
        <f t="shared" si="95"/>
        <v>10000-244685.152901809j</v>
      </c>
      <c r="AM172" s="91" t="str">
        <f t="shared" si="96"/>
        <v>962.374592952176-75963.8965141427j</v>
      </c>
      <c r="AN172" s="91" t="str">
        <f t="shared" si="97"/>
        <v>10962.3745929522-75963.8965141427j</v>
      </c>
      <c r="AO172" s="91" t="str">
        <f t="shared" si="98"/>
        <v>14093.5710559429-2652.14085842833j</v>
      </c>
      <c r="AP172" s="91" t="str">
        <f t="shared" si="99"/>
        <v>0.242424250493311+0.0000781847173806674j</v>
      </c>
      <c r="AQ172" s="91" t="str">
        <f t="shared" si="82"/>
        <v>1+12.4241293921905j</v>
      </c>
      <c r="AR172" s="91">
        <f t="shared" si="83"/>
        <v>-1.2835519849336968E-8</v>
      </c>
      <c r="AS172" s="91" t="str">
        <f t="shared" si="84"/>
        <v>0.000691480905582402j</v>
      </c>
      <c r="AT172" s="91" t="str">
        <f t="shared" si="85"/>
        <v>-1.2835519849337E-08+0.000691480905582402j</v>
      </c>
      <c r="AU172" s="91" t="str">
        <f t="shared" si="86"/>
        <v>5.39021861279682-0.433951514547264j</v>
      </c>
      <c r="AW172" s="91" t="str">
        <f t="shared" si="100"/>
        <v>1.29517575576124-0.1865873164842j</v>
      </c>
      <c r="AX172" s="91">
        <f t="shared" si="87"/>
        <v>2.3357860499817797</v>
      </c>
      <c r="AY172" s="91">
        <f t="shared" si="88"/>
        <v>171.80218255422162</v>
      </c>
      <c r="AZ172" s="91" t="str">
        <f t="shared" si="89"/>
        <v>8.25235792264148-31.6644386621479j</v>
      </c>
      <c r="BA172" s="91">
        <f t="shared" si="90"/>
        <v>30.296832511773715</v>
      </c>
      <c r="BB172" s="91">
        <f t="shared" si="91"/>
        <v>104.60743764721482</v>
      </c>
      <c r="BD172" s="91" t="str">
        <f t="shared" si="92"/>
        <v>1.19446393675982-3.67163544723347j</v>
      </c>
      <c r="BE172" s="91">
        <f t="shared" si="93"/>
        <v>11.734092156688957</v>
      </c>
      <c r="BF172" s="91">
        <f t="shared" si="94"/>
        <v>108.02084884750667</v>
      </c>
      <c r="BH172" s="91">
        <f t="shared" si="101"/>
        <v>-10.734092156688957</v>
      </c>
      <c r="BI172" s="112">
        <f t="shared" si="102"/>
        <v>-108.02084884750667</v>
      </c>
      <c r="BJ172" s="95"/>
      <c r="BK172" s="95"/>
      <c r="BL172" s="95"/>
      <c r="BM172" s="95"/>
      <c r="BN172" s="46"/>
      <c r="BO172" s="46"/>
      <c r="BP172" s="46"/>
    </row>
    <row r="173" spans="1:68" s="91" customFormat="1">
      <c r="A173" s="91">
        <v>109</v>
      </c>
      <c r="B173" s="91">
        <f t="shared" si="52"/>
        <v>15135.612484362091</v>
      </c>
      <c r="C173" s="91" t="str">
        <f t="shared" si="53"/>
        <v>95099.8579769078j</v>
      </c>
      <c r="D173" s="91">
        <f t="shared" si="54"/>
        <v>0.99924268837925034</v>
      </c>
      <c r="E173" s="91" t="str">
        <f t="shared" si="55"/>
        <v>-0.0432272081713217j</v>
      </c>
      <c r="F173" s="91" t="str">
        <f t="shared" si="56"/>
        <v>0.99924268837925-0.0432272081713217j</v>
      </c>
      <c r="G173" s="91">
        <f t="shared" si="57"/>
        <v>1.5394826087482205E-3</v>
      </c>
      <c r="H173" s="91">
        <f t="shared" si="58"/>
        <v>-2.4770692252776043</v>
      </c>
      <c r="J173" s="91">
        <f t="shared" si="59"/>
        <v>7.1641791044776131</v>
      </c>
      <c r="K173" s="91" t="str">
        <f t="shared" si="60"/>
        <v>1+2.36085397427674j</v>
      </c>
      <c r="L173" s="91">
        <f t="shared" si="61"/>
        <v>8.8528496672260704E-2</v>
      </c>
      <c r="M173" s="91" t="str">
        <f t="shared" si="62"/>
        <v>0.42833969613405j</v>
      </c>
      <c r="N173" s="91" t="str">
        <f t="shared" si="63"/>
        <v>0.0885284966722607+0.42833969613405j</v>
      </c>
      <c r="O173" s="91" t="str">
        <f t="shared" si="64"/>
        <v>5.74859328404052-1.14648649895375j</v>
      </c>
      <c r="P173" s="91" t="str">
        <f t="shared" si="65"/>
        <v>41.1839518856634-8.21363461937015j</v>
      </c>
      <c r="R173" s="91">
        <f t="shared" si="66"/>
        <v>11.82089552238806</v>
      </c>
      <c r="S173" s="91" t="str">
        <f t="shared" si="67"/>
        <v>1+0.00713248934826809j</v>
      </c>
      <c r="T173" s="91" t="str">
        <f t="shared" si="68"/>
        <v>0.0885284966722607+0.42833969613405j</v>
      </c>
      <c r="U173" s="91" t="str">
        <f t="shared" si="69"/>
        <v>0.4787129612018-2.23565611557886j</v>
      </c>
      <c r="V173" s="91" t="str">
        <f t="shared" si="70"/>
        <v>5.65881589957949-26.4274573662456j</v>
      </c>
      <c r="X173" s="91" t="str">
        <f t="shared" si="71"/>
        <v>7.63772990372448-1.86979156062565j</v>
      </c>
      <c r="Y173" s="91">
        <f t="shared" si="72"/>
        <v>17.912065413095849</v>
      </c>
      <c r="Z173" s="91">
        <f t="shared" si="73"/>
        <v>166.24397728620409</v>
      </c>
      <c r="AB173" s="91" t="str">
        <f t="shared" si="74"/>
        <v>5.29692807401376-24.7373908839251j</v>
      </c>
      <c r="AC173" s="91">
        <f t="shared" si="75"/>
        <v>28.06177228939157</v>
      </c>
      <c r="AD173" s="91">
        <f t="shared" si="76"/>
        <v>102.08602865452181</v>
      </c>
      <c r="AF173" s="91" t="str">
        <f t="shared" si="77"/>
        <v>1.17797111187517-2.60888343250503j</v>
      </c>
      <c r="AG173" s="91">
        <f t="shared" si="78"/>
        <v>9.1349006076254433</v>
      </c>
      <c r="AH173" s="91">
        <f t="shared" si="79"/>
        <v>114.30027499485848</v>
      </c>
      <c r="AJ173" s="91" t="str">
        <f t="shared" si="80"/>
        <v>46874.9906849864-20.8959607350519j</v>
      </c>
      <c r="AK173" s="91" t="str">
        <f t="shared" si="81"/>
        <v>15000-0.0000213974680448043j</v>
      </c>
      <c r="AL173" s="91" t="str">
        <f t="shared" si="95"/>
        <v>10000-233672.506930749j</v>
      </c>
      <c r="AM173" s="91" t="str">
        <f t="shared" si="96"/>
        <v>962.300896946268-72547.4549822213j</v>
      </c>
      <c r="AN173" s="91" t="str">
        <f t="shared" si="97"/>
        <v>10962.3008969463-72547.4549822213j</v>
      </c>
      <c r="AO173" s="91" t="str">
        <f t="shared" si="98"/>
        <v>14016.1114601365-2749.31754975262j</v>
      </c>
      <c r="AP173" s="91" t="str">
        <f t="shared" si="99"/>
        <v>0.2424242512718+0.0000818694495064573j</v>
      </c>
      <c r="AQ173" s="91" t="str">
        <f t="shared" si="82"/>
        <v>1+13.009660571241j</v>
      </c>
      <c r="AR173" s="91">
        <f t="shared" si="83"/>
        <v>-2.3721687265279451E-8</v>
      </c>
      <c r="AS173" s="91" t="str">
        <f t="shared" si="84"/>
        <v>0.000724069396667421j</v>
      </c>
      <c r="AT173" s="91" t="str">
        <f t="shared" si="85"/>
        <v>-2.37216872652795E-08+0.000724069396667421j</v>
      </c>
      <c r="AU173" s="91" t="str">
        <f t="shared" si="86"/>
        <v>5.39021308822083-0.414501519233559j</v>
      </c>
      <c r="AW173" s="91" t="str">
        <f t="shared" si="100"/>
        <v>1.29469888766723-0.185677576144397j</v>
      </c>
      <c r="AX173" s="91">
        <f t="shared" si="87"/>
        <v>2.3317928104755148</v>
      </c>
      <c r="AY173" s="91">
        <f t="shared" si="88"/>
        <v>171.83864868331813</v>
      </c>
      <c r="AZ173" s="91" t="str">
        <f t="shared" si="89"/>
        <v>2.26474810601522-33.0109932270014j</v>
      </c>
      <c r="BA173" s="91">
        <f t="shared" si="90"/>
        <v>30.393565099867082</v>
      </c>
      <c r="BB173" s="91">
        <f t="shared" si="91"/>
        <v>93.924677337839938</v>
      </c>
      <c r="BD173" s="91" t="str">
        <f t="shared" si="92"/>
        <v>1.04070673605811-3.59644129893884j</v>
      </c>
      <c r="BE173" s="91">
        <f t="shared" si="93"/>
        <v>11.466693418100988</v>
      </c>
      <c r="BF173" s="91">
        <f t="shared" si="94"/>
        <v>106.13892367817667</v>
      </c>
      <c r="BH173" s="91">
        <f t="shared" si="101"/>
        <v>-10.466693418100988</v>
      </c>
      <c r="BI173" s="112">
        <f t="shared" si="102"/>
        <v>-106.13892367817667</v>
      </c>
      <c r="BJ173" s="95"/>
      <c r="BK173" s="95"/>
      <c r="BL173" s="95"/>
      <c r="BM173" s="95"/>
      <c r="BN173" s="46"/>
      <c r="BO173" s="46"/>
      <c r="BP173" s="46"/>
    </row>
    <row r="174" spans="1:68" s="91" customFormat="1">
      <c r="A174" s="91">
        <v>110</v>
      </c>
      <c r="B174" s="91">
        <f t="shared" si="52"/>
        <v>15848.931924611154</v>
      </c>
      <c r="C174" s="91" t="str">
        <f t="shared" si="53"/>
        <v>99581.7762032063j</v>
      </c>
      <c r="D174" s="91">
        <f t="shared" si="54"/>
        <v>0.9991696243201621</v>
      </c>
      <c r="E174" s="91" t="str">
        <f t="shared" si="55"/>
        <v>-0.0452644437287301j</v>
      </c>
      <c r="F174" s="91" t="str">
        <f t="shared" si="56"/>
        <v>0.999169624320162-0.0452644437287301j</v>
      </c>
      <c r="G174" s="91">
        <f t="shared" si="57"/>
        <v>1.6882436401261622E-3</v>
      </c>
      <c r="H174" s="91">
        <f t="shared" si="58"/>
        <v>-2.5938434666551107</v>
      </c>
      <c r="J174" s="91">
        <f t="shared" si="59"/>
        <v>7.1641791044776131</v>
      </c>
      <c r="K174" s="91" t="str">
        <f t="shared" si="60"/>
        <v>1+2.4721175942446j</v>
      </c>
      <c r="L174" s="91">
        <f t="shared" si="61"/>
        <v>5.9137019528066048E-4</v>
      </c>
      <c r="M174" s="91" t="str">
        <f t="shared" si="62"/>
        <v>0.448526724085412j</v>
      </c>
      <c r="N174" s="91" t="str">
        <f t="shared" si="63"/>
        <v>0.00059137019528066+0.448526724085412j</v>
      </c>
      <c r="O174" s="91" t="str">
        <f t="shared" si="64"/>
        <v>5.51456944320726-2.2222507477652j</v>
      </c>
      <c r="P174" s="91" t="str">
        <f t="shared" si="65"/>
        <v>39.5073631752162-15.9206023720492j</v>
      </c>
      <c r="R174" s="91">
        <f t="shared" si="66"/>
        <v>11.82089552238806</v>
      </c>
      <c r="S174" s="91" t="str">
        <f t="shared" si="67"/>
        <v>1+0.00746863321524047j</v>
      </c>
      <c r="T174" s="91" t="str">
        <f t="shared" si="68"/>
        <v>0.00059137019528066+0.448526724085412j</v>
      </c>
      <c r="U174" s="91" t="str">
        <f t="shared" si="69"/>
        <v>0.0195910077736707-2.22949572626018j</v>
      </c>
      <c r="V174" s="91" t="str">
        <f t="shared" si="70"/>
        <v>0.231583256070854-26.3546360477323j</v>
      </c>
      <c r="X174" s="91" t="str">
        <f t="shared" si="71"/>
        <v>7.25511239558299-3.31280062035584j</v>
      </c>
      <c r="Y174" s="91">
        <f t="shared" si="72"/>
        <v>18.035342972780281</v>
      </c>
      <c r="Z174" s="91">
        <f t="shared" si="73"/>
        <v>155.45780095831748</v>
      </c>
      <c r="AB174" s="91" t="str">
        <f t="shared" si="74"/>
        <v>0.216773238840369-24.6692265730048j</v>
      </c>
      <c r="AC174" s="91">
        <f t="shared" si="75"/>
        <v>27.843446001415074</v>
      </c>
      <c r="AD174" s="91">
        <f t="shared" si="76"/>
        <v>90.503456077189654</v>
      </c>
      <c r="AF174" s="91" t="str">
        <f t="shared" si="77"/>
        <v>1.05551191955888-2.56477743930244j</v>
      </c>
      <c r="AG174" s="91">
        <f t="shared" si="78"/>
        <v>8.8604993097875937</v>
      </c>
      <c r="AH174" s="91">
        <f t="shared" si="79"/>
        <v>112.3691911190364</v>
      </c>
      <c r="AJ174" s="91" t="str">
        <f t="shared" si="80"/>
        <v>46874.9897862909-21.8807566051218j</v>
      </c>
      <c r="AK174" s="91" t="str">
        <f t="shared" si="81"/>
        <v>15000-0.0000224058996457213j</v>
      </c>
      <c r="AL174" s="91" t="str">
        <f t="shared" si="95"/>
        <v>10000-223155.511675908j</v>
      </c>
      <c r="AM174" s="91" t="str">
        <f t="shared" si="96"/>
        <v>962.220103854369-69284.8959091907j</v>
      </c>
      <c r="AN174" s="91" t="str">
        <f t="shared" si="97"/>
        <v>10962.2201038544-69284.8959091907j</v>
      </c>
      <c r="AO174" s="91" t="str">
        <f t="shared" si="98"/>
        <v>13932.9490656705-2847.61906156418j</v>
      </c>
      <c r="AP174" s="91" t="str">
        <f t="shared" si="99"/>
        <v>0.242424252125397+0.0000857278376948281j</v>
      </c>
      <c r="AQ174" s="91" t="str">
        <f t="shared" si="82"/>
        <v>1+13.6227869845986j</v>
      </c>
      <c r="AR174" s="91">
        <f t="shared" si="83"/>
        <v>-3.5658132476425238E-8</v>
      </c>
      <c r="AS174" s="91" t="str">
        <f t="shared" si="84"/>
        <v>0.000758193736020448j</v>
      </c>
      <c r="AT174" s="91" t="str">
        <f t="shared" si="85"/>
        <v>-3.56581324764252E-08+0.000758193736020448j</v>
      </c>
      <c r="AU174" s="91" t="str">
        <f t="shared" si="86"/>
        <v>5.39020804719321-0.395930737080801j</v>
      </c>
      <c r="AW174" s="91" t="str">
        <f t="shared" si="100"/>
        <v>1.29417664358342-0.18515588439441j</v>
      </c>
      <c r="AX174" s="91">
        <f t="shared" si="87"/>
        <v>2.327867570033066</v>
      </c>
      <c r="AY174" s="91">
        <f t="shared" si="88"/>
        <v>171.85803148236278</v>
      </c>
      <c r="AZ174" s="91" t="str">
        <f t="shared" si="89"/>
        <v>-4.28710960078964-31.9664736868007j</v>
      </c>
      <c r="BA174" s="91">
        <f t="shared" si="90"/>
        <v>30.171313571448117</v>
      </c>
      <c r="BB174" s="91">
        <f t="shared" si="91"/>
        <v>82.361487559552444</v>
      </c>
      <c r="BD174" s="91" t="str">
        <f t="shared" si="92"/>
        <v>0.891135238268134-3.51470930088966j</v>
      </c>
      <c r="BE174" s="91">
        <f t="shared" si="93"/>
        <v>11.188366879820624</v>
      </c>
      <c r="BF174" s="91">
        <f t="shared" si="94"/>
        <v>104.22722260139929</v>
      </c>
      <c r="BH174" s="91">
        <f t="shared" si="101"/>
        <v>-10.188366879820624</v>
      </c>
      <c r="BI174" s="112">
        <f t="shared" si="102"/>
        <v>-104.22722260139929</v>
      </c>
      <c r="BJ174" s="95"/>
      <c r="BK174" s="95"/>
      <c r="BL174" s="95"/>
      <c r="BM174" s="95"/>
      <c r="BN174" s="46"/>
      <c r="BO174" s="46"/>
      <c r="BP174" s="46"/>
    </row>
    <row r="175" spans="1:68" s="91" customFormat="1">
      <c r="A175" s="91">
        <v>111</v>
      </c>
      <c r="B175" s="91">
        <f t="shared" si="52"/>
        <v>16595.869074375623</v>
      </c>
      <c r="C175" s="91" t="str">
        <f t="shared" si="53"/>
        <v>104274.920727993j</v>
      </c>
      <c r="D175" s="91">
        <f t="shared" si="54"/>
        <v>0.99908951117245015</v>
      </c>
      <c r="E175" s="91" t="str">
        <f t="shared" si="55"/>
        <v>-0.0473976912399968j</v>
      </c>
      <c r="F175" s="91" t="str">
        <f t="shared" si="56"/>
        <v>0.99908951117245-0.0473976912399968j</v>
      </c>
      <c r="G175" s="91">
        <f t="shared" si="57"/>
        <v>1.851404282724125E-3</v>
      </c>
      <c r="H175" s="91">
        <f t="shared" si="58"/>
        <v>-2.7161260729857131</v>
      </c>
      <c r="J175" s="91">
        <f t="shared" si="59"/>
        <v>7.1641791044776131</v>
      </c>
      <c r="K175" s="91" t="str">
        <f t="shared" si="60"/>
        <v>1+2.58862490707243j</v>
      </c>
      <c r="L175" s="91">
        <f t="shared" si="61"/>
        <v>-9.5829771618207271E-2</v>
      </c>
      <c r="M175" s="91" t="str">
        <f t="shared" si="62"/>
        <v>0.469665137353583j</v>
      </c>
      <c r="N175" s="91" t="str">
        <f t="shared" si="63"/>
        <v>-0.0958297716182073+0.469665137353583j</v>
      </c>
      <c r="O175" s="91" t="str">
        <f t="shared" si="64"/>
        <v>4.87428081952417-3.12371751926206j</v>
      </c>
      <c r="P175" s="91" t="str">
        <f t="shared" si="65"/>
        <v>34.9202207965911-22.3788717797879j</v>
      </c>
      <c r="R175" s="91">
        <f t="shared" si="66"/>
        <v>11.82089552238806</v>
      </c>
      <c r="S175" s="91" t="str">
        <f t="shared" si="67"/>
        <v>1+0.00782061905459948j</v>
      </c>
      <c r="T175" s="91" t="str">
        <f t="shared" si="68"/>
        <v>-0.0958297716182073+0.469665137353583j</v>
      </c>
      <c r="U175" s="91" t="str">
        <f t="shared" si="69"/>
        <v>-0.401084677595407-2.04733983953884j</v>
      </c>
      <c r="V175" s="91" t="str">
        <f t="shared" si="70"/>
        <v>-4.74118006948601-24.2013903420114j</v>
      </c>
      <c r="X175" s="91" t="str">
        <f t="shared" si="71"/>
        <v>6.33287953255253-4.49558684630769j</v>
      </c>
      <c r="Y175" s="91">
        <f t="shared" si="72"/>
        <v>17.804301151428326</v>
      </c>
      <c r="Z175" s="91">
        <f t="shared" si="73"/>
        <v>144.62980560373438</v>
      </c>
      <c r="AB175" s="91" t="str">
        <f t="shared" si="74"/>
        <v>-4.43797611720875-22.6536834220551j</v>
      </c>
      <c r="AC175" s="91">
        <f t="shared" si="75"/>
        <v>27.26633499356064</v>
      </c>
      <c r="AD175" s="91">
        <f t="shared" si="76"/>
        <v>78.915831027613009</v>
      </c>
      <c r="AF175" s="91" t="str">
        <f t="shared" si="77"/>
        <v>0.936700780493792-2.51506432534032j</v>
      </c>
      <c r="AG175" s="91">
        <f t="shared" si="78"/>
        <v>8.5751081688705302</v>
      </c>
      <c r="AH175" s="91">
        <f t="shared" si="79"/>
        <v>110.42714781366708</v>
      </c>
      <c r="AJ175" s="91" t="str">
        <f t="shared" si="80"/>
        <v>46874.9888008909-22.911964412524j</v>
      </c>
      <c r="AK175" s="91" t="str">
        <f t="shared" si="81"/>
        <v>15000-0.0000234618571637985j</v>
      </c>
      <c r="AL175" s="91" t="str">
        <f t="shared" si="95"/>
        <v>10000-213111.859180312j</v>
      </c>
      <c r="AM175" s="91" t="str">
        <f t="shared" si="96"/>
        <v>962.131531582202-66169.2989077752j</v>
      </c>
      <c r="AN175" s="91" t="str">
        <f t="shared" si="97"/>
        <v>10962.1315315822-66169.2989077752j</v>
      </c>
      <c r="AO175" s="91" t="str">
        <f t="shared" si="98"/>
        <v>13843.8227504945-2946.73177555645j</v>
      </c>
      <c r="AP175" s="91" t="str">
        <f t="shared" si="99"/>
        <v>0.242424253061347+0.0000897680661020233j</v>
      </c>
      <c r="AQ175" s="91" t="str">
        <f t="shared" si="82"/>
        <v>1+14.2648091555894j</v>
      </c>
      <c r="AR175" s="91">
        <f t="shared" si="83"/>
        <v>-4.8746184389903491E-8</v>
      </c>
      <c r="AS175" s="91" t="str">
        <f t="shared" si="84"/>
        <v>0.000793926305940379j</v>
      </c>
      <c r="AT175" s="91" t="str">
        <f t="shared" si="85"/>
        <v>-4.87461843899035E-08+0.000793926305940379j</v>
      </c>
      <c r="AU175" s="91" t="str">
        <f t="shared" si="86"/>
        <v>5.39020344692058-0.378199776987453j</v>
      </c>
      <c r="AW175" s="91" t="str">
        <f t="shared" si="100"/>
        <v>1.29360470135562-0.185020283334568j</v>
      </c>
      <c r="AX175" s="91">
        <f t="shared" si="87"/>
        <v>2.3239775071774522</v>
      </c>
      <c r="AY175" s="91">
        <f t="shared" si="88"/>
        <v>171.86036546451857</v>
      </c>
      <c r="AZ175" s="91" t="str">
        <f t="shared" si="89"/>
        <v>-9.93237769504544-28.4837957791543j</v>
      </c>
      <c r="BA175" s="91">
        <f t="shared" si="90"/>
        <v>29.590312500738079</v>
      </c>
      <c r="BB175" s="91">
        <f t="shared" si="91"/>
        <v>70.776196492131561</v>
      </c>
      <c r="BD175" s="91" t="str">
        <f t="shared" si="92"/>
        <v>0.746382619331116-3.42680767927871j</v>
      </c>
      <c r="BE175" s="91">
        <f t="shared" si="93"/>
        <v>10.89908567604798</v>
      </c>
      <c r="BF175" s="91">
        <f t="shared" si="94"/>
        <v>102.28751327818561</v>
      </c>
      <c r="BH175" s="91">
        <f t="shared" si="101"/>
        <v>-9.8990856760479797</v>
      </c>
      <c r="BI175" s="112">
        <f t="shared" si="102"/>
        <v>-102.28751327818561</v>
      </c>
      <c r="BJ175" s="95"/>
      <c r="BK175" s="95"/>
      <c r="BL175" s="95"/>
      <c r="BM175" s="95"/>
      <c r="BN175" s="46"/>
      <c r="BO175" s="46"/>
      <c r="BP175" s="46"/>
    </row>
    <row r="176" spans="1:68" s="91" customFormat="1">
      <c r="A176" s="91">
        <v>112</v>
      </c>
      <c r="B176" s="91">
        <f t="shared" si="52"/>
        <v>17378.008287493769</v>
      </c>
      <c r="C176" s="91" t="str">
        <f t="shared" si="53"/>
        <v>109189.246340026j</v>
      </c>
      <c r="D176" s="91">
        <f t="shared" si="54"/>
        <v>0.99900166885275965</v>
      </c>
      <c r="E176" s="91" t="str">
        <f t="shared" si="55"/>
        <v>-0.0496314756091027j</v>
      </c>
      <c r="F176" s="91" t="str">
        <f t="shared" si="56"/>
        <v>0.99900166885276-0.0496314756091027j</v>
      </c>
      <c r="G176" s="91">
        <f t="shared" si="57"/>
        <v>2.030363368783923E-3</v>
      </c>
      <c r="H176" s="91">
        <f t="shared" si="58"/>
        <v>-2.8441773788663762</v>
      </c>
      <c r="J176" s="91">
        <f t="shared" si="59"/>
        <v>7.1641791044776131</v>
      </c>
      <c r="K176" s="91" t="str">
        <f t="shared" si="60"/>
        <v>1+2.71062304039114j</v>
      </c>
      <c r="L176" s="91">
        <f t="shared" si="61"/>
        <v>-0.20155345126393565</v>
      </c>
      <c r="M176" s="91" t="str">
        <f t="shared" si="62"/>
        <v>0.491799773347184j</v>
      </c>
      <c r="N176" s="91" t="str">
        <f t="shared" si="63"/>
        <v>-0.201553451263936+0.491799773347184j</v>
      </c>
      <c r="O176" s="91" t="str">
        <f t="shared" si="64"/>
        <v>4.00554744596034-3.6749344141297j</v>
      </c>
      <c r="P176" s="91" t="str">
        <f t="shared" si="65"/>
        <v>28.6964593143427-26.3278883400337j</v>
      </c>
      <c r="R176" s="91">
        <f t="shared" si="66"/>
        <v>11.82089552238806</v>
      </c>
      <c r="S176" s="91" t="str">
        <f t="shared" si="67"/>
        <v>1+0.00818919347550195j</v>
      </c>
      <c r="T176" s="91" t="str">
        <f t="shared" si="68"/>
        <v>-0.201553451263936+0.491799773347184j</v>
      </c>
      <c r="U176" s="91" t="str">
        <f t="shared" si="69"/>
        <v>-0.699229851841437-1.74678366418874j</v>
      </c>
      <c r="V176" s="91" t="str">
        <f t="shared" si="70"/>
        <v>-8.26552302475251-20.6485471945893j</v>
      </c>
      <c r="X176" s="91" t="str">
        <f t="shared" si="71"/>
        <v>5.12226871717514-5.19055033744648j</v>
      </c>
      <c r="Y176" s="91">
        <f t="shared" si="72"/>
        <v>17.257438382654506</v>
      </c>
      <c r="Z176" s="91">
        <f t="shared" si="73"/>
        <v>134.62064771310517</v>
      </c>
      <c r="AB176" s="91" t="str">
        <f t="shared" si="74"/>
        <v>-7.73693326186351-19.3280487055155j</v>
      </c>
      <c r="AC176" s="91">
        <f t="shared" si="75"/>
        <v>26.36922578092204</v>
      </c>
      <c r="AD176" s="91">
        <f t="shared" si="76"/>
        <v>68.183990413259579</v>
      </c>
      <c r="AF176" s="91" t="str">
        <f t="shared" si="77"/>
        <v>0.821986152654673-2.46011550607451j</v>
      </c>
      <c r="AG176" s="91">
        <f t="shared" si="78"/>
        <v>8.2787497930041951</v>
      </c>
      <c r="AH176" s="91">
        <f t="shared" si="79"/>
        <v>108.47576360573721</v>
      </c>
      <c r="AJ176" s="91" t="str">
        <f t="shared" si="80"/>
        <v>46874.9877204213-23.9917714752693j</v>
      </c>
      <c r="AK176" s="91" t="str">
        <f t="shared" si="81"/>
        <v>15000-0.0000245675804265058j</v>
      </c>
      <c r="AL176" s="91" t="str">
        <f t="shared" si="95"/>
        <v>10000-203520.245510442j</v>
      </c>
      <c r="AM176" s="91" t="str">
        <f t="shared" si="96"/>
        <v>962.034432756908-63194.0553077921j</v>
      </c>
      <c r="AN176" s="91" t="str">
        <f t="shared" si="97"/>
        <v>10962.0344327569-63194.0553077921j</v>
      </c>
      <c r="AO176" s="91" t="str">
        <f t="shared" si="98"/>
        <v>13748.4867823464-3046.30192334205j</v>
      </c>
      <c r="AP176" s="91" t="str">
        <f t="shared" si="99"/>
        <v>0.242424254087595+0.0000939987045914121j</v>
      </c>
      <c r="AQ176" s="91" t="str">
        <f t="shared" si="82"/>
        <v>1+14.9370888993156j</v>
      </c>
      <c r="AR176" s="91">
        <f t="shared" si="83"/>
        <v>-6.3096947943023689E-8</v>
      </c>
      <c r="AS176" s="91" t="str">
        <f t="shared" si="84"/>
        <v>0.000831342899998763j</v>
      </c>
      <c r="AT176" s="91" t="str">
        <f t="shared" si="85"/>
        <v>-6.30969479430237E-08+0.000831342899998763j</v>
      </c>
      <c r="AU176" s="91" t="str">
        <f t="shared" si="86"/>
        <v>5.3901992483511-0.361271029224912j</v>
      </c>
      <c r="AW176" s="91" t="str">
        <f t="shared" si="100"/>
        <v>1.29297833921387-0.185269509873441j</v>
      </c>
      <c r="AX176" s="91">
        <f t="shared" si="87"/>
        <v>2.3200900814478809</v>
      </c>
      <c r="AY176" s="91">
        <f t="shared" si="88"/>
        <v>171.84565314527703</v>
      </c>
      <c r="AZ176" s="91" t="str">
        <f t="shared" si="89"/>
        <v>-13.5845852300137-23.5573304821533j</v>
      </c>
      <c r="BA176" s="91">
        <f t="shared" si="90"/>
        <v>28.689315862369938</v>
      </c>
      <c r="BB176" s="91">
        <f t="shared" si="91"/>
        <v>60.02964355853662</v>
      </c>
      <c r="BD176" s="91" t="str">
        <f t="shared" si="92"/>
        <v>0.607025896473764-3.3331650329436j</v>
      </c>
      <c r="BE176" s="91">
        <f t="shared" si="93"/>
        <v>10.598839874452089</v>
      </c>
      <c r="BF176" s="91">
        <f t="shared" si="94"/>
        <v>100.32141675101427</v>
      </c>
      <c r="BH176" s="91">
        <f t="shared" si="101"/>
        <v>-9.5988398744520893</v>
      </c>
      <c r="BI176" s="112">
        <f t="shared" si="102"/>
        <v>-100.32141675101427</v>
      </c>
      <c r="BJ176" s="95"/>
      <c r="BK176" s="95"/>
      <c r="BL176" s="95"/>
      <c r="BM176" s="95"/>
      <c r="BN176" s="46"/>
      <c r="BO176" s="46"/>
      <c r="BP176" s="46"/>
    </row>
    <row r="177" spans="1:68" s="91" customFormat="1">
      <c r="A177" s="91">
        <v>113</v>
      </c>
      <c r="B177" s="91">
        <f t="shared" si="52"/>
        <v>18197.008586099848</v>
      </c>
      <c r="C177" s="91" t="str">
        <f t="shared" si="53"/>
        <v>114335.176982803j</v>
      </c>
      <c r="D177" s="91">
        <f t="shared" si="54"/>
        <v>0.99890535166452032</v>
      </c>
      <c r="E177" s="91" t="str">
        <f t="shared" si="55"/>
        <v>-0.0519705349921832j</v>
      </c>
      <c r="F177" s="91" t="str">
        <f t="shared" si="56"/>
        <v>0.99890535166452-0.0519705349921832j</v>
      </c>
      <c r="G177" s="91">
        <f t="shared" si="57"/>
        <v>2.2266566236358119E-3</v>
      </c>
      <c r="H177" s="91">
        <f t="shared" si="58"/>
        <v>-2.9782700961767712</v>
      </c>
      <c r="J177" s="91">
        <f t="shared" si="59"/>
        <v>7.1641791044776131</v>
      </c>
      <c r="K177" s="91" t="str">
        <f t="shared" si="60"/>
        <v>1+2.83837076859808j</v>
      </c>
      <c r="L177" s="91">
        <f t="shared" si="61"/>
        <v>-0.31747716081148836</v>
      </c>
      <c r="M177" s="91" t="str">
        <f t="shared" si="62"/>
        <v>0.514977582596797j</v>
      </c>
      <c r="N177" s="91" t="str">
        <f t="shared" si="63"/>
        <v>-0.317477160811488+0.514977582596797j</v>
      </c>
      <c r="O177" s="91" t="str">
        <f t="shared" si="64"/>
        <v>3.12633875050647-3.86918036353787j</v>
      </c>
      <c r="P177" s="91" t="str">
        <f t="shared" si="65"/>
        <v>22.3976507498971-27.7195011119131j</v>
      </c>
      <c r="R177" s="91">
        <f t="shared" si="66"/>
        <v>11.82089552238806</v>
      </c>
      <c r="S177" s="91" t="str">
        <f t="shared" si="67"/>
        <v>1+0.00857513827371022j</v>
      </c>
      <c r="T177" s="91" t="str">
        <f t="shared" si="68"/>
        <v>-0.317477160811488+0.514977582596797j</v>
      </c>
      <c r="U177" s="91" t="str">
        <f t="shared" si="69"/>
        <v>-0.855373173295995-1.41450536513549j</v>
      </c>
      <c r="V177" s="91" t="str">
        <f t="shared" si="70"/>
        <v>-10.1112769141855-16.720720137124j</v>
      </c>
      <c r="X177" s="91" t="str">
        <f t="shared" si="71"/>
        <v>3.91877520021667-5.40159638170926j</v>
      </c>
      <c r="Y177" s="91">
        <f t="shared" si="72"/>
        <v>16.48692119641543</v>
      </c>
      <c r="Z177" s="91">
        <f t="shared" si="73"/>
        <v>125.96030858833663</v>
      </c>
      <c r="AB177" s="91" t="str">
        <f t="shared" si="74"/>
        <v>-9.46464905402848-15.6514107339383j</v>
      </c>
      <c r="AC177" s="91">
        <f t="shared" si="75"/>
        <v>25.244561527444709</v>
      </c>
      <c r="AD177" s="91">
        <f t="shared" si="76"/>
        <v>58.838000536642554</v>
      </c>
      <c r="AF177" s="91" t="str">
        <f t="shared" si="77"/>
        <v>0.711766699286205-2.40034029323656j</v>
      </c>
      <c r="AG177" s="91">
        <f t="shared" si="78"/>
        <v>7.9714598769182521</v>
      </c>
      <c r="AH177" s="91">
        <f t="shared" si="79"/>
        <v>106.51653395459307</v>
      </c>
      <c r="AJ177" s="91" t="str">
        <f t="shared" si="80"/>
        <v>46874.9865357101-25.1224681951262j</v>
      </c>
      <c r="AK177" s="91" t="str">
        <f t="shared" si="81"/>
        <v>15000-0.0000257254148211307j</v>
      </c>
      <c r="AL177" s="91" t="str">
        <f t="shared" si="95"/>
        <v>10000-194360.325567735j</v>
      </c>
      <c r="AM177" s="91" t="str">
        <f t="shared" si="96"/>
        <v>961.927988535599-60352.854136929j</v>
      </c>
      <c r="AN177" s="91" t="str">
        <f t="shared" si="97"/>
        <v>10961.9279885356-60352.854136929j</v>
      </c>
      <c r="AO177" s="91" t="str">
        <f t="shared" si="98"/>
        <v>13646.7162928418-3145.93485318196j</v>
      </c>
      <c r="AP177" s="91" t="str">
        <f t="shared" si="99"/>
        <v>0.242424255212854+0.0000984287269112679j</v>
      </c>
      <c r="AQ177" s="91" t="str">
        <f t="shared" si="82"/>
        <v>1+15.6410522112474j</v>
      </c>
      <c r="AR177" s="91">
        <f t="shared" si="83"/>
        <v>-7.883224727702416E-8</v>
      </c>
      <c r="AS177" s="91" t="str">
        <f t="shared" si="84"/>
        <v>0.000870522883808126j</v>
      </c>
      <c r="AT177" s="91" t="str">
        <f t="shared" si="85"/>
        <v>-7.88322472770242E-08+0.000870522883808126j</v>
      </c>
      <c r="AU177" s="91" t="str">
        <f t="shared" si="86"/>
        <v>5.39019541584285-0.345108585662535j</v>
      </c>
      <c r="AW177" s="91" t="str">
        <f t="shared" si="100"/>
        <v>1.29229240012577-0.1859029751649j</v>
      </c>
      <c r="AX177" s="91">
        <f t="shared" si="87"/>
        <v>2.3161727733089648</v>
      </c>
      <c r="AY177" s="91">
        <f t="shared" si="88"/>
        <v>171.8138650032584</v>
      </c>
      <c r="AZ177" s="91" t="str">
        <f t="shared" si="89"/>
        <v>-15.1407378633456-18.4666927246798j</v>
      </c>
      <c r="BA177" s="91">
        <f t="shared" si="90"/>
        <v>27.56073430075368</v>
      </c>
      <c r="BB177" s="91">
        <f t="shared" si="91"/>
        <v>50.651865539900825</v>
      </c>
      <c r="BD177" s="91" t="str">
        <f t="shared" si="92"/>
        <v>0.473580294229295-3.23426106568588j</v>
      </c>
      <c r="BE177" s="91">
        <f t="shared" si="93"/>
        <v>10.287632650227227</v>
      </c>
      <c r="BF177" s="91">
        <f t="shared" si="94"/>
        <v>98.330398957851344</v>
      </c>
      <c r="BH177" s="91">
        <f t="shared" si="101"/>
        <v>-9.2876326502272271</v>
      </c>
      <c r="BI177" s="112">
        <f t="shared" si="102"/>
        <v>-98.330398957851344</v>
      </c>
      <c r="BJ177" s="95"/>
      <c r="BK177" s="95"/>
      <c r="BL177" s="95"/>
      <c r="BM177" s="95"/>
      <c r="BN177" s="46"/>
      <c r="BO177" s="46"/>
      <c r="BP177" s="46"/>
    </row>
    <row r="178" spans="1:68" s="91" customFormat="1">
      <c r="A178" s="91">
        <v>114</v>
      </c>
      <c r="B178" s="91">
        <f t="shared" si="52"/>
        <v>19054.607179632498</v>
      </c>
      <c r="C178" s="91" t="str">
        <f t="shared" si="53"/>
        <v>119723.627865146j</v>
      </c>
      <c r="D178" s="91">
        <f t="shared" si="54"/>
        <v>0.99879974196770216</v>
      </c>
      <c r="E178" s="91" t="str">
        <f t="shared" si="55"/>
        <v>-0.0544198308477936j</v>
      </c>
      <c r="F178" s="91" t="str">
        <f t="shared" si="56"/>
        <v>0.998799741967702-0.0544198308477936j</v>
      </c>
      <c r="G178" s="91">
        <f t="shared" si="57"/>
        <v>2.4419702639292282E-3</v>
      </c>
      <c r="H178" s="91">
        <f t="shared" si="58"/>
        <v>-3.1186899132723083</v>
      </c>
      <c r="J178" s="91">
        <f t="shared" si="59"/>
        <v>7.1641791044776131</v>
      </c>
      <c r="K178" s="91" t="str">
        <f t="shared" si="60"/>
        <v>1+2.97213906175225j</v>
      </c>
      <c r="L178" s="91">
        <f t="shared" si="61"/>
        <v>-0.44458498074644837</v>
      </c>
      <c r="M178" s="91" t="str">
        <f t="shared" si="62"/>
        <v>0.53924772834335j</v>
      </c>
      <c r="N178" s="91" t="str">
        <f t="shared" si="63"/>
        <v>-0.444584980746448+0.53924772834335j</v>
      </c>
      <c r="O178" s="91" t="str">
        <f t="shared" si="64"/>
        <v>2.3710690517886-3.8092727716231j</v>
      </c>
      <c r="P178" s="91" t="str">
        <f t="shared" si="65"/>
        <v>16.9867633560974-27.2903123937177j</v>
      </c>
      <c r="R178" s="91">
        <f t="shared" si="66"/>
        <v>11.82089552238806</v>
      </c>
      <c r="S178" s="91" t="str">
        <f t="shared" si="67"/>
        <v>1+0.00897927208988595j</v>
      </c>
      <c r="T178" s="91" t="str">
        <f t="shared" si="68"/>
        <v>-0.444584980746448+0.53924772834335j</v>
      </c>
      <c r="U178" s="91" t="str">
        <f t="shared" si="69"/>
        <v>-0.900293591134458-1.11218454820725j</v>
      </c>
      <c r="V178" s="91" t="str">
        <f t="shared" si="70"/>
        <v>-10.642276480276-13.1470173459723j</v>
      </c>
      <c r="X178" s="91" t="str">
        <f t="shared" si="71"/>
        <v>2.89823948313331-5.27594078580901j</v>
      </c>
      <c r="Y178" s="91">
        <f t="shared" si="72"/>
        <v>15.591323799797145</v>
      </c>
      <c r="Z178" s="91">
        <f t="shared" si="73"/>
        <v>118.78137054313412</v>
      </c>
      <c r="AB178" s="91" t="str">
        <f t="shared" si="74"/>
        <v>-9.96169058335671-12.306250372026j</v>
      </c>
      <c r="AC178" s="91">
        <f t="shared" si="75"/>
        <v>23.99118087821174</v>
      </c>
      <c r="AD178" s="91">
        <f t="shared" si="76"/>
        <v>51.01044633117516</v>
      </c>
      <c r="AF178" s="91" t="str">
        <f t="shared" si="77"/>
        <v>0.606388280744041-2.3361781001438j</v>
      </c>
      <c r="AG178" s="91">
        <f t="shared" si="78"/>
        <v>7.6532835053667503</v>
      </c>
      <c r="AH178" s="91">
        <f t="shared" si="79"/>
        <v>104.55082713873557</v>
      </c>
      <c r="AJ178" s="91" t="str">
        <f t="shared" si="80"/>
        <v>46874.9852367001-26.3064529156073j</v>
      </c>
      <c r="AK178" s="91" t="str">
        <f t="shared" si="81"/>
        <v>15000-0.0000269378162696579j</v>
      </c>
      <c r="AL178" s="91" t="str">
        <f t="shared" si="95"/>
        <v>10000-185612.669933898j</v>
      </c>
      <c r="AM178" s="91" t="str">
        <f t="shared" si="96"/>
        <v>961.811301838011-57639.6687327753j</v>
      </c>
      <c r="AN178" s="91" t="str">
        <f t="shared" si="97"/>
        <v>10961.811301838-57639.6687327753j</v>
      </c>
      <c r="AO178" s="91" t="str">
        <f t="shared" si="98"/>
        <v>13538.3132394106-3245.19501442051j</v>
      </c>
      <c r="AP178" s="91" t="str">
        <f t="shared" si="99"/>
        <v>0.242424256446676+0.000103067529729233j</v>
      </c>
      <c r="AQ178" s="91" t="str">
        <f t="shared" si="82"/>
        <v>1+16.378192291952j</v>
      </c>
      <c r="AR178" s="91">
        <f t="shared" si="83"/>
        <v>-9.6085659906546579E-8</v>
      </c>
      <c r="AS178" s="91" t="str">
        <f t="shared" si="84"/>
        <v>0.000911549363367091j</v>
      </c>
      <c r="AT178" s="91" t="str">
        <f t="shared" si="85"/>
        <v>-9.60856599065466E-08+0.000911549363367091j</v>
      </c>
      <c r="AU178" s="91" t="str">
        <f t="shared" si="86"/>
        <v>5.39019191686167-0.329678163601911j</v>
      </c>
      <c r="AW178" s="91" t="str">
        <f t="shared" si="100"/>
        <v>1.29154125333078-0.186920742955117j</v>
      </c>
      <c r="AX178" s="91">
        <f t="shared" si="87"/>
        <v>2.3121928241902747</v>
      </c>
      <c r="AY178" s="91">
        <f t="shared" si="88"/>
        <v>171.76493944841954</v>
      </c>
      <c r="AZ178" s="91" t="str">
        <f t="shared" si="89"/>
        <v>-15.1662278038527-14.0319834243588j</v>
      </c>
      <c r="BA178" s="91">
        <f t="shared" si="90"/>
        <v>26.303373702402002</v>
      </c>
      <c r="BB178" s="91">
        <f t="shared" si="91"/>
        <v>42.775385779594785</v>
      </c>
      <c r="BD178" s="91" t="str">
        <f t="shared" si="92"/>
        <v>0.346495333962906-3.13061693941959j</v>
      </c>
      <c r="BE178" s="91">
        <f t="shared" si="93"/>
        <v>9.9654763295570099</v>
      </c>
      <c r="BF178" s="91">
        <f t="shared" si="94"/>
        <v>96.315766587155181</v>
      </c>
      <c r="BH178" s="91">
        <f t="shared" si="101"/>
        <v>-8.9654763295570099</v>
      </c>
      <c r="BI178" s="112">
        <f t="shared" si="102"/>
        <v>-96.315766587155181</v>
      </c>
      <c r="BJ178" s="95"/>
      <c r="BK178" s="95"/>
      <c r="BL178" s="95"/>
      <c r="BM178" s="95"/>
      <c r="BN178" s="46"/>
      <c r="BO178" s="46"/>
      <c r="BP178" s="46"/>
    </row>
    <row r="179" spans="1:68" s="91" customFormat="1">
      <c r="A179" s="91">
        <v>115</v>
      </c>
      <c r="B179" s="91">
        <f t="shared" si="52"/>
        <v>19952.623149688818</v>
      </c>
      <c r="C179" s="91" t="str">
        <f t="shared" si="53"/>
        <v>125366.028613816j</v>
      </c>
      <c r="D179" s="91">
        <f t="shared" si="54"/>
        <v>0.99868394323783971</v>
      </c>
      <c r="E179" s="91" t="str">
        <f t="shared" si="55"/>
        <v>-0.0569845584608255j</v>
      </c>
      <c r="F179" s="91" t="str">
        <f t="shared" si="56"/>
        <v>0.99868394323784-0.0569845584608255j</v>
      </c>
      <c r="G179" s="91">
        <f t="shared" si="57"/>
        <v>2.6781559865255208E-3</v>
      </c>
      <c r="H179" s="91">
        <f t="shared" si="58"/>
        <v>-3.2657361247298513</v>
      </c>
      <c r="J179" s="91">
        <f t="shared" si="59"/>
        <v>7.1641791044776131</v>
      </c>
      <c r="K179" s="91" t="str">
        <f t="shared" si="60"/>
        <v>1+3.11221166033798j</v>
      </c>
      <c r="L179" s="91">
        <f t="shared" si="61"/>
        <v>-0.58395593386438249</v>
      </c>
      <c r="M179" s="91" t="str">
        <f t="shared" si="62"/>
        <v>0.564661690819915j</v>
      </c>
      <c r="N179" s="91" t="str">
        <f t="shared" si="63"/>
        <v>-0.583955933864382+0.564661690819915j</v>
      </c>
      <c r="O179" s="91" t="str">
        <f t="shared" si="64"/>
        <v>1.77827606737433-3.61001090517112j</v>
      </c>
      <c r="P179" s="91" t="str">
        <f t="shared" si="65"/>
        <v>12.7398882438758-25.8627646937633j</v>
      </c>
      <c r="R179" s="91">
        <f t="shared" si="66"/>
        <v>11.82089552238806</v>
      </c>
      <c r="S179" s="91" t="str">
        <f t="shared" si="67"/>
        <v>1+0.0094024521460362j</v>
      </c>
      <c r="T179" s="91" t="str">
        <f t="shared" si="68"/>
        <v>-0.583955933864382+0.564661690819915j</v>
      </c>
      <c r="U179" s="91" t="str">
        <f t="shared" si="69"/>
        <v>-0.876940284021013-0.864066972194893j</v>
      </c>
      <c r="V179" s="91" t="str">
        <f t="shared" si="70"/>
        <v>-10.3662194767857-10.214045402662j</v>
      </c>
      <c r="X179" s="91" t="str">
        <f t="shared" si="71"/>
        <v>2.10598701186239-4.97130012701618j</v>
      </c>
      <c r="Y179" s="91">
        <f t="shared" si="72"/>
        <v>14.646237533043243</v>
      </c>
      <c r="Z179" s="91">
        <f t="shared" si="73"/>
        <v>112.95892557764154</v>
      </c>
      <c r="AB179" s="91" t="str">
        <f t="shared" si="74"/>
        <v>-9.70328774471258-9.56084537873584j</v>
      </c>
      <c r="AC179" s="91">
        <f t="shared" si="75"/>
        <v>22.684926897247806</v>
      </c>
      <c r="AD179" s="91">
        <f t="shared" si="76"/>
        <v>44.576352716751984</v>
      </c>
      <c r="AF179" s="91" t="str">
        <f t="shared" si="77"/>
        <v>0.506142316116228-2.26809062350679j</v>
      </c>
      <c r="AG179" s="91">
        <f t="shared" si="78"/>
        <v>7.324271445744337</v>
      </c>
      <c r="AH179" s="91">
        <f t="shared" si="79"/>
        <v>102.57988453284513</v>
      </c>
      <c r="AJ179" s="91" t="str">
        <f t="shared" si="80"/>
        <v>46874.983812364-27.5462370088734j</v>
      </c>
      <c r="AK179" s="91" t="str">
        <f t="shared" si="81"/>
        <v>15000-0.0000282073564381086j</v>
      </c>
      <c r="AL179" s="91" t="str">
        <f t="shared" si="95"/>
        <v>10000-177258.723658518j</v>
      </c>
      <c r="AM179" s="91" t="str">
        <f t="shared" si="96"/>
        <v>961.683389951965-55048.743957693j</v>
      </c>
      <c r="AN179" s="91" t="str">
        <f t="shared" si="97"/>
        <v>10961.683389952-55048.743957693j</v>
      </c>
      <c r="AO179" s="91" t="str">
        <f t="shared" si="98"/>
        <v>13423.1127739575-3343.60679865373j</v>
      </c>
      <c r="AP179" s="91" t="str">
        <f t="shared" si="99"/>
        <v>0.242424257799536+0.000107924952563832j</v>
      </c>
      <c r="AQ179" s="91" t="str">
        <f t="shared" si="82"/>
        <v>1+17.15007271437j</v>
      </c>
      <c r="AR179" s="91">
        <f t="shared" si="83"/>
        <v>-1.1500365066387339E-7</v>
      </c>
      <c r="AS179" s="91" t="str">
        <f t="shared" si="84"/>
        <v>0.0009545093613393j</v>
      </c>
      <c r="AT179" s="91" t="str">
        <f t="shared" si="85"/>
        <v>-1.15003650663873E-07+0.0009545093613393j</v>
      </c>
      <c r="AU179" s="91" t="str">
        <f t="shared" si="86"/>
        <v>5.39018872170447-0.314947033058904j</v>
      </c>
      <c r="AW179" s="91" t="str">
        <f t="shared" si="100"/>
        <v>1.29071875289919-0.188323506452839j</v>
      </c>
      <c r="AX179" s="91">
        <f t="shared" si="87"/>
        <v>2.3081169749757664</v>
      </c>
      <c r="AY179" s="91">
        <f t="shared" si="88"/>
        <v>171.6987827981186</v>
      </c>
      <c r="AZ179" s="91" t="str">
        <f t="shared" si="89"/>
        <v>-14.3247473832544-10.5130052516988j</v>
      </c>
      <c r="BA179" s="91">
        <f t="shared" si="90"/>
        <v>24.993043872223595</v>
      </c>
      <c r="BB179" s="91">
        <f t="shared" si="91"/>
        <v>36.275135514870584</v>
      </c>
      <c r="BD179" s="91" t="str">
        <f t="shared" si="92"/>
        <v>0.226152599875441-3.02278559677021j</v>
      </c>
      <c r="BE179" s="91">
        <f t="shared" si="93"/>
        <v>9.6323884207201331</v>
      </c>
      <c r="BF179" s="91">
        <f t="shared" si="94"/>
        <v>94.278667330963728</v>
      </c>
      <c r="BH179" s="91">
        <f t="shared" si="101"/>
        <v>-8.6323884207201331</v>
      </c>
      <c r="BI179" s="112">
        <f t="shared" si="102"/>
        <v>-94.278667330963728</v>
      </c>
      <c r="BJ179" s="95"/>
      <c r="BK179" s="95"/>
      <c r="BL179" s="95"/>
      <c r="BM179" s="95"/>
      <c r="BN179" s="46"/>
      <c r="BO179" s="46"/>
      <c r="BP179" s="46"/>
    </row>
    <row r="180" spans="1:68" s="91" customFormat="1">
      <c r="A180" s="91">
        <v>116</v>
      </c>
      <c r="B180" s="91">
        <f t="shared" si="52"/>
        <v>20892.961308540394</v>
      </c>
      <c r="C180" s="91" t="str">
        <f t="shared" si="53"/>
        <v>131274.347517293j</v>
      </c>
      <c r="D180" s="91">
        <f t="shared" si="54"/>
        <v>0.99855697245540442</v>
      </c>
      <c r="E180" s="91" t="str">
        <f t="shared" si="55"/>
        <v>-0.0596701579624059j</v>
      </c>
      <c r="F180" s="91" t="str">
        <f t="shared" si="56"/>
        <v>0.998556972455404-0.0596701579624059j</v>
      </c>
      <c r="G180" s="91">
        <f t="shared" si="57"/>
        <v>2.9372474983201478E-3</v>
      </c>
      <c r="H180" s="91">
        <f t="shared" si="58"/>
        <v>-3.4197222934195857</v>
      </c>
      <c r="J180" s="91">
        <f t="shared" si="59"/>
        <v>7.1641791044776131</v>
      </c>
      <c r="K180" s="91" t="str">
        <f t="shared" si="60"/>
        <v>1+3.2588856771168j</v>
      </c>
      <c r="L180" s="91">
        <f t="shared" si="61"/>
        <v>-0.73677314513392322</v>
      </c>
      <c r="M180" s="91" t="str">
        <f t="shared" si="62"/>
        <v>0.591273376448225j</v>
      </c>
      <c r="N180" s="91" t="str">
        <f t="shared" si="63"/>
        <v>-0.736773145133923+0.591273376448225j</v>
      </c>
      <c r="O180" s="91" t="str">
        <f t="shared" si="64"/>
        <v>1.3335582172894-3.35298351141826j</v>
      </c>
      <c r="P180" s="91" t="str">
        <f t="shared" si="65"/>
        <v>9.55384991490914-24.0213744101607j</v>
      </c>
      <c r="R180" s="91">
        <f t="shared" si="66"/>
        <v>11.82089552238806</v>
      </c>
      <c r="S180" s="91" t="str">
        <f t="shared" si="67"/>
        <v>1+0.00984557606379697j</v>
      </c>
      <c r="T180" s="91" t="str">
        <f t="shared" si="68"/>
        <v>-0.736773145133923+0.591273376448225j</v>
      </c>
      <c r="U180" s="91" t="str">
        <f t="shared" si="69"/>
        <v>-0.819049618046314-0.670664793455321j</v>
      </c>
      <c r="V180" s="91" t="str">
        <f t="shared" si="70"/>
        <v>-9.68189996257732-7.92785845397932j</v>
      </c>
      <c r="X180" s="91" t="str">
        <f t="shared" si="71"/>
        <v>1.51765422458762-4.59727109171378j</v>
      </c>
      <c r="Y180" s="91">
        <f t="shared" si="72"/>
        <v>13.699238080654606</v>
      </c>
      <c r="Z180" s="91">
        <f t="shared" si="73"/>
        <v>108.26912474985708</v>
      </c>
      <c r="AB180" s="91" t="str">
        <f t="shared" si="74"/>
        <v>-9.06273125538145-7.42086273116093j</v>
      </c>
      <c r="AC180" s="91">
        <f t="shared" si="75"/>
        <v>21.373613964476284</v>
      </c>
      <c r="AD180" s="91">
        <f t="shared" si="76"/>
        <v>39.311746157758591</v>
      </c>
      <c r="AF180" s="91" t="str">
        <f t="shared" si="77"/>
        <v>0.411265420898149-2.19655425540026j</v>
      </c>
      <c r="AG180" s="91">
        <f t="shared" si="78"/>
        <v>6.9844765475855102</v>
      </c>
      <c r="AH180" s="91">
        <f t="shared" si="79"/>
        <v>100.60482518601171</v>
      </c>
      <c r="AJ180" s="91" t="str">
        <f t="shared" si="80"/>
        <v>46874.9822506107-28.8444502023451j</v>
      </c>
      <c r="AK180" s="91" t="str">
        <f t="shared" si="81"/>
        <v>15000-0.000029536728191391j</v>
      </c>
      <c r="AL180" s="91" t="str">
        <f t="shared" si="95"/>
        <v>10000-169280.766901506j</v>
      </c>
      <c r="AM180" s="91" t="str">
        <f t="shared" si="96"/>
        <v>961.543176456296-52574.5839893602j</v>
      </c>
      <c r="AN180" s="91" t="str">
        <f t="shared" si="97"/>
        <v>10961.5431764563-52574.5839893602j</v>
      </c>
      <c r="AO180" s="91" t="str">
        <f t="shared" si="98"/>
        <v>13300.989902869-3440.6563729342j</v>
      </c>
      <c r="AP180" s="91" t="str">
        <f t="shared" si="99"/>
        <v>0.242424259282916+0.000113011298655342j</v>
      </c>
      <c r="AQ180" s="91" t="str">
        <f t="shared" si="82"/>
        <v>1+17.9583307403657j</v>
      </c>
      <c r="AR180" s="91">
        <f t="shared" si="83"/>
        <v>-1.3574681504412491E-7</v>
      </c>
      <c r="AS180" s="91" t="str">
        <f t="shared" si="84"/>
        <v>0.000999494001640215j</v>
      </c>
      <c r="AT180" s="91" t="str">
        <f t="shared" si="85"/>
        <v>-1.35746815044125E-07+0.000999494001640215j</v>
      </c>
      <c r="AU180" s="91" t="str">
        <f t="shared" si="86"/>
        <v>5.39018580324753-0.300883947339126j</v>
      </c>
      <c r="AW180" s="91" t="str">
        <f t="shared" si="100"/>
        <v>1.28981819316699-0.19011256329079j</v>
      </c>
      <c r="AX180" s="91">
        <f t="shared" si="87"/>
        <v>2.3039112012672218</v>
      </c>
      <c r="AY180" s="91">
        <f t="shared" si="88"/>
        <v>171.61526926277634</v>
      </c>
      <c r="AZ180" s="91" t="str">
        <f t="shared" si="89"/>
        <v>-13.1000748886242-7.84862469027012j</v>
      </c>
      <c r="BA180" s="91">
        <f t="shared" si="90"/>
        <v>23.677525165743504</v>
      </c>
      <c r="BB180" s="91">
        <f t="shared" si="91"/>
        <v>30.927015420534957</v>
      </c>
      <c r="BD180" s="91" t="str">
        <f t="shared" si="92"/>
        <v>0.112865062193478-2.91134236425343j</v>
      </c>
      <c r="BE180" s="91">
        <f t="shared" si="93"/>
        <v>9.2883877488527045</v>
      </c>
      <c r="BF180" s="91">
        <f t="shared" si="94"/>
        <v>92.220094448788089</v>
      </c>
      <c r="BH180" s="91">
        <f t="shared" si="101"/>
        <v>-8.2883877488527045</v>
      </c>
      <c r="BI180" s="112">
        <f t="shared" si="102"/>
        <v>-92.220094448788089</v>
      </c>
      <c r="BJ180" s="95"/>
      <c r="BK180" s="95"/>
      <c r="BL180" s="95"/>
      <c r="BM180" s="95"/>
      <c r="BN180" s="46"/>
      <c r="BO180" s="46"/>
      <c r="BP180" s="46"/>
    </row>
    <row r="181" spans="1:68" s="91" customFormat="1">
      <c r="A181" s="91">
        <v>117</v>
      </c>
      <c r="B181" s="91">
        <f t="shared" si="52"/>
        <v>21877.616239495524</v>
      </c>
      <c r="C181" s="91" t="str">
        <f t="shared" si="53"/>
        <v>137461.116912112j</v>
      </c>
      <c r="D181" s="91">
        <f t="shared" si="54"/>
        <v>0.99841775176091685</v>
      </c>
      <c r="E181" s="91" t="str">
        <f t="shared" si="55"/>
        <v>-0.0624823258691418j</v>
      </c>
      <c r="F181" s="91" t="str">
        <f t="shared" si="56"/>
        <v>0.998417751760917-0.0624823258691418j</v>
      </c>
      <c r="G181" s="91">
        <f t="shared" si="57"/>
        <v>3.2214787546726142E-3</v>
      </c>
      <c r="H181" s="91">
        <f t="shared" si="58"/>
        <v>-3.5809769468058024</v>
      </c>
      <c r="J181" s="91">
        <f t="shared" si="59"/>
        <v>7.1641791044776131</v>
      </c>
      <c r="K181" s="91" t="str">
        <f t="shared" si="60"/>
        <v>1+3.41247222734318j</v>
      </c>
      <c r="L181" s="91">
        <f t="shared" si="61"/>
        <v>-0.90433388528636272</v>
      </c>
      <c r="M181" s="91" t="str">
        <f t="shared" si="62"/>
        <v>0.619139232181382j</v>
      </c>
      <c r="N181" s="91" t="str">
        <f t="shared" si="63"/>
        <v>-0.904333885286363+0.619139232181382j</v>
      </c>
      <c r="O181" s="91" t="str">
        <f t="shared" si="64"/>
        <v>1.0060844734056-3.08466364509375j</v>
      </c>
      <c r="P181" s="91" t="str">
        <f t="shared" si="65"/>
        <v>7.20776936171176-22.0990828305224j</v>
      </c>
      <c r="R181" s="91">
        <f t="shared" si="66"/>
        <v>11.82089552238806</v>
      </c>
      <c r="S181" s="91" t="str">
        <f t="shared" si="67"/>
        <v>1+0.0103095837684084j</v>
      </c>
      <c r="T181" s="91" t="str">
        <f t="shared" si="68"/>
        <v>-0.904333885286363+0.619139232181382j</v>
      </c>
      <c r="U181" s="91" t="str">
        <f t="shared" si="69"/>
        <v>-0.747573951220606-0.52321598651156j</v>
      </c>
      <c r="V181" s="91" t="str">
        <f t="shared" si="70"/>
        <v>-8.83699357263761-6.18488151219635j</v>
      </c>
      <c r="X181" s="91" t="str">
        <f t="shared" si="71"/>
        <v>1.08873016322444-4.21492961430234j</v>
      </c>
      <c r="Y181" s="91">
        <f t="shared" si="72"/>
        <v>12.776313300290511</v>
      </c>
      <c r="Z181" s="91">
        <f t="shared" si="73"/>
        <v>104.48311958568485</v>
      </c>
      <c r="AB181" s="91" t="str">
        <f t="shared" si="74"/>
        <v>-8.27185760686466-5.78935118190291j</v>
      </c>
      <c r="AC181" s="91">
        <f t="shared" si="75"/>
        <v>20.08345546815525</v>
      </c>
      <c r="AD181" s="91">
        <f t="shared" si="76"/>
        <v>34.987607661867344</v>
      </c>
      <c r="AF181" s="91" t="str">
        <f t="shared" si="77"/>
        <v>0.321940180682343-2.12205293835975j</v>
      </c>
      <c r="AG181" s="91">
        <f t="shared" si="78"/>
        <v>6.633950360460295</v>
      </c>
      <c r="AH181" s="91">
        <f t="shared" si="79"/>
        <v>98.626654476915505</v>
      </c>
      <c r="AJ181" s="91" t="str">
        <f t="shared" si="80"/>
        <v>46874.9805381824-30.2038461563065j</v>
      </c>
      <c r="AK181" s="91" t="str">
        <f t="shared" si="81"/>
        <v>15000-0.0000309287513052252j</v>
      </c>
      <c r="AL181" s="91" t="str">
        <f t="shared" si="95"/>
        <v>10000-161661.877346962j</v>
      </c>
      <c r="AM181" s="91" t="str">
        <f t="shared" si="96"/>
        <v>961.389482401477-50211.940661069j</v>
      </c>
      <c r="AN181" s="91" t="str">
        <f t="shared" si="97"/>
        <v>10961.3894824015-50211.940661069j</v>
      </c>
      <c r="AO181" s="91" t="str">
        <f t="shared" si="98"/>
        <v>13171.8662863623-3535.79462854j</v>
      </c>
      <c r="AP181" s="91" t="str">
        <f t="shared" si="99"/>
        <v>0.24242426090941+0.000118337356820243j</v>
      </c>
      <c r="AQ181" s="91" t="str">
        <f t="shared" si="82"/>
        <v>1+18.8046807935769j</v>
      </c>
      <c r="AR181" s="91">
        <f t="shared" si="83"/>
        <v>-1.5849124250608211E-7</v>
      </c>
      <c r="AS181" s="91" t="str">
        <f t="shared" si="84"/>
        <v>0.0010465987027231j</v>
      </c>
      <c r="AT181" s="91" t="str">
        <f t="shared" si="85"/>
        <v>-1.58491242506082E-07+0.0010465987027231j</v>
      </c>
      <c r="AU181" s="91" t="str">
        <f t="shared" si="86"/>
        <v>5.39018313671592-0.287459076759692j</v>
      </c>
      <c r="AW181" s="91" t="str">
        <f t="shared" si="100"/>
        <v>1.28883226090911-0.192289788095406j</v>
      </c>
      <c r="AX181" s="91">
        <f t="shared" si="87"/>
        <v>2.2995404437467455</v>
      </c>
      <c r="AY181" s="91">
        <f t="shared" si="88"/>
        <v>171.51424094418309</v>
      </c>
      <c r="AZ181" s="91" t="str">
        <f t="shared" si="89"/>
        <v>-11.7742700533516-5.87090882658938j</v>
      </c>
      <c r="BA181" s="91">
        <f t="shared" si="90"/>
        <v>22.382995911901993</v>
      </c>
      <c r="BB181" s="91">
        <f t="shared" si="91"/>
        <v>26.50184860605043</v>
      </c>
      <c r="BD181" s="91" t="str">
        <f t="shared" si="92"/>
        <v>0.00687778110188213-2.79687609543782j</v>
      </c>
      <c r="BE181" s="91">
        <f t="shared" si="93"/>
        <v>8.933490804207036</v>
      </c>
      <c r="BF181" s="91">
        <f t="shared" si="94"/>
        <v>90.14089542109862</v>
      </c>
      <c r="BH181" s="91">
        <f t="shared" si="101"/>
        <v>-7.933490804207036</v>
      </c>
      <c r="BI181" s="112">
        <f t="shared" si="102"/>
        <v>-90.14089542109862</v>
      </c>
      <c r="BJ181" s="95"/>
      <c r="BK181" s="95"/>
      <c r="BL181" s="95"/>
      <c r="BM181" s="95"/>
      <c r="BN181" s="46"/>
      <c r="BO181" s="46"/>
      <c r="BP181" s="46"/>
    </row>
    <row r="182" spans="1:68" s="91" customFormat="1">
      <c r="A182" s="91">
        <v>118</v>
      </c>
      <c r="B182" s="91">
        <f t="shared" si="52"/>
        <v>22908.676527677744</v>
      </c>
      <c r="C182" s="91" t="str">
        <f t="shared" si="53"/>
        <v>143939.459765635j</v>
      </c>
      <c r="D182" s="91">
        <f t="shared" si="54"/>
        <v>0.99826509930495944</v>
      </c>
      <c r="E182" s="91" t="str">
        <f t="shared" si="55"/>
        <v>-0.0654270271661977j</v>
      </c>
      <c r="F182" s="91" t="str">
        <f t="shared" si="56"/>
        <v>0.998265099304959-0.0654270271661977j</v>
      </c>
      <c r="G182" s="91">
        <f t="shared" si="57"/>
        <v>3.5333040940270189E-3</v>
      </c>
      <c r="H182" s="91">
        <f t="shared" si="58"/>
        <v>-3.7498443095235507</v>
      </c>
      <c r="J182" s="91">
        <f t="shared" si="59"/>
        <v>7.1641791044776131</v>
      </c>
      <c r="K182" s="91" t="str">
        <f t="shared" si="60"/>
        <v>1+3.57329708868189j</v>
      </c>
      <c r="L182" s="91">
        <f t="shared" si="61"/>
        <v>-1.0880605833931467</v>
      </c>
      <c r="M182" s="91" t="str">
        <f t="shared" si="62"/>
        <v>0.64831836523544j</v>
      </c>
      <c r="N182" s="91" t="str">
        <f t="shared" si="63"/>
        <v>-1.08806058339315+0.64831836523544j</v>
      </c>
      <c r="O182" s="91" t="str">
        <f t="shared" si="64"/>
        <v>0.765851676901028-2.82776660459986j</v>
      </c>
      <c r="P182" s="91" t="str">
        <f t="shared" si="65"/>
        <v>5.48669858078348-20.2586264210139j</v>
      </c>
      <c r="R182" s="91">
        <f t="shared" si="66"/>
        <v>11.82089552238806</v>
      </c>
      <c r="S182" s="91" t="str">
        <f t="shared" si="67"/>
        <v>1+0.0107954594824226j</v>
      </c>
      <c r="T182" s="91" t="str">
        <f t="shared" si="68"/>
        <v>-1.08806058339315+0.64831836523544j</v>
      </c>
      <c r="U182" s="91" t="str">
        <f t="shared" si="69"/>
        <v>-0.673897717761521-0.41146213090572j</v>
      </c>
      <c r="V182" s="91" t="str">
        <f t="shared" si="70"/>
        <v>-7.9660745144347-4.86385086085567j</v>
      </c>
      <c r="X182" s="91" t="str">
        <f t="shared" si="71"/>
        <v>0.777242166297009-3.85323721570114j</v>
      </c>
      <c r="Y182" s="91">
        <f t="shared" si="72"/>
        <v>11.889718386775526</v>
      </c>
      <c r="Z182" s="91">
        <f t="shared" si="73"/>
        <v>101.40419016747906</v>
      </c>
      <c r="AB182" s="91" t="str">
        <f t="shared" si="74"/>
        <v>-7.45663483032382-4.55280196950688j</v>
      </c>
      <c r="AC182" s="91">
        <f t="shared" si="75"/>
        <v>18.826918984289087</v>
      </c>
      <c r="AD182" s="91">
        <f t="shared" si="76"/>
        <v>31.407011788493691</v>
      </c>
      <c r="AF182" s="91" t="str">
        <f t="shared" si="77"/>
        <v>0.238296888210163-2.04507162861355j</v>
      </c>
      <c r="AG182" s="91">
        <f t="shared" si="78"/>
        <v>6.2727400723004854</v>
      </c>
      <c r="AH182" s="91">
        <f t="shared" si="79"/>
        <v>96.646276500933922</v>
      </c>
      <c r="AJ182" s="91" t="str">
        <f t="shared" si="80"/>
        <v>46874.9786605422-31.6273083043317j</v>
      </c>
      <c r="AK182" s="91" t="str">
        <f t="shared" si="81"/>
        <v>15000-0.0000323863784472679j</v>
      </c>
      <c r="AL182" s="91" t="str">
        <f t="shared" si="95"/>
        <v>10000-154385.894308655j</v>
      </c>
      <c r="AM182" s="91" t="str">
        <f t="shared" si="96"/>
        <v>961.221016683927-47955.8023269865j</v>
      </c>
      <c r="AN182" s="91" t="str">
        <f t="shared" si="97"/>
        <v>10961.2210166839-47955.8023269865j</v>
      </c>
      <c r="AO182" s="91" t="str">
        <f t="shared" si="98"/>
        <v>13035.7169879804-3628.44134761406j</v>
      </c>
      <c r="AP182" s="91" t="str">
        <f t="shared" si="99"/>
        <v>0.242424262692826+0.000123914424335651j</v>
      </c>
      <c r="AQ182" s="91" t="str">
        <f t="shared" si="82"/>
        <v>1+19.6909180959389j</v>
      </c>
      <c r="AR182" s="91">
        <f t="shared" si="83"/>
        <v>-1.8343001130188125E-7</v>
      </c>
      <c r="AS182" s="91" t="str">
        <f t="shared" si="84"/>
        <v>0.0010959233799744j</v>
      </c>
      <c r="AT182" s="91" t="str">
        <f t="shared" si="85"/>
        <v>-1.83430011301881E-07+0.0010959233799744j</v>
      </c>
      <c r="AU182" s="91" t="str">
        <f t="shared" si="86"/>
        <v>5.39018069947341-0.274643945376596j</v>
      </c>
      <c r="AW182" s="91" t="str">
        <f t="shared" si="100"/>
        <v>1.28775298413169-0.194857602125937j</v>
      </c>
      <c r="AX182" s="91">
        <f t="shared" si="87"/>
        <v>2.2949683319759084</v>
      </c>
      <c r="AY182" s="91">
        <f t="shared" si="88"/>
        <v>171.39550785086232</v>
      </c>
      <c r="AZ182" s="91" t="str">
        <f t="shared" si="89"/>
        <v>-10.4894518290622-4.40990233942748j</v>
      </c>
      <c r="BA182" s="91">
        <f t="shared" si="90"/>
        <v>21.121887316265024</v>
      </c>
      <c r="BB182" s="91">
        <f t="shared" si="91"/>
        <v>22.802519639355921</v>
      </c>
      <c r="BD182" s="91" t="str">
        <f t="shared" si="92"/>
        <v>-0.0916302248254934-2.67998105274087j</v>
      </c>
      <c r="BE182" s="91">
        <f t="shared" si="93"/>
        <v>8.5677084042764289</v>
      </c>
      <c r="BF182" s="91">
        <f t="shared" si="94"/>
        <v>88.041784351796139</v>
      </c>
      <c r="BH182" s="91">
        <f t="shared" si="101"/>
        <v>-7.5677084042764289</v>
      </c>
      <c r="BI182" s="112">
        <f t="shared" si="102"/>
        <v>-88.041784351796139</v>
      </c>
      <c r="BJ182" s="95"/>
      <c r="BK182" s="95"/>
      <c r="BL182" s="95"/>
      <c r="BM182" s="95"/>
      <c r="BN182" s="46"/>
      <c r="BO182" s="46"/>
      <c r="BP182" s="46"/>
    </row>
    <row r="183" spans="1:68" s="91" customFormat="1">
      <c r="A183" s="91">
        <v>119</v>
      </c>
      <c r="B183" s="91">
        <f t="shared" si="52"/>
        <v>23988.329190194912</v>
      </c>
      <c r="C183" s="91" t="str">
        <f t="shared" si="53"/>
        <v>150723.11751162j</v>
      </c>
      <c r="D183" s="91">
        <f t="shared" si="54"/>
        <v>0.99809771921541435</v>
      </c>
      <c r="E183" s="91" t="str">
        <f t="shared" si="55"/>
        <v>-0.0685105079598273j</v>
      </c>
      <c r="F183" s="91" t="str">
        <f t="shared" si="56"/>
        <v>0.998097719215414-0.0685105079598273j</v>
      </c>
      <c r="G183" s="91">
        <f t="shared" si="57"/>
        <v>3.8754204794673539E-3</v>
      </c>
      <c r="H183" s="91">
        <f t="shared" si="58"/>
        <v>-3.9266850744334652</v>
      </c>
      <c r="J183" s="91">
        <f t="shared" si="59"/>
        <v>7.1641791044776131</v>
      </c>
      <c r="K183" s="91" t="str">
        <f t="shared" si="60"/>
        <v>1+3.74170139222597j</v>
      </c>
      <c r="L183" s="91">
        <f t="shared" si="61"/>
        <v>-1.289512901916591</v>
      </c>
      <c r="M183" s="91" t="str">
        <f t="shared" si="62"/>
        <v>0.678872668463718j</v>
      </c>
      <c r="N183" s="91" t="str">
        <f t="shared" si="63"/>
        <v>-1.28951290191659+0.678872668463718j</v>
      </c>
      <c r="O183" s="91" t="str">
        <f t="shared" si="64"/>
        <v>0.588886877375122-2.59161593605771j</v>
      </c>
      <c r="P183" s="91" t="str">
        <f t="shared" si="65"/>
        <v>4.21889106179192-18.5668007359358j</v>
      </c>
      <c r="R183" s="91">
        <f t="shared" si="66"/>
        <v>11.82089552238806</v>
      </c>
      <c r="S183" s="91" t="str">
        <f t="shared" si="67"/>
        <v>1+0.0113042338133715j</v>
      </c>
      <c r="T183" s="91" t="str">
        <f t="shared" si="68"/>
        <v>-1.28951290191659+0.678872668463718j</v>
      </c>
      <c r="U183" s="91" t="str">
        <f t="shared" si="69"/>
        <v>-0.603584192852837-0.326527206383184j</v>
      </c>
      <c r="V183" s="91" t="str">
        <f t="shared" si="70"/>
        <v>-7.13490568267831-3.85984399187286j</v>
      </c>
      <c r="X183" s="91" t="str">
        <f t="shared" si="71"/>
        <v>0.550180416755761-3.52338516265643j</v>
      </c>
      <c r="Y183" s="91">
        <f t="shared" si="72"/>
        <v>11.043826733104144</v>
      </c>
      <c r="Z183" s="91">
        <f t="shared" si="73"/>
        <v>98.875126733708157</v>
      </c>
      <c r="AB183" s="91" t="str">
        <f t="shared" si="74"/>
        <v>-6.67862020724644-3.61300250170428j</v>
      </c>
      <c r="AC183" s="91">
        <f t="shared" si="75"/>
        <v>17.608577280309401</v>
      </c>
      <c r="AD183" s="91">
        <f t="shared" si="76"/>
        <v>28.412518456809636</v>
      </c>
      <c r="AF183" s="91" t="str">
        <f t="shared" si="77"/>
        <v>0.160416052676699-1.96609048140974j</v>
      </c>
      <c r="AG183" s="91">
        <f t="shared" si="78"/>
        <v>5.9008858581191479</v>
      </c>
      <c r="AH183" s="91">
        <f t="shared" si="79"/>
        <v>94.66450974047352</v>
      </c>
      <c r="AJ183" s="91" t="str">
        <f t="shared" si="80"/>
        <v>46874.9766017508-33.1178559689068j</v>
      </c>
      <c r="AK183" s="91" t="str">
        <f t="shared" si="81"/>
        <v>15000-0.0000339127014401145j</v>
      </c>
      <c r="AL183" s="91" t="str">
        <f t="shared" si="95"/>
        <v>10000-147437.384451055j</v>
      </c>
      <c r="AM183" s="91" t="str">
        <f t="shared" si="96"/>
        <v>961.036365544833-45801.3832287243j</v>
      </c>
      <c r="AN183" s="91" t="str">
        <f t="shared" si="97"/>
        <v>10961.0363655448-45801.3832287243j</v>
      </c>
      <c r="AO183" s="91" t="str">
        <f t="shared" si="98"/>
        <v>12892.5769496992-3717.99065828034j</v>
      </c>
      <c r="AP183" s="91" t="str">
        <f t="shared" si="99"/>
        <v>0.242424264648302+0.000129754330902223j</v>
      </c>
      <c r="AQ183" s="91" t="str">
        <f t="shared" si="82"/>
        <v>1+20.6189224755896j</v>
      </c>
      <c r="AR183" s="91">
        <f t="shared" si="83"/>
        <v>-2.1077482752512751E-7</v>
      </c>
      <c r="AS183" s="91" t="str">
        <f t="shared" si="84"/>
        <v>0.00114757265764762j</v>
      </c>
      <c r="AT183" s="91" t="str">
        <f t="shared" si="85"/>
        <v>-2.10774827525128E-07+0.00114757265764762j</v>
      </c>
      <c r="AU183" s="91" t="str">
        <f t="shared" si="86"/>
        <v>5.39017847083011-0.26241137058355j</v>
      </c>
      <c r="AW183" s="91" t="str">
        <f t="shared" si="100"/>
        <v>1.28657167738769-0.197818939382146j</v>
      </c>
      <c r="AX183" s="91">
        <f t="shared" si="87"/>
        <v>2.2901568999760431</v>
      </c>
      <c r="AY183" s="91">
        <f t="shared" si="88"/>
        <v>171.25884793631423</v>
      </c>
      <c r="AZ183" s="91" t="str">
        <f t="shared" si="89"/>
        <v>-9.30724392554456-3.32722912308994j</v>
      </c>
      <c r="BA183" s="91">
        <f t="shared" si="90"/>
        <v>19.898734180285448</v>
      </c>
      <c r="BB183" s="91">
        <f t="shared" si="91"/>
        <v>19.671366393123861</v>
      </c>
      <c r="BD183" s="91" t="str">
        <f t="shared" si="92"/>
        <v>-0.182543183789634-2.56124966196368j</v>
      </c>
      <c r="BE183" s="91">
        <f t="shared" si="93"/>
        <v>8.1910427580952057</v>
      </c>
      <c r="BF183" s="91">
        <f t="shared" si="94"/>
        <v>85.923357676787774</v>
      </c>
      <c r="BH183" s="91">
        <f t="shared" si="101"/>
        <v>-7.1910427580952057</v>
      </c>
      <c r="BI183" s="112">
        <f t="shared" si="102"/>
        <v>-85.923357676787774</v>
      </c>
      <c r="BJ183" s="95"/>
      <c r="BK183" s="95"/>
      <c r="BL183" s="95"/>
      <c r="BM183" s="95"/>
      <c r="BN183" s="46"/>
      <c r="BO183" s="46"/>
      <c r="BP183" s="46"/>
    </row>
    <row r="184" spans="1:68" s="91" customFormat="1">
      <c r="A184" s="91">
        <v>120</v>
      </c>
      <c r="B184" s="91">
        <f t="shared" si="52"/>
        <v>25118.864315095805</v>
      </c>
      <c r="C184" s="91" t="str">
        <f t="shared" si="53"/>
        <v>157826.479197648j</v>
      </c>
      <c r="D184" s="91">
        <f t="shared" si="54"/>
        <v>0.99791419059675968</v>
      </c>
      <c r="E184" s="91" t="str">
        <f t="shared" si="55"/>
        <v>-0.0717393087262036j</v>
      </c>
      <c r="F184" s="91" t="str">
        <f t="shared" si="56"/>
        <v>0.99791419059676-0.0717393087262036j</v>
      </c>
      <c r="G184" s="91">
        <f t="shared" si="57"/>
        <v>4.2507920831635349E-3</v>
      </c>
      <c r="H184" s="91">
        <f t="shared" si="58"/>
        <v>-4.11187721453003</v>
      </c>
      <c r="J184" s="91">
        <f t="shared" si="59"/>
        <v>7.1641791044776131</v>
      </c>
      <c r="K184" s="91" t="str">
        <f t="shared" si="60"/>
        <v>1+3.91804234608161j</v>
      </c>
      <c r="L184" s="91">
        <f t="shared" si="61"/>
        <v>-1.5104009767400597</v>
      </c>
      <c r="M184" s="91" t="str">
        <f t="shared" si="62"/>
        <v>0.710866951639854j</v>
      </c>
      <c r="N184" s="91" t="str">
        <f t="shared" si="63"/>
        <v>-1.51040097674006+0.710866951639854j</v>
      </c>
      <c r="O184" s="91" t="str">
        <f t="shared" si="64"/>
        <v>0.457470107455399-2.37873387309572j</v>
      </c>
      <c r="P184" s="91" t="str">
        <f t="shared" si="65"/>
        <v>3.2773977847551-17.0416755087455j</v>
      </c>
      <c r="R184" s="91">
        <f t="shared" si="66"/>
        <v>11.82089552238806</v>
      </c>
      <c r="S184" s="91" t="str">
        <f t="shared" si="67"/>
        <v>1+0.0118369859398236j</v>
      </c>
      <c r="T184" s="91" t="str">
        <f t="shared" si="68"/>
        <v>-1.51040097674006+0.710866951639854j</v>
      </c>
      <c r="U184" s="91" t="str">
        <f t="shared" si="69"/>
        <v>-0.538994944988351-0.26151378707759j</v>
      </c>
      <c r="V184" s="91" t="str">
        <f t="shared" si="70"/>
        <v>-6.3714029318026-3.09132715470823j</v>
      </c>
      <c r="X184" s="91" t="str">
        <f t="shared" si="71"/>
        <v>0.383406305603844-3.22773006122603j</v>
      </c>
      <c r="Y184" s="91">
        <f t="shared" si="72"/>
        <v>10.238794385949905</v>
      </c>
      <c r="Z184" s="91">
        <f t="shared" si="73"/>
        <v>96.774144256447329</v>
      </c>
      <c r="AB184" s="91" t="str">
        <f t="shared" si="74"/>
        <v>-5.96394434086938-2.89363320565914j</v>
      </c>
      <c r="AC184" s="91">
        <f t="shared" si="75"/>
        <v>16.428773017573459</v>
      </c>
      <c r="AD184" s="91">
        <f t="shared" si="76"/>
        <v>25.88209700119836</v>
      </c>
      <c r="AF184" s="91" t="str">
        <f t="shared" si="77"/>
        <v>0.0883314851948381-1.88557982204977j</v>
      </c>
      <c r="AG184" s="91">
        <f t="shared" si="78"/>
        <v>5.5184187151061357</v>
      </c>
      <c r="AH184" s="91">
        <f t="shared" si="79"/>
        <v>92.682105484277912</v>
      </c>
      <c r="AJ184" s="91" t="str">
        <f t="shared" si="80"/>
        <v>46874.9743443311-34.678650765215j</v>
      </c>
      <c r="AK184" s="91" t="str">
        <f t="shared" si="81"/>
        <v>15000-0.0000355109578194708j</v>
      </c>
      <c r="AL184" s="91" t="str">
        <f t="shared" si="95"/>
        <v>10000-140801.609053149j</v>
      </c>
      <c r="AM184" s="91" t="str">
        <f t="shared" si="96"/>
        <v>960.833981119823-43744.1133405981j</v>
      </c>
      <c r="AN184" s="91" t="str">
        <f t="shared" si="97"/>
        <v>10960.8339811198-43744.1133405981j</v>
      </c>
      <c r="AO184" s="91" t="str">
        <f t="shared" si="98"/>
        <v>12742.5469375325-3803.81780624638j</v>
      </c>
      <c r="AP184" s="91" t="str">
        <f t="shared" si="99"/>
        <v>0.24242426679244+0.00013586946373641j</v>
      </c>
      <c r="AQ184" s="91" t="str">
        <f t="shared" si="82"/>
        <v>1+21.5906623542382j</v>
      </c>
      <c r="AR184" s="91">
        <f t="shared" si="83"/>
        <v>-2.4075782229146216E-7</v>
      </c>
      <c r="AS184" s="91" t="str">
        <f t="shared" si="84"/>
        <v>0.00120165609078547j</v>
      </c>
      <c r="AT184" s="91" t="str">
        <f t="shared" si="85"/>
        <v>-2.40757822291462E-07+0.00120165609078547j</v>
      </c>
      <c r="AU184" s="91" t="str">
        <f t="shared" si="86"/>
        <v>5.390176431867-0.250735405454116j</v>
      </c>
      <c r="AW184" s="91" t="str">
        <f t="shared" si="100"/>
        <v>1.28527888355427-0.201177208512309j</v>
      </c>
      <c r="AX184" s="91">
        <f t="shared" si="87"/>
        <v>2.2850662919609057</v>
      </c>
      <c r="AY184" s="91">
        <f t="shared" si="88"/>
        <v>171.10400716746454</v>
      </c>
      <c r="AZ184" s="91" t="str">
        <f t="shared" si="89"/>
        <v>-8.24746477478543-2.51931598176625j</v>
      </c>
      <c r="BA184" s="91">
        <f t="shared" si="90"/>
        <v>18.713839309534357</v>
      </c>
      <c r="BB184" s="91">
        <f t="shared" si="91"/>
        <v>16.986104168662848</v>
      </c>
      <c r="BD184" s="91" t="str">
        <f t="shared" si="92"/>
        <v>-0.265805092353199-2.44126621015183j</v>
      </c>
      <c r="BE184" s="91">
        <f t="shared" si="93"/>
        <v>7.803485007067037</v>
      </c>
      <c r="BF184" s="91">
        <f t="shared" si="94"/>
        <v>83.786112651742414</v>
      </c>
      <c r="BH184" s="91">
        <f t="shared" si="101"/>
        <v>-6.803485007067037</v>
      </c>
      <c r="BI184" s="112">
        <f t="shared" si="102"/>
        <v>-83.786112651742414</v>
      </c>
      <c r="BJ184" s="95"/>
      <c r="BK184" s="95"/>
      <c r="BL184" s="95"/>
      <c r="BM184" s="95"/>
      <c r="BN184" s="46"/>
      <c r="BO184" s="46"/>
      <c r="BP184" s="46"/>
    </row>
    <row r="185" spans="1:68" s="91" customFormat="1">
      <c r="A185" s="91">
        <v>121</v>
      </c>
      <c r="B185" s="91">
        <f t="shared" si="52"/>
        <v>26302.679918953818</v>
      </c>
      <c r="C185" s="91" t="str">
        <f t="shared" si="53"/>
        <v>165264.612006218j</v>
      </c>
      <c r="D185" s="91">
        <f t="shared" si="54"/>
        <v>0.99771295546803662</v>
      </c>
      <c r="E185" s="91" t="str">
        <f t="shared" si="55"/>
        <v>-0.0751202781846445j</v>
      </c>
      <c r="F185" s="91" t="str">
        <f t="shared" si="56"/>
        <v>0.997712955468037-0.0751202781846445j</v>
      </c>
      <c r="G185" s="91">
        <f t="shared" si="57"/>
        <v>4.6626774795726919E-3</v>
      </c>
      <c r="H185" s="91">
        <f t="shared" si="58"/>
        <v>-4.3058168382665203</v>
      </c>
      <c r="J185" s="91">
        <f t="shared" si="59"/>
        <v>7.1641791044776131</v>
      </c>
      <c r="K185" s="91" t="str">
        <f t="shared" si="60"/>
        <v>1+4.10269399305436j</v>
      </c>
      <c r="L185" s="91">
        <f t="shared" si="61"/>
        <v>-1.7525999345720131</v>
      </c>
      <c r="M185" s="91" t="str">
        <f t="shared" si="62"/>
        <v>0.744369078928007j</v>
      </c>
      <c r="N185" s="91" t="str">
        <f t="shared" si="63"/>
        <v>-1.75259993457201+0.744369078928007j</v>
      </c>
      <c r="O185" s="91" t="str">
        <f t="shared" si="64"/>
        <v>0.358915943695229-2.18847894888802j</v>
      </c>
      <c r="P185" s="91" t="str">
        <f t="shared" si="65"/>
        <v>2.57133810408522-15.6786551562127j</v>
      </c>
      <c r="R185" s="91">
        <f t="shared" si="66"/>
        <v>11.82089552238806</v>
      </c>
      <c r="S185" s="91" t="str">
        <f t="shared" si="67"/>
        <v>1+0.0123948459004663j</v>
      </c>
      <c r="T185" s="91" t="str">
        <f t="shared" si="68"/>
        <v>-1.75259993457201+0.744369078928007j</v>
      </c>
      <c r="U185" s="91" t="str">
        <f t="shared" si="69"/>
        <v>-0.480838875345644-0.211295475567112j</v>
      </c>
      <c r="V185" s="91" t="str">
        <f t="shared" si="70"/>
        <v>-5.68394610856343-2.49770174103213j</v>
      </c>
      <c r="X185" s="91" t="str">
        <f t="shared" si="71"/>
        <v>0.25978582927773-2.96464584604584j</v>
      </c>
      <c r="Y185" s="91">
        <f t="shared" si="72"/>
        <v>9.4726770092335784</v>
      </c>
      <c r="Z185" s="91">
        <f t="shared" si="73"/>
        <v>95.007919643596225</v>
      </c>
      <c r="AB185" s="91" t="str">
        <f t="shared" si="74"/>
        <v>-5.32045117705069-2.33797082417353j</v>
      </c>
      <c r="AC185" s="91">
        <f t="shared" si="75"/>
        <v>15.285736045193079</v>
      </c>
      <c r="AD185" s="91">
        <f t="shared" si="76"/>
        <v>23.722172121949797</v>
      </c>
      <c r="AF185" s="91" t="str">
        <f t="shared" si="77"/>
        <v>0.0220337712386679-1.80399591976762j</v>
      </c>
      <c r="AG185" s="91">
        <f t="shared" si="78"/>
        <v>5.1253588447879057</v>
      </c>
      <c r="AH185" s="91">
        <f t="shared" si="79"/>
        <v>90.699768394187274</v>
      </c>
      <c r="AJ185" s="91" t="str">
        <f t="shared" si="80"/>
        <v>46874.97186912-36.3130033066523j</v>
      </c>
      <c r="AK185" s="91" t="str">
        <f t="shared" si="81"/>
        <v>15000-0.000037184537701399j</v>
      </c>
      <c r="AL185" s="91" t="str">
        <f t="shared" si="95"/>
        <v>10000-134464.492745647j</v>
      </c>
      <c r="AM185" s="91" t="str">
        <f t="shared" si="96"/>
        <v>960.612168960553-41779.6286719774j</v>
      </c>
      <c r="AN185" s="91" t="str">
        <f t="shared" si="97"/>
        <v>10960.6121689606-41779.6286719774j</v>
      </c>
      <c r="AO185" s="91" t="str">
        <f t="shared" si="98"/>
        <v>12585.7986800483-3885.28721780861j</v>
      </c>
      <c r="AP185" s="91" t="str">
        <f t="shared" si="99"/>
        <v>0.242424269143439+0.000142272793845237j</v>
      </c>
      <c r="AQ185" s="91" t="str">
        <f t="shared" si="82"/>
        <v>1+22.6081989224506j</v>
      </c>
      <c r="AR185" s="91">
        <f t="shared" si="83"/>
        <v>-2.7363352230782015E-7</v>
      </c>
      <c r="AS185" s="91" t="str">
        <f t="shared" si="84"/>
        <v>0.0012582883976007j</v>
      </c>
      <c r="AT185" s="91" t="str">
        <f t="shared" si="85"/>
        <v>-2.7363352230782E-07+0.0012582883976007j</v>
      </c>
      <c r="AU185" s="91" t="str">
        <f t="shared" si="86"/>
        <v>5.39017456527531-0.239591283704914j</v>
      </c>
      <c r="AW185" s="91" t="str">
        <f t="shared" si="100"/>
        <v>1.28386431205282-0.204936249779857j</v>
      </c>
      <c r="AX185" s="91">
        <f t="shared" si="87"/>
        <v>2.2796544566158508</v>
      </c>
      <c r="AY185" s="91">
        <f t="shared" si="88"/>
        <v>170.93069963223306</v>
      </c>
      <c r="AZ185" s="91" t="str">
        <f t="shared" si="89"/>
        <v>-7.30987236303565-1.91128399241552j</v>
      </c>
      <c r="BA185" s="91">
        <f t="shared" si="90"/>
        <v>17.565390501808935</v>
      </c>
      <c r="BB185" s="91">
        <f t="shared" si="91"/>
        <v>14.652871754182826</v>
      </c>
      <c r="BD185" s="91" t="str">
        <f t="shared" si="92"/>
        <v>-0.341415785862078-2.32060149892471j</v>
      </c>
      <c r="BE185" s="91">
        <f t="shared" si="93"/>
        <v>7.4050133014037574</v>
      </c>
      <c r="BF185" s="91">
        <f t="shared" si="94"/>
        <v>81.63046802642036</v>
      </c>
      <c r="BH185" s="91">
        <f t="shared" si="101"/>
        <v>-6.4050133014037574</v>
      </c>
      <c r="BI185" s="112">
        <f t="shared" si="102"/>
        <v>-81.63046802642036</v>
      </c>
      <c r="BJ185" s="95"/>
      <c r="BK185" s="95"/>
      <c r="BL185" s="95"/>
      <c r="BM185" s="95"/>
      <c r="BN185" s="46"/>
      <c r="BO185" s="46"/>
      <c r="BP185" s="46"/>
    </row>
    <row r="186" spans="1:68" s="91" customFormat="1">
      <c r="A186" s="91">
        <v>122</v>
      </c>
      <c r="B186" s="91">
        <f t="shared" si="52"/>
        <v>27542.287033381683</v>
      </c>
      <c r="C186" s="91" t="str">
        <f t="shared" si="53"/>
        <v>173053.293214267j</v>
      </c>
      <c r="D186" s="91">
        <f t="shared" si="54"/>
        <v>0.99749230553709356</v>
      </c>
      <c r="E186" s="91" t="str">
        <f t="shared" si="55"/>
        <v>-0.0786605878246668j</v>
      </c>
      <c r="F186" s="91" t="str">
        <f t="shared" si="56"/>
        <v>0.997492305537094-0.0786605878246668j</v>
      </c>
      <c r="G186" s="91">
        <f t="shared" si="57"/>
        <v>5.1146597465657837E-3</v>
      </c>
      <c r="H186" s="91">
        <f t="shared" si="58"/>
        <v>-4.5089190910679742</v>
      </c>
      <c r="J186" s="91">
        <f t="shared" si="59"/>
        <v>7.1641791044776131</v>
      </c>
      <c r="K186" s="91" t="str">
        <f t="shared" si="60"/>
        <v>1+4.29604800404418j</v>
      </c>
      <c r="L186" s="91">
        <f t="shared" si="61"/>
        <v>-2.0181658109633944</v>
      </c>
      <c r="M186" s="91" t="str">
        <f t="shared" si="62"/>
        <v>0.779450112831872j</v>
      </c>
      <c r="N186" s="91" t="str">
        <f t="shared" si="63"/>
        <v>-2.01816581096339+0.779450112831872j</v>
      </c>
      <c r="O186" s="91" t="str">
        <f t="shared" si="64"/>
        <v>0.28423867916185-2.01891148455998j</v>
      </c>
      <c r="P186" s="91" t="str">
        <f t="shared" si="65"/>
        <v>2.03633680593564-14.4638434714745j</v>
      </c>
      <c r="R186" s="91">
        <f t="shared" si="66"/>
        <v>11.82089552238806</v>
      </c>
      <c r="S186" s="91" t="str">
        <f t="shared" si="67"/>
        <v>1+0.01297899699107j</v>
      </c>
      <c r="T186" s="91" t="str">
        <f t="shared" si="68"/>
        <v>-2.01816581096339+0.779450112831872j</v>
      </c>
      <c r="U186" s="91" t="str">
        <f t="shared" si="69"/>
        <v>-0.429021259718344-0.172126425092882j</v>
      </c>
      <c r="V186" s="91" t="str">
        <f t="shared" si="70"/>
        <v>-5.07141548801386-2.03468848766511j</v>
      </c>
      <c r="X186" s="91" t="str">
        <f t="shared" si="71"/>
        <v>0.167271154220306-2.73096967953757j</v>
      </c>
      <c r="Y186" s="91">
        <f t="shared" si="72"/>
        <v>8.742599768654312</v>
      </c>
      <c r="Z186" s="91">
        <f t="shared" si="73"/>
        <v>93.504972372193237</v>
      </c>
      <c r="AB186" s="91" t="str">
        <f t="shared" si="74"/>
        <v>-4.74709259854963-1.90456780419147j</v>
      </c>
      <c r="AC186" s="91">
        <f t="shared" si="75"/>
        <v>14.176753679118461</v>
      </c>
      <c r="AD186" s="91">
        <f t="shared" si="76"/>
        <v>21.861012554290568</v>
      </c>
      <c r="AF186" s="91" t="str">
        <f t="shared" si="77"/>
        <v>-0.0385260424755119-1.7217775414035j</v>
      </c>
      <c r="AG186" s="91">
        <f t="shared" si="78"/>
        <v>4.7217146268033119</v>
      </c>
      <c r="AH186" s="91">
        <f t="shared" si="79"/>
        <v>88.718178568088462</v>
      </c>
      <c r="AJ186" s="91" t="str">
        <f t="shared" si="80"/>
        <v>46874.9691551052-38.0243802262881j</v>
      </c>
      <c r="AK186" s="91" t="str">
        <f t="shared" si="81"/>
        <v>15000-0.0000389369909732101j</v>
      </c>
      <c r="AL186" s="91" t="str">
        <f t="shared" si="95"/>
        <v>9999.99999999999-128412.593655225j</v>
      </c>
      <c r="AM186" s="91" t="str">
        <f t="shared" si="96"/>
        <v>960.369074444312-39903.7620060803j</v>
      </c>
      <c r="AN186" s="91" t="str">
        <f t="shared" si="97"/>
        <v>10960.3690744443-39903.7620060803j</v>
      </c>
      <c r="AO186" s="91" t="str">
        <f t="shared" si="98"/>
        <v>12422.5789112779-3961.76176702092j</v>
      </c>
      <c r="AP186" s="91" t="str">
        <f t="shared" si="99"/>
        <v>0.242424271721259+0.000148977903539372j</v>
      </c>
      <c r="AQ186" s="91" t="str">
        <f t="shared" si="82"/>
        <v>1+23.6736905117117j</v>
      </c>
      <c r="AR186" s="91">
        <f t="shared" si="83"/>
        <v>-3.0968101055870644E-7</v>
      </c>
      <c r="AS186" s="91" t="str">
        <f t="shared" si="84"/>
        <v>0.00131758970280892j</v>
      </c>
      <c r="AT186" s="91" t="str">
        <f t="shared" si="85"/>
        <v>-3.09681010558706E-07+0.00131758970280892j</v>
      </c>
      <c r="AU186" s="91" t="str">
        <f t="shared" si="86"/>
        <v>5.39017285520937-0.228955367163063j</v>
      </c>
      <c r="AW186" s="91" t="str">
        <f t="shared" si="100"/>
        <v>1.28231677354876-0.209100286268425j</v>
      </c>
      <c r="AX186" s="91">
        <f t="shared" si="87"/>
        <v>2.2738768283631696</v>
      </c>
      <c r="AY186" s="91">
        <f t="shared" si="88"/>
        <v>170.7386076968393</v>
      </c>
      <c r="AZ186" s="91" t="str">
        <f t="shared" si="89"/>
        <v>-6.48552213778343-1.44964082037621j</v>
      </c>
      <c r="BA186" s="91">
        <f t="shared" si="90"/>
        <v>16.450630507481637</v>
      </c>
      <c r="BB186" s="91">
        <f t="shared" si="91"/>
        <v>12.599620251129949</v>
      </c>
      <c r="BD186" s="91" t="str">
        <f t="shared" si="92"/>
        <v>-0.409426767282816-2.19980841515084j</v>
      </c>
      <c r="BE186" s="91">
        <f t="shared" si="93"/>
        <v>6.995591455166501</v>
      </c>
      <c r="BF186" s="91">
        <f t="shared" si="94"/>
        <v>79.456786264927842</v>
      </c>
      <c r="BH186" s="91">
        <f t="shared" si="101"/>
        <v>-5.995591455166501</v>
      </c>
      <c r="BI186" s="112">
        <f t="shared" si="102"/>
        <v>-79.456786264927842</v>
      </c>
      <c r="BJ186" s="95"/>
      <c r="BK186" s="95"/>
      <c r="BL186" s="95"/>
      <c r="BM186" s="95"/>
      <c r="BN186" s="46"/>
      <c r="BO186" s="46"/>
      <c r="BP186" s="46"/>
    </row>
    <row r="187" spans="1:68" s="91" customFormat="1">
      <c r="A187" s="91">
        <v>123</v>
      </c>
      <c r="B187" s="91">
        <f t="shared" si="52"/>
        <v>28840.315031266073</v>
      </c>
      <c r="C187" s="91" t="str">
        <f t="shared" si="53"/>
        <v>181209.043658882j</v>
      </c>
      <c r="D187" s="91">
        <f t="shared" si="54"/>
        <v>0.99725036769883413</v>
      </c>
      <c r="E187" s="91" t="str">
        <f t="shared" si="55"/>
        <v>-0.0823677471176736j</v>
      </c>
      <c r="F187" s="91" t="str">
        <f t="shared" si="56"/>
        <v>0.997250367698834-0.0823677471176736j</v>
      </c>
      <c r="G187" s="91">
        <f t="shared" si="57"/>
        <v>5.6106798119822865E-3</v>
      </c>
      <c r="H187" s="91">
        <f t="shared" si="58"/>
        <v>-4.7216191060308432</v>
      </c>
      <c r="J187" s="91">
        <f t="shared" si="59"/>
        <v>7.1641791044776131</v>
      </c>
      <c r="K187" s="91" t="str">
        <f t="shared" si="60"/>
        <v>1+4.49851450883174j</v>
      </c>
      <c r="L187" s="91">
        <f t="shared" si="61"/>
        <v>-2.3093530040661725</v>
      </c>
      <c r="M187" s="91" t="str">
        <f t="shared" si="62"/>
        <v>0.816184464927748j</v>
      </c>
      <c r="N187" s="91" t="str">
        <f t="shared" si="63"/>
        <v>-2.30935300406617+0.816184464927748j</v>
      </c>
      <c r="O187" s="91" t="str">
        <f t="shared" si="64"/>
        <v>0.227071797329379-1.86770148514926j</v>
      </c>
      <c r="P187" s="91" t="str">
        <f t="shared" si="65"/>
        <v>1.62678302564331-13.3805479533081j</v>
      </c>
      <c r="R187" s="91">
        <f t="shared" si="66"/>
        <v>11.82089552238806</v>
      </c>
      <c r="S187" s="91" t="str">
        <f t="shared" si="67"/>
        <v>1+0.0135906782744161j</v>
      </c>
      <c r="T187" s="91" t="str">
        <f t="shared" si="68"/>
        <v>-2.30935300406617+0.816184464927748j</v>
      </c>
      <c r="U187" s="91" t="str">
        <f t="shared" si="69"/>
        <v>-0.383090130114904-0.141278916894423j</v>
      </c>
      <c r="V187" s="91" t="str">
        <f t="shared" si="70"/>
        <v>-4.52846840374633-1.67004331612512j</v>
      </c>
      <c r="X187" s="91" t="str">
        <f t="shared" si="71"/>
        <v>0.0973835974510738-2.5231666114009j</v>
      </c>
      <c r="Y187" s="91">
        <f t="shared" si="72"/>
        <v>8.0453831690767856</v>
      </c>
      <c r="Z187" s="91">
        <f t="shared" si="73"/>
        <v>92.210278552358403</v>
      </c>
      <c r="AB187" s="91" t="str">
        <f t="shared" si="74"/>
        <v>-4.23886760865832-1.56324211336501j</v>
      </c>
      <c r="AC187" s="91">
        <f t="shared" si="75"/>
        <v>13.098796981500275</v>
      </c>
      <c r="AD187" s="91">
        <f t="shared" si="76"/>
        <v>20.243352484306342</v>
      </c>
      <c r="AF187" s="91" t="str">
        <f t="shared" si="77"/>
        <v>-0.0934326953389999-1.63934322951075j</v>
      </c>
      <c r="AG187" s="91">
        <f t="shared" si="78"/>
        <v>4.3074822122295666</v>
      </c>
      <c r="AH187" s="91">
        <f t="shared" si="79"/>
        <v>86.738014414696778</v>
      </c>
      <c r="AJ187" s="91" t="str">
        <f t="shared" si="80"/>
        <v>46874.9661792475-39.8164115291432j</v>
      </c>
      <c r="AK187" s="91" t="str">
        <f t="shared" si="81"/>
        <v>15000-0.0000407720348232484j</v>
      </c>
      <c r="AL187" s="91" t="str">
        <f t="shared" si="95"/>
        <v>10000-122633.074892523j</v>
      </c>
      <c r="AM187" s="91" t="str">
        <f t="shared" si="96"/>
        <v>960.102667982481-38112.5340554906j</v>
      </c>
      <c r="AN187" s="91" t="str">
        <f t="shared" si="97"/>
        <v>10960.1026679825-38112.5340554906j</v>
      </c>
      <c r="AO187" s="91" t="str">
        <f t="shared" si="98"/>
        <v>12253.2120334145-4032.61309116831j</v>
      </c>
      <c r="AP187" s="91" t="str">
        <f t="shared" si="99"/>
        <v>0.242424274547782+0.000155999015242808j</v>
      </c>
      <c r="AQ187" s="91" t="str">
        <f t="shared" si="82"/>
        <v>1+24.7893971725351j</v>
      </c>
      <c r="AR187" s="91">
        <f t="shared" si="83"/>
        <v>-3.4920629545152721E-7</v>
      </c>
      <c r="AS187" s="91" t="str">
        <f t="shared" si="84"/>
        <v>0.00137968579242912j</v>
      </c>
      <c r="AT187" s="91" t="str">
        <f t="shared" si="85"/>
        <v>-3.49206295451527E-07+0.00137968579242912j</v>
      </c>
      <c r="AU187" s="91" t="str">
        <f t="shared" si="86"/>
        <v>5.39017128715248-0.218805095626543j</v>
      </c>
      <c r="AW187" s="91" t="str">
        <f t="shared" si="100"/>
        <v>1.28062411123832-0.213673868421291j</v>
      </c>
      <c r="AX187" s="91">
        <f t="shared" si="87"/>
        <v>2.2676859941099452</v>
      </c>
      <c r="AY187" s="91">
        <f t="shared" si="88"/>
        <v>170.52738222529649</v>
      </c>
      <c r="AZ187" s="91" t="str">
        <f t="shared" si="89"/>
        <v>-5.76242005363674-1.09619030241065j</v>
      </c>
      <c r="BA187" s="91">
        <f t="shared" si="90"/>
        <v>15.366482975610223</v>
      </c>
      <c r="BB187" s="91">
        <f t="shared" si="91"/>
        <v>10.770734709602863</v>
      </c>
      <c r="BD187" s="91" t="str">
        <f t="shared" si="92"/>
        <v>-0.469936971948922-2.07941834085666j</v>
      </c>
      <c r="BE187" s="91">
        <f t="shared" si="93"/>
        <v>6.5751682063395558</v>
      </c>
      <c r="BF187" s="91">
        <f t="shared" si="94"/>
        <v>77.265396639993341</v>
      </c>
      <c r="BH187" s="91">
        <f t="shared" si="101"/>
        <v>-5.5751682063395558</v>
      </c>
      <c r="BI187" s="112">
        <f t="shared" si="102"/>
        <v>-77.265396639993341</v>
      </c>
      <c r="BJ187" s="95"/>
      <c r="BK187" s="95"/>
      <c r="BL187" s="95"/>
      <c r="BM187" s="95"/>
      <c r="BN187" s="46"/>
      <c r="BO187" s="46"/>
      <c r="BP187" s="46"/>
    </row>
    <row r="188" spans="1:68" s="91" customFormat="1">
      <c r="A188" s="91">
        <v>124</v>
      </c>
      <c r="B188" s="91">
        <f t="shared" si="52"/>
        <v>30199.517204020169</v>
      </c>
      <c r="C188" s="91" t="str">
        <f t="shared" si="53"/>
        <v>189749.162780217j</v>
      </c>
      <c r="D188" s="91">
        <f t="shared" si="54"/>
        <v>0.9969850881343606</v>
      </c>
      <c r="E188" s="91" t="str">
        <f t="shared" si="55"/>
        <v>-0.0862496194455532j</v>
      </c>
      <c r="F188" s="91" t="str">
        <f t="shared" si="56"/>
        <v>0.996985088134361-0.0862496194455532j</v>
      </c>
      <c r="G188" s="91">
        <f t="shared" si="57"/>
        <v>6.1550734272808397E-3</v>
      </c>
      <c r="H188" s="91">
        <f t="shared" si="58"/>
        <v>-4.9443730070595908</v>
      </c>
      <c r="J188" s="91">
        <f t="shared" si="59"/>
        <v>7.1641791044776131</v>
      </c>
      <c r="K188" s="91" t="str">
        <f t="shared" si="60"/>
        <v>1+4.71052296601889j</v>
      </c>
      <c r="L188" s="91">
        <f t="shared" si="61"/>
        <v>-2.6286334122995019</v>
      </c>
      <c r="M188" s="91" t="str">
        <f t="shared" si="62"/>
        <v>0.854650053701492j</v>
      </c>
      <c r="N188" s="91" t="str">
        <f t="shared" si="63"/>
        <v>-2.6286334122995+0.854650053701492j</v>
      </c>
      <c r="O188" s="91" t="str">
        <f t="shared" si="64"/>
        <v>0.182878223844117-1.73254515478661j</v>
      </c>
      <c r="P188" s="91" t="str">
        <f t="shared" si="65"/>
        <v>1.310172349928-12.4122637954862j</v>
      </c>
      <c r="R188" s="91">
        <f t="shared" si="66"/>
        <v>11.82089552238806</v>
      </c>
      <c r="S188" s="91" t="str">
        <f t="shared" si="67"/>
        <v>1+0.0142311872085163j</v>
      </c>
      <c r="T188" s="91" t="str">
        <f t="shared" si="68"/>
        <v>-2.6286334122995+0.854650053701492j</v>
      </c>
      <c r="U188" s="91" t="str">
        <f t="shared" si="69"/>
        <v>-0.342463700166015-0.116759455886899j</v>
      </c>
      <c r="V188" s="91" t="str">
        <f t="shared" si="70"/>
        <v>-4.04822761987289-1.38020132928991j</v>
      </c>
      <c r="X188" s="91" t="str">
        <f t="shared" si="71"/>
        <v>0.0441195889182227-2.33784634381524j</v>
      </c>
      <c r="Y188" s="91">
        <f t="shared" si="72"/>
        <v>7.377865728040657</v>
      </c>
      <c r="Z188" s="91">
        <f t="shared" si="73"/>
        <v>91.081151552652699</v>
      </c>
      <c r="AB188" s="91" t="str">
        <f t="shared" si="74"/>
        <v>-3.78933877868267-1.29193585701385j</v>
      </c>
      <c r="AC188" s="91">
        <f t="shared" si="75"/>
        <v>12.048843908792843</v>
      </c>
      <c r="AD188" s="91">
        <f t="shared" si="76"/>
        <v>18.826278880769991</v>
      </c>
      <c r="AF188" s="91" t="str">
        <f t="shared" si="77"/>
        <v>-0.142803014557706-1.55708922592651j</v>
      </c>
      <c r="AG188" s="91">
        <f t="shared" si="78"/>
        <v>3.8826457475196623</v>
      </c>
      <c r="AH188" s="91">
        <f t="shared" si="79"/>
        <v>84.759975638403816</v>
      </c>
      <c r="AJ188" s="91" t="str">
        <f t="shared" si="80"/>
        <v>46874.9629162849-41.6928982908693j</v>
      </c>
      <c r="AK188" s="91" t="str">
        <f t="shared" si="81"/>
        <v>15000-0.0000426935616255489j</v>
      </c>
      <c r="AL188" s="91" t="str">
        <f t="shared" si="95"/>
        <v>10000-117113.677323371j</v>
      </c>
      <c r="AM188" s="91" t="str">
        <f t="shared" si="96"/>
        <v>959.810728933898-36402.1450155354j</v>
      </c>
      <c r="AN188" s="91" t="str">
        <f t="shared" si="97"/>
        <v>10959.8107289339-36402.1450155354j</v>
      </c>
      <c r="AO188" s="91" t="str">
        <f t="shared" si="98"/>
        <v>12078.1011361428-4097.23272737747j</v>
      </c>
      <c r="AP188" s="91" t="str">
        <f t="shared" si="99"/>
        <v>0.242424277647003+0.000163351021660298j</v>
      </c>
      <c r="AQ188" s="91" t="str">
        <f t="shared" si="82"/>
        <v>1+25.9576854683337j</v>
      </c>
      <c r="AR188" s="91">
        <f t="shared" si="83"/>
        <v>-3.9254490853285234E-7</v>
      </c>
      <c r="AS188" s="91" t="str">
        <f t="shared" si="84"/>
        <v>0.00144470838059276j</v>
      </c>
      <c r="AT188" s="91" t="str">
        <f t="shared" si="85"/>
        <v>-3.92544908532852E-07+0.00144470838059276j</v>
      </c>
      <c r="AU188" s="91" t="str">
        <f t="shared" si="86"/>
        <v>5.39016984779325-0.209118939011014j</v>
      </c>
      <c r="AW188" s="91" t="str">
        <f t="shared" si="100"/>
        <v>1.27877312891701-0.218661810923649j</v>
      </c>
      <c r="AX188" s="91">
        <f t="shared" si="87"/>
        <v>2.2610313440542438</v>
      </c>
      <c r="AY188" s="91">
        <f t="shared" si="88"/>
        <v>170.29664287551009</v>
      </c>
      <c r="AZ188" s="91" t="str">
        <f t="shared" si="89"/>
        <v>-5.12820164063444-0.82350917868372j</v>
      </c>
      <c r="BA188" s="91">
        <f t="shared" si="90"/>
        <v>14.30987525284708</v>
      </c>
      <c r="BB188" s="91">
        <f t="shared" si="91"/>
        <v>9.1229217562800784</v>
      </c>
      <c r="BD188" s="91" t="str">
        <f t="shared" si="92"/>
        <v>-0.523088607655532-1.95993829567246j</v>
      </c>
      <c r="BE188" s="91">
        <f t="shared" si="93"/>
        <v>6.1436770915738901</v>
      </c>
      <c r="BF188" s="91">
        <f t="shared" si="94"/>
        <v>75.056618513913875</v>
      </c>
      <c r="BH188" s="91">
        <f t="shared" si="101"/>
        <v>-5.1436770915738901</v>
      </c>
      <c r="BI188" s="112">
        <f t="shared" si="102"/>
        <v>-75.056618513913875</v>
      </c>
      <c r="BJ188" s="95"/>
      <c r="BK188" s="95"/>
      <c r="BL188" s="95"/>
      <c r="BM188" s="95"/>
      <c r="BN188" s="46"/>
      <c r="BO188" s="46"/>
      <c r="BP188" s="46"/>
    </row>
    <row r="189" spans="1:68" s="91" customFormat="1">
      <c r="A189" s="91">
        <v>125</v>
      </c>
      <c r="B189" s="91">
        <f t="shared" si="52"/>
        <v>31622.776601683825</v>
      </c>
      <c r="C189" s="91" t="str">
        <f t="shared" si="53"/>
        <v>198691.765315922j</v>
      </c>
      <c r="D189" s="91">
        <f t="shared" si="54"/>
        <v>0.99669421487603305</v>
      </c>
      <c r="E189" s="91" t="str">
        <f t="shared" si="55"/>
        <v>-0.0903144387799645j</v>
      </c>
      <c r="F189" s="91" t="str">
        <f t="shared" si="56"/>
        <v>0.996694214876033-0.0903144387799645j</v>
      </c>
      <c r="G189" s="91">
        <f t="shared" si="57"/>
        <v>6.7526122000863779E-3</v>
      </c>
      <c r="H189" s="91">
        <f t="shared" si="58"/>
        <v>-5.1776589679647618</v>
      </c>
      <c r="J189" s="91">
        <f t="shared" si="59"/>
        <v>7.1641791044776131</v>
      </c>
      <c r="K189" s="91" t="str">
        <f t="shared" si="60"/>
        <v>1+4.93252307396776j</v>
      </c>
      <c r="L189" s="91">
        <f t="shared" si="61"/>
        <v>-2.9787174183830278</v>
      </c>
      <c r="M189" s="91" t="str">
        <f t="shared" si="62"/>
        <v>0.894928469824065j</v>
      </c>
      <c r="N189" s="91" t="str">
        <f t="shared" si="63"/>
        <v>-2.97871741838303+0.894928469824065j</v>
      </c>
      <c r="O189" s="91" t="str">
        <f t="shared" si="64"/>
        <v>0.148396649865059-1.61133736874661j</v>
      </c>
      <c r="P189" s="91" t="str">
        <f t="shared" si="65"/>
        <v>1.06314017813774-11.5439095074384j</v>
      </c>
      <c r="R189" s="91">
        <f t="shared" si="66"/>
        <v>11.82089552238806</v>
      </c>
      <c r="S189" s="91" t="str">
        <f t="shared" si="67"/>
        <v>1+0.0149018823986942j</v>
      </c>
      <c r="T189" s="91" t="str">
        <f t="shared" si="68"/>
        <v>-2.97871741838303+0.894928469824065j</v>
      </c>
      <c r="U189" s="91" t="str">
        <f t="shared" si="69"/>
        <v>-0.306541992238732-0.0971005294643666j</v>
      </c>
      <c r="V189" s="91" t="str">
        <f t="shared" si="70"/>
        <v>-3.62360086347874-1.14781521396684j</v>
      </c>
      <c r="X189" s="91" t="str">
        <f t="shared" si="71"/>
        <v>0.00319079518163892-2.1719636901332j</v>
      </c>
      <c r="Y189" s="91">
        <f t="shared" si="72"/>
        <v>6.7370605858906716</v>
      </c>
      <c r="Z189" s="91">
        <f t="shared" si="73"/>
        <v>90.08417220163895</v>
      </c>
      <c r="AB189" s="91" t="str">
        <f t="shared" si="74"/>
        <v>-3.39186739476846-1.07441110269957j</v>
      </c>
      <c r="AC189" s="91">
        <f t="shared" si="75"/>
        <v>11.024036416274445</v>
      </c>
      <c r="AD189" s="91">
        <f t="shared" si="76"/>
        <v>17.576167802440949</v>
      </c>
      <c r="AF189" s="91" t="str">
        <f t="shared" si="77"/>
        <v>-0.186782360580963-1.47538794708618j</v>
      </c>
      <c r="AG189" s="91">
        <f t="shared" si="78"/>
        <v>3.4471782231651731</v>
      </c>
      <c r="AH189" s="91">
        <f t="shared" si="79"/>
        <v>82.784805630173452</v>
      </c>
      <c r="AJ189" s="91" t="str">
        <f t="shared" si="80"/>
        <v>46874.9593385181-43.6578207191354j</v>
      </c>
      <c r="AK189" s="91" t="str">
        <f t="shared" si="81"/>
        <v>15000-0.0000447056471960825j</v>
      </c>
      <c r="AL189" s="91" t="str">
        <f t="shared" si="95"/>
        <v>10000-111842.693565527j</v>
      </c>
      <c r="AM189" s="91" t="str">
        <f t="shared" si="96"/>
        <v>959.490828124114-34768.9664975083j</v>
      </c>
      <c r="AN189" s="91" t="str">
        <f t="shared" si="97"/>
        <v>10959.4908281241-34768.9664975083j</v>
      </c>
      <c r="AO189" s="91" t="str">
        <f t="shared" si="98"/>
        <v>11897.7271500944-4155.04377403644j</v>
      </c>
      <c r="AP189" s="91" t="str">
        <f t="shared" si="99"/>
        <v>0.242424281045232+0.000171049517366498j</v>
      </c>
      <c r="AQ189" s="91" t="str">
        <f t="shared" si="82"/>
        <v>1+27.1810334952181j</v>
      </c>
      <c r="AR189" s="91">
        <f t="shared" si="83"/>
        <v>-4.4006475282760928E-7</v>
      </c>
      <c r="AS189" s="91" t="str">
        <f t="shared" si="84"/>
        <v>0.00151279538892706j</v>
      </c>
      <c r="AT189" s="91" t="str">
        <f t="shared" si="85"/>
        <v>-4.40064752827609E-07+0.00151279538892706j</v>
      </c>
      <c r="AU189" s="91" t="str">
        <f t="shared" si="86"/>
        <v>5.39016852491298-0.199876351681684j</v>
      </c>
      <c r="AW189" s="91" t="str">
        <f t="shared" si="100"/>
        <v>1.27674951613219-0.224069120845746j</v>
      </c>
      <c r="AX189" s="91">
        <f t="shared" si="87"/>
        <v>2.2538587052320942</v>
      </c>
      <c r="AY189" s="91">
        <f t="shared" si="88"/>
        <v>170.04597848851787</v>
      </c>
      <c r="AZ189" s="91" t="str">
        <f t="shared" si="89"/>
        <v>-4.57130740626399-0.611741110327609j</v>
      </c>
      <c r="BA189" s="91">
        <f t="shared" si="90"/>
        <v>13.27789512150655</v>
      </c>
      <c r="BB189" s="91">
        <f t="shared" si="91"/>
        <v>7.622146290958824</v>
      </c>
      <c r="BD189" s="91" t="str">
        <f t="shared" si="92"/>
        <v>-0.569063168703784-1.84184868822467j</v>
      </c>
      <c r="BE189" s="91">
        <f t="shared" si="93"/>
        <v>5.701036928397242</v>
      </c>
      <c r="BF189" s="91">
        <f t="shared" si="94"/>
        <v>72.830784118691241</v>
      </c>
      <c r="BH189" s="91">
        <f t="shared" si="101"/>
        <v>-4.701036928397242</v>
      </c>
      <c r="BI189" s="112">
        <f t="shared" si="102"/>
        <v>-72.830784118691241</v>
      </c>
      <c r="BJ189" s="95"/>
      <c r="BK189" s="95"/>
      <c r="BL189" s="95"/>
      <c r="BM189" s="95"/>
      <c r="BN189" s="46"/>
      <c r="BO189" s="46"/>
      <c r="BP189" s="46"/>
    </row>
    <row r="190" spans="1:68" s="91" customFormat="1">
      <c r="A190" s="91">
        <v>126</v>
      </c>
      <c r="B190" s="91">
        <f t="shared" si="52"/>
        <v>33113.112148259133</v>
      </c>
      <c r="C190" s="91" t="str">
        <f t="shared" si="53"/>
        <v>208055.819724932j</v>
      </c>
      <c r="D190" s="91">
        <f t="shared" si="54"/>
        <v>0.99637527869043574</v>
      </c>
      <c r="E190" s="91" t="str">
        <f t="shared" si="55"/>
        <v>-0.0945708271476964j</v>
      </c>
      <c r="F190" s="91" t="str">
        <f t="shared" si="56"/>
        <v>0.996375278690436-0.0945708271476964j</v>
      </c>
      <c r="G190" s="91">
        <f t="shared" si="57"/>
        <v>7.4085491758441972E-3</v>
      </c>
      <c r="H190" s="91">
        <f t="shared" si="58"/>
        <v>-5.4219783313503056</v>
      </c>
      <c r="J190" s="91">
        <f t="shared" si="59"/>
        <v>7.1641791044776131</v>
      </c>
      <c r="K190" s="91" t="str">
        <f t="shared" si="60"/>
        <v>1+5.16498572467144j</v>
      </c>
      <c r="L190" s="91">
        <f t="shared" si="61"/>
        <v>-3.362576897872116</v>
      </c>
      <c r="M190" s="91" t="str">
        <f t="shared" si="62"/>
        <v>0.937105149216289j</v>
      </c>
      <c r="N190" s="91" t="str">
        <f t="shared" si="63"/>
        <v>-3.36257689787212+0.937105149216289j</v>
      </c>
      <c r="O190" s="91" t="str">
        <f t="shared" si="64"/>
        <v>0.121259497177114-1.50222670853177j</v>
      </c>
      <c r="P190" s="91" t="str">
        <f t="shared" si="65"/>
        <v>0.868724755895742-10.7622211954515j</v>
      </c>
      <c r="R190" s="91">
        <f t="shared" si="66"/>
        <v>11.82089552238806</v>
      </c>
      <c r="S190" s="91" t="str">
        <f t="shared" si="67"/>
        <v>1+0.0156041864793699j</v>
      </c>
      <c r="T190" s="91" t="str">
        <f t="shared" si="68"/>
        <v>-3.36257689787212+0.937105149216289j</v>
      </c>
      <c r="U190" s="91" t="str">
        <f t="shared" si="69"/>
        <v>-0.274758272952737-0.0812119951891549j</v>
      </c>
      <c r="V190" s="91" t="str">
        <f t="shared" si="70"/>
        <v>-3.24788883848609-0.959998510295682j</v>
      </c>
      <c r="X190" s="91" t="str">
        <f t="shared" si="71"/>
        <v>-0.0284963763522738-2.02287028538797j</v>
      </c>
      <c r="Y190" s="91">
        <f t="shared" si="72"/>
        <v>6.1202224551754334</v>
      </c>
      <c r="Z190" s="91">
        <f t="shared" si="73"/>
        <v>89.192921998780719</v>
      </c>
      <c r="AB190" s="91" t="str">
        <f t="shared" si="74"/>
        <v>-3.04018258857499-0.898605494583143j</v>
      </c>
      <c r="AC190" s="91">
        <f t="shared" si="75"/>
        <v>10.021747910643317</v>
      </c>
      <c r="AD190" s="91">
        <f t="shared" si="76"/>
        <v>16.466423163067731</v>
      </c>
      <c r="AF190" s="91" t="str">
        <f t="shared" si="77"/>
        <v>-0.225541274842618-1.39458691106444j</v>
      </c>
      <c r="AG190" s="91">
        <f t="shared" si="78"/>
        <v>3.0010429242859815</v>
      </c>
      <c r="AH190" s="91">
        <f t="shared" si="79"/>
        <v>80.813312573256795</v>
      </c>
      <c r="AJ190" s="91" t="str">
        <f t="shared" si="80"/>
        <v>46874.9554155754-45.7153465947993j</v>
      </c>
      <c r="AK190" s="91" t="str">
        <f t="shared" si="81"/>
        <v>15000-0.0000468125594381097j</v>
      </c>
      <c r="AL190" s="91" t="str">
        <f t="shared" si="95"/>
        <v>10000-106808.943155745j</v>
      </c>
      <c r="AM190" s="91" t="str">
        <f t="shared" si="96"/>
        <v>959.14030886728-33209.5338244979j</v>
      </c>
      <c r="AN190" s="91" t="str">
        <f t="shared" si="97"/>
        <v>10959.1403088673-33209.5338244979j</v>
      </c>
      <c r="AO190" s="91" t="str">
        <f t="shared" si="98"/>
        <v>11712.6459720077-4205.51271927687j</v>
      </c>
      <c r="AP190" s="91" t="str">
        <f t="shared" si="99"/>
        <v>0.242424284771315+0.000179110831883833j</v>
      </c>
      <c r="AQ190" s="91" t="str">
        <f t="shared" si="82"/>
        <v>1+28.4620361383707j</v>
      </c>
      <c r="AR190" s="91">
        <f t="shared" si="83"/>
        <v>-4.9216922598093529E-7</v>
      </c>
      <c r="AS190" s="91" t="str">
        <f t="shared" si="84"/>
        <v>0.00158409123910529j</v>
      </c>
      <c r="AT190" s="91" t="str">
        <f t="shared" si="85"/>
        <v>-4.92169225980935E-07+0.00158409123910529j</v>
      </c>
      <c r="AU190" s="91" t="str">
        <f t="shared" si="86"/>
        <v>5.39016730728168-0.19105772887329j</v>
      </c>
      <c r="AW190" s="91" t="str">
        <f t="shared" si="100"/>
        <v>1.27453777085253-0.229900915873694j</v>
      </c>
      <c r="AX190" s="91">
        <f t="shared" si="87"/>
        <v>2.2461099566235823</v>
      </c>
      <c r="AY190" s="91">
        <f t="shared" si="88"/>
        <v>169.7749475896828</v>
      </c>
      <c r="AZ190" s="91" t="str">
        <f t="shared" si="89"/>
        <v>-4.08141776564084-0.446365882405186j</v>
      </c>
      <c r="BA190" s="91">
        <f t="shared" si="90"/>
        <v>12.267857867266898</v>
      </c>
      <c r="BB190" s="91">
        <f t="shared" si="91"/>
        <v>6.2413707527504982</v>
      </c>
      <c r="BD190" s="91" t="str">
        <f t="shared" si="92"/>
        <v>-0.60807768179233-1.72560154723455j</v>
      </c>
      <c r="BE190" s="91">
        <f t="shared" si="93"/>
        <v>5.2471528809095744</v>
      </c>
      <c r="BF190" s="91">
        <f t="shared" si="94"/>
        <v>70.588260162939562</v>
      </c>
      <c r="BH190" s="91">
        <f t="shared" si="101"/>
        <v>-4.2471528809095744</v>
      </c>
      <c r="BI190" s="112">
        <f t="shared" si="102"/>
        <v>-70.588260162939562</v>
      </c>
      <c r="BJ190" s="95"/>
      <c r="BK190" s="95"/>
      <c r="BL190" s="95"/>
      <c r="BM190" s="95"/>
      <c r="BN190" s="46"/>
      <c r="BO190" s="46"/>
      <c r="BP190" s="46"/>
    </row>
    <row r="191" spans="1:68" s="91" customFormat="1">
      <c r="A191" s="91">
        <v>127</v>
      </c>
      <c r="B191" s="91">
        <f t="shared" si="52"/>
        <v>34673.68504525318</v>
      </c>
      <c r="C191" s="91" t="str">
        <f t="shared" si="53"/>
        <v>217861.188422107j</v>
      </c>
      <c r="D191" s="91">
        <f t="shared" si="54"/>
        <v>0.99602557211696718</v>
      </c>
      <c r="E191" s="91" t="str">
        <f t="shared" si="55"/>
        <v>-0.0990278129191395j</v>
      </c>
      <c r="F191" s="91" t="str">
        <f t="shared" si="56"/>
        <v>0.996025572116967-0.0990278129191395j</v>
      </c>
      <c r="G191" s="91">
        <f t="shared" si="57"/>
        <v>8.1286695250899176E-3</v>
      </c>
      <c r="H191" s="91">
        <f t="shared" si="58"/>
        <v>-5.6778567914489528</v>
      </c>
      <c r="J191" s="91">
        <f t="shared" si="59"/>
        <v>7.1641791044776131</v>
      </c>
      <c r="K191" s="91" t="str">
        <f t="shared" si="60"/>
        <v>1+5.4084040025788j</v>
      </c>
      <c r="L191" s="91">
        <f t="shared" si="61"/>
        <v>-3.7834704475147172</v>
      </c>
      <c r="M191" s="91" t="str">
        <f t="shared" si="62"/>
        <v>0.981269554269871j</v>
      </c>
      <c r="N191" s="91" t="str">
        <f t="shared" si="63"/>
        <v>-3.78347044751472+0.981269554269871j</v>
      </c>
      <c r="O191" s="91" t="str">
        <f t="shared" si="64"/>
        <v>0.0997301843415008-1.40361656915575j</v>
      </c>
      <c r="P191" s="91" t="str">
        <f t="shared" si="65"/>
        <v>0.71448490274508-10.0557604954442j</v>
      </c>
      <c r="R191" s="91">
        <f t="shared" si="66"/>
        <v>11.82089552238806</v>
      </c>
      <c r="S191" s="91" t="str">
        <f t="shared" si="67"/>
        <v>1+0.016339589131658j</v>
      </c>
      <c r="T191" s="91" t="str">
        <f t="shared" si="68"/>
        <v>-3.78347044751472+0.981269554269871j</v>
      </c>
      <c r="U191" s="91" t="str">
        <f t="shared" si="69"/>
        <v>-0.246599731367341-0.0682760447575965j</v>
      </c>
      <c r="V191" s="91" t="str">
        <f t="shared" si="70"/>
        <v>-2.9150296603423-0.807083991761439j</v>
      </c>
      <c r="X191" s="91" t="str">
        <f t="shared" si="71"/>
        <v>-0.0531965421849019-1.88830040595882j</v>
      </c>
      <c r="Y191" s="91">
        <f t="shared" si="72"/>
        <v>5.5248671064172186</v>
      </c>
      <c r="Z191" s="91">
        <f t="shared" si="73"/>
        <v>88.386310037148931</v>
      </c>
      <c r="AB191" s="91" t="str">
        <f t="shared" si="74"/>
        <v>-2.72861014008201-0.755470036472813j</v>
      </c>
      <c r="AC191" s="91">
        <f t="shared" si="75"/>
        <v>9.0396032384829255</v>
      </c>
      <c r="AD191" s="91">
        <f t="shared" si="76"/>
        <v>15.475808708163555</v>
      </c>
      <c r="AF191" s="91" t="str">
        <f t="shared" si="77"/>
        <v>-0.259272359502977-1.31500801766118j</v>
      </c>
      <c r="AG191" s="91">
        <f t="shared" si="78"/>
        <v>2.5441954436366077</v>
      </c>
      <c r="AH191" s="91">
        <f t="shared" si="79"/>
        <v>78.84638860078887</v>
      </c>
      <c r="AJ191" s="91" t="str">
        <f t="shared" si="80"/>
        <v>46874.951114155-47.8698401107407j</v>
      </c>
      <c r="AK191" s="91" t="str">
        <f t="shared" si="81"/>
        <v>15000-0.0000490187673949741j</v>
      </c>
      <c r="AL191" s="91" t="str">
        <f t="shared" si="95"/>
        <v>10000-102001.748834522j</v>
      </c>
      <c r="AM191" s="91" t="str">
        <f t="shared" si="96"/>
        <v>958.756266383232-31720.5386733487j</v>
      </c>
      <c r="AN191" s="91" t="str">
        <f t="shared" si="97"/>
        <v>10958.7562663832-31720.5386733487j</v>
      </c>
      <c r="AO191" s="91" t="str">
        <f t="shared" si="98"/>
        <v>11523.4834771548-4248.16103098803j</v>
      </c>
      <c r="AP191" s="91" t="str">
        <f t="shared" si="99"/>
        <v>0.242424288856884+0.000187552064319234j</v>
      </c>
      <c r="AQ191" s="91" t="str">
        <f t="shared" si="82"/>
        <v>1+29.8034105761442j</v>
      </c>
      <c r="AR191" s="91">
        <f t="shared" si="83"/>
        <v>-5.4930064471507769E-7</v>
      </c>
      <c r="AS191" s="91" t="str">
        <f t="shared" si="84"/>
        <v>0.00165874715918447j</v>
      </c>
      <c r="AT191" s="91" t="str">
        <f t="shared" si="85"/>
        <v>-5.49300644715078E-07+0.00165874715918447j</v>
      </c>
      <c r="AU191" s="91" t="str">
        <f t="shared" si="86"/>
        <v>5.39016618456282-0.182644365105803j</v>
      </c>
      <c r="AW191" s="91" t="str">
        <f t="shared" si="100"/>
        <v>1.27212112024531-0.236162331365526j</v>
      </c>
      <c r="AX191" s="91">
        <f t="shared" si="87"/>
        <v>2.2377226248199888</v>
      </c>
      <c r="AY191" s="91">
        <f t="shared" si="88"/>
        <v>169.48307902308073</v>
      </c>
      <c r="AZ191" s="91" t="str">
        <f t="shared" si="89"/>
        <v>-3.64953615320406-0.316654457040178j</v>
      </c>
      <c r="BA191" s="91">
        <f t="shared" si="90"/>
        <v>11.277325863302917</v>
      </c>
      <c r="BB191" s="91">
        <f t="shared" si="91"/>
        <v>4.9588877312442605</v>
      </c>
      <c r="BD191" s="91" t="str">
        <f t="shared" si="92"/>
        <v>-0.640381203634795-1.61161910767984j</v>
      </c>
      <c r="BE191" s="91">
        <f t="shared" si="93"/>
        <v>4.781918068456589</v>
      </c>
      <c r="BF191" s="91">
        <f t="shared" si="94"/>
        <v>68.32946762386959</v>
      </c>
      <c r="BH191" s="91">
        <f t="shared" si="101"/>
        <v>-3.781918068456589</v>
      </c>
      <c r="BI191" s="112">
        <f t="shared" si="102"/>
        <v>-68.32946762386959</v>
      </c>
      <c r="BJ191" s="95"/>
      <c r="BK191" s="95"/>
      <c r="BL191" s="95"/>
      <c r="BM191" s="95"/>
      <c r="BN191" s="46"/>
      <c r="BO191" s="46"/>
      <c r="BP191" s="46"/>
    </row>
    <row r="192" spans="1:68" s="91" customFormat="1">
      <c r="A192" s="91">
        <v>128</v>
      </c>
      <c r="B192" s="91">
        <f t="shared" ref="B192:B255" si="103">Fstart*10^(Step*A192)</f>
        <v>36307.805477010152</v>
      </c>
      <c r="C192" s="91" t="str">
        <f t="shared" ref="C192:C255" si="104">COMPLEX(0,2*PI()*B192,"j")</f>
        <v>228128.669909085j</v>
      </c>
      <c r="D192" s="91">
        <f t="shared" ref="D192:D255" si="105">(IMPRODUCT(C192,C192))/wn^2 + 1</f>
        <v>0.99564212648411099</v>
      </c>
      <c r="E192" s="91" t="str">
        <f t="shared" ref="E192:E255" si="106">IMDIV(C192,wn*Qn)</f>
        <v>-0.103694849958675j</v>
      </c>
      <c r="F192" s="91" t="str">
        <f t="shared" ref="F192:F255" si="107">IMSUM(D192,E192)</f>
        <v>0.995642126484111-0.103694849958675j</v>
      </c>
      <c r="G192" s="91">
        <f t="shared" ref="G192:G255" si="108">20*LOG(IMABS(F192),10)</f>
        <v>8.9193469704906998E-3</v>
      </c>
      <c r="H192" s="91">
        <f t="shared" ref="H192:H255" si="109">(IMARGUMENT(F192)*(180/PI()))</f>
        <v>-5.9458456454286228</v>
      </c>
      <c r="J192" s="91">
        <f t="shared" ref="J192:J255" si="110">Vin/(Rout+DCR/1000)</f>
        <v>7.1641791044776131</v>
      </c>
      <c r="K192" s="91" t="str">
        <f t="shared" ref="K192:K255" si="111">IMSUM(1,IMPRODUCT(C192,ncap*(Cap*10^-6)*(Rout+(ESR/(ncap*1000)))))</f>
        <v>1+5.66329423049303j</v>
      </c>
      <c r="L192" s="91">
        <f t="shared" ref="L192:L255" si="112">(IMPRODUCT(C192,C192))/Gdo^2 + 1</f>
        <v>-4.2449710475952047</v>
      </c>
      <c r="M192" s="91" t="str">
        <f t="shared" ref="M192:M255" si="113">IMDIV(C192,Q*Gdo)</f>
        <v>1.02751536360917j</v>
      </c>
      <c r="N192" s="91" t="str">
        <f t="shared" ref="N192:N255" si="114">IMSUM(L192,M192)</f>
        <v>-4.2449710475952+1.02751536360917j</v>
      </c>
      <c r="O192" s="91" t="str">
        <f t="shared" ref="O192:O255" si="115">IMDIV(K192,N192)</f>
        <v>0.0825218344200094-1.31414365734096j</v>
      </c>
      <c r="P192" s="91" t="str">
        <f t="shared" ref="P192:P255" si="116">IMPRODUCT(J192,O192)</f>
        <v>0.591201201814993-9.41476053020389j</v>
      </c>
      <c r="R192" s="91">
        <f t="shared" ref="R192:R255" si="117">Vin/(1+((DCR*10^-3)/Rout))</f>
        <v>11.82089552238806</v>
      </c>
      <c r="S192" s="91" t="str">
        <f t="shared" ref="S192:S255" si="118">IMSUM(1,IMPRODUCT(C192,ncap*(Cap*10^-6)*(ESR/(ncap*1000))))</f>
        <v>1+0.0171096502431814j</v>
      </c>
      <c r="T192" s="91" t="str">
        <f t="shared" ref="T192:T255" si="119">IMSUM(L192,M192)</f>
        <v>-4.2449710475952+1.02751536360917j</v>
      </c>
      <c r="U192" s="91" t="str">
        <f t="shared" ref="U192:U255" si="120">IMDIV(S192,T192)</f>
        <v>-0.221612841980213-0.0576730082269074j</v>
      </c>
      <c r="V192" s="91" t="str">
        <f t="shared" ref="V192:V255" si="121">IMPRODUCT(R192,U192)</f>
        <v>-2.61966225146759-0.681746604712099j</v>
      </c>
      <c r="X192" s="91" t="str">
        <f t="shared" ref="X192:X255" si="122">IMPRODUCT(Fm,Dmax,P192,F192)</f>
        <v>-0.0725695002245859-1.76633103955038j</v>
      </c>
      <c r="Y192" s="91">
        <f t="shared" ref="Y192:Y255" si="123">20*LOG(IMABS(X192),10)</f>
        <v>4.9487665856081948</v>
      </c>
      <c r="Z192" s="91">
        <f t="shared" ref="Z192:Z255" si="124">IF((IMARGUMENT(X192)*(180/PI()))&lt;0,(IMARGUMENT(X192)*(180/PI()))+180,(IMARGUMENT(X192)*(180/PI()))-180)</f>
        <v>87.647332874500066</v>
      </c>
      <c r="AB192" s="91" t="str">
        <f t="shared" ref="AB192:AB255" si="125">IMPRODUCT(Fm,V192)</f>
        <v>-2.45213181882519-0.638148120374692j</v>
      </c>
      <c r="AC192" s="91">
        <f t="shared" ref="AC192:AC255" si="126">20*LOG(IMABS(AB192),10)</f>
        <v>8.0754743981352632</v>
      </c>
      <c r="AD192" s="91">
        <f t="shared" ref="AD192:AD255" si="127">IF((IMARGUMENT(AB192)*(180/PI()))&lt;0,(IMARGUMENT(AB192)*(180/PI()))+180,(IMARGUMENT(AB192)*(180/PI()))-180)</f>
        <v>14.587212492766781</v>
      </c>
      <c r="AF192" s="91" t="str">
        <f t="shared" ref="AF192:AF255" si="128">IMDIV(AB192,IMSUM(1,X192))</f>
        <v>-0.288187393379286-1.23694709068274j</v>
      </c>
      <c r="AG192" s="91">
        <f t="shared" ref="AG192:AG255" si="129">20*LOG(IMABS(AF192),10)</f>
        <v>2.0765862012033889</v>
      </c>
      <c r="AH192" s="91">
        <f t="shared" ref="AH192:AH255" si="130">IF((IMARGUMENT(AF192)*(180/PI()))&lt;0,(IMARGUMENT(AF192)*(180/PI()))+180,(IMARGUMENT(AF192)*(180/PI()))-180)</f>
        <v>76.885026386938335</v>
      </c>
      <c r="AJ192" s="91" t="str">
        <f t="shared" ref="AJ192:AJ255" si="131">IMDIV(_Rfb1,IMSUM(1,IMPRODUCT(C192,_Cfb1*_Rfb1)))</f>
        <v>46874.9463977423-50.125871127078j</v>
      </c>
      <c r="AK192" s="91" t="str">
        <f t="shared" ref="AK192:AK255" si="132">IMDIV(_Rfb2,IMSUM(1,IMPRODUCT(C192,_Cfb2*_Rfb2)))</f>
        <v>15000-0.0000513289507295442j</v>
      </c>
      <c r="AL192" s="91" t="str">
        <f t="shared" si="95"/>
        <v>10000-97410.9138981891j</v>
      </c>
      <c r="AM192" s="91" t="str">
        <f t="shared" si="96"/>
        <v>958.335525499508-30298.8220469838j</v>
      </c>
      <c r="AN192" s="91" t="str">
        <f t="shared" si="97"/>
        <v>10958.3355254995-30298.8220469838j</v>
      </c>
      <c r="AO192" s="91" t="str">
        <f t="shared" si="98"/>
        <v>11330.9284269997-4282.57607425002j</v>
      </c>
      <c r="AP192" s="91" t="str">
        <f t="shared" si="99"/>
        <v>0.242424293336621+0.000196391119633223j</v>
      </c>
      <c r="AQ192" s="91" t="str">
        <f t="shared" ref="AQ192:AQ255" si="133">IMSUM(1,IMPRODUCT(C192,_res1*_Cap1))</f>
        <v>1+31.2080020435628j</v>
      </c>
      <c r="AR192" s="91">
        <f t="shared" ref="AR192:AR255" si="134">(IMPRODUCT(C192,C192))*_res1*_Cap1*_cap2 + (1/Roerr)</f>
        <v>-6.119439996718E-7</v>
      </c>
      <c r="AS192" s="91" t="str">
        <f t="shared" ref="AS192:AS255" si="135">IMPRODUCT(C192,(_Cap1+_cap2+(_Cap1*_res1/Roerr)))</f>
        <v>0.00173692150438039j</v>
      </c>
      <c r="AT192" s="91" t="str">
        <f t="shared" ref="AT192:AT255" si="136">IMSUM(AR192,AS192)</f>
        <v>-0.0000006119439996718+0.00173692150438039j</v>
      </c>
      <c r="AU192" s="91" t="str">
        <f t="shared" ref="AU192:AU255" si="137">IMPRODUCT(EA_BW,IMDIV(AQ192,AT192))</f>
        <v>5.39016514722561-0.174618414507615j</v>
      </c>
      <c r="AW192" s="91" t="str">
        <f t="shared" si="100"/>
        <v>1.26948144033957-0.242858414885808j</v>
      </c>
      <c r="AX192" s="91">
        <f t="shared" ref="AX192:AX255" si="138">20*LOG(IMABS(AW192),10)</f>
        <v>2.2286294594767257</v>
      </c>
      <c r="AY192" s="91">
        <f t="shared" ref="AY192:AY255" si="139">IF((IMARGUMENT(AW192)*(180/PI()))&lt;0,(IMARGUMENT(AW192)*(180/PI()))+180,(IMARGUMENT(AW192)*(180/PI()))-180)</f>
        <v>169.16987274291441</v>
      </c>
      <c r="AZ192" s="91" t="str">
        <f t="shared" ref="AZ192:AZ255" si="140">IMPRODUCT(AW192,Fm,V192)</f>
        <v>-3.26791547424125-0.214596348392315j</v>
      </c>
      <c r="BA192" s="91">
        <f t="shared" ref="BA192:BA255" si="141">20*LOG(IMABS(AZ192),10)</f>
        <v>10.304103857611997</v>
      </c>
      <c r="BB192" s="91">
        <f t="shared" ref="BB192:BB255" si="142">IF((IMARGUMENT(AZ192)*(180/PI()))&lt;0,(IMARGUMENT(AZ192)*(180/PI()))+180,(IMARGUMENT(AZ192)*(180/PI()))-180)</f>
        <v>3.7570852356812168</v>
      </c>
      <c r="BD192" s="91" t="str">
        <f t="shared" ref="BD192:BD255" si="143">IMDIV(AZ192,IMSUM(1,X192))</f>
        <v>-0.666251556975665-1.5002926407576j</v>
      </c>
      <c r="BE192" s="91">
        <f t="shared" ref="BE192:BE255" si="144">20*LOG(IMABS(BD192),10)</f>
        <v>4.3052156606801191</v>
      </c>
      <c r="BF192" s="91">
        <f t="shared" ref="BF192:BF255" si="145">IF((IMARGUMENT(BD192)*(180/PI()))&lt;0,(IMARGUMENT(BD192)*(180/PI()))+180,(IMARGUMENT(BD192)*(180/PI()))-180)</f>
        <v>66.054899129852743</v>
      </c>
      <c r="BH192" s="91">
        <f t="shared" si="101"/>
        <v>-3.3052156606801191</v>
      </c>
      <c r="BI192" s="112">
        <f t="shared" si="102"/>
        <v>-66.054899129852743</v>
      </c>
      <c r="BJ192" s="95"/>
      <c r="BK192" s="95"/>
      <c r="BL192" s="95"/>
      <c r="BM192" s="95"/>
      <c r="BN192" s="46"/>
      <c r="BO192" s="46"/>
      <c r="BP192" s="46"/>
    </row>
    <row r="193" spans="1:68" s="91" customFormat="1">
      <c r="A193" s="91">
        <v>129</v>
      </c>
      <c r="B193" s="91">
        <f t="shared" si="103"/>
        <v>38018.939632056165</v>
      </c>
      <c r="C193" s="91" t="str">
        <f t="shared" si="104"/>
        <v>238880.042890683j</v>
      </c>
      <c r="D193" s="91">
        <f t="shared" si="105"/>
        <v>0.99522168670827793</v>
      </c>
      <c r="E193" s="91" t="str">
        <f t="shared" si="106"/>
        <v>-0.108581837677583j</v>
      </c>
      <c r="F193" s="91" t="str">
        <f t="shared" si="107"/>
        <v>0.995221686708278-0.108581837677583j</v>
      </c>
      <c r="G193" s="91">
        <f t="shared" si="108"/>
        <v>9.7876066764227016E-3</v>
      </c>
      <c r="H193" s="91">
        <f t="shared" si="109"/>
        <v>-6.2265231180883003</v>
      </c>
      <c r="J193" s="91">
        <f t="shared" si="110"/>
        <v>7.1641791044776131</v>
      </c>
      <c r="K193" s="91" t="str">
        <f t="shared" si="111"/>
        <v>1+5.9301970647612j</v>
      </c>
      <c r="L193" s="91">
        <f t="shared" si="112"/>
        <v>-4.7509963930904071</v>
      </c>
      <c r="M193" s="91" t="str">
        <f t="shared" si="113"/>
        <v>1.07594067079606j</v>
      </c>
      <c r="N193" s="91" t="str">
        <f t="shared" si="114"/>
        <v>-4.75099639309041+1.07594067079606j</v>
      </c>
      <c r="O193" s="91" t="str">
        <f t="shared" si="115"/>
        <v>0.0686713126613077-1.23264896918656j</v>
      </c>
      <c r="P193" s="91" t="str">
        <f t="shared" si="116"/>
        <v>0.49197358324519-8.83091798820222j</v>
      </c>
      <c r="R193" s="91">
        <f t="shared" si="117"/>
        <v>11.82089552238806</v>
      </c>
      <c r="S193" s="91" t="str">
        <f t="shared" si="118"/>
        <v>1+0.0179160032168012j</v>
      </c>
      <c r="T193" s="91" t="str">
        <f t="shared" si="119"/>
        <v>-4.75099639309041+1.07594067079606j</v>
      </c>
      <c r="U193" s="91" t="str">
        <f t="shared" si="120"/>
        <v>-0.199401457872686-0.0489287135423064j</v>
      </c>
      <c r="V193" s="91" t="str">
        <f t="shared" si="121"/>
        <v>-2.35710380052489-0.578381210828458j</v>
      </c>
      <c r="X193" s="91" t="str">
        <f t="shared" si="122"/>
        <v>-0.0878490308655747-1.65533507479798j</v>
      </c>
      <c r="Y193" s="91">
        <f t="shared" si="123"/>
        <v>4.3899328439961343</v>
      </c>
      <c r="Z193" s="91">
        <f t="shared" si="124"/>
        <v>86.962149036637996</v>
      </c>
      <c r="AB193" s="91" t="str">
        <f t="shared" si="125"/>
        <v>-2.20636428467175-0.541393063051758j</v>
      </c>
      <c r="AC193" s="91">
        <f t="shared" si="126"/>
        <v>7.1274646490457343</v>
      </c>
      <c r="AD193" s="91">
        <f t="shared" si="127"/>
        <v>13.786725596669328</v>
      </c>
      <c r="AF193" s="91" t="str">
        <f t="shared" si="128"/>
        <v>-0.312514667313261-1.16067360455569j</v>
      </c>
      <c r="AG193" s="91">
        <f t="shared" si="129"/>
        <v>1.5981633989805681</v>
      </c>
      <c r="AH193" s="91">
        <f t="shared" si="130"/>
        <v>74.930332615189997</v>
      </c>
      <c r="AJ193" s="91" t="str">
        <f t="shared" si="131"/>
        <v>46874.9412262996-52.4882248623597j</v>
      </c>
      <c r="AK193" s="91" t="str">
        <f t="shared" si="132"/>
        <v>15000-0.0000537480096504038j</v>
      </c>
      <c r="AL193" s="91" t="str">
        <f t="shared" ref="AL193:AL256" si="146">IMDIV(IMSUM(1,IMPRODUCT(C193,10000,0.000000000045)),IMPRODUCT(C193,0.000000000045))</f>
        <v>10000-93026.7005703431j</v>
      </c>
      <c r="AM193" s="91" t="str">
        <f t="shared" ref="AM193:AM256" si="147">IMDIV(AL193,IMSUM(1,IMPRODUCT(C193,AL193,0.0000000001)))</f>
        <v>957.874616525515-28941.3675620138j</v>
      </c>
      <c r="AN193" s="91" t="str">
        <f t="shared" ref="AN193:AN256" si="148">IMSUM(10000,AM193)</f>
        <v>10957.8746165255-28941.3675620138j</v>
      </c>
      <c r="AO193" s="91" t="str">
        <f t="shared" ref="AO193:AO256" si="149">IMDIV(IMPRODUCT(AN193,AK193),IMSUM(AN193,AK193))</f>
        <v>11135.7233815596-4308.42091728193j</v>
      </c>
      <c r="AP193" s="91" t="str">
        <f t="shared" ref="AP193:AP256" si="150">IMDIV(AK193,IMSUM(AJ193,AK193))</f>
        <v>0.242424298248555+0.000205646746618247j</v>
      </c>
      <c r="AQ193" s="91" t="str">
        <f t="shared" si="133"/>
        <v>1+32.6787898674454j</v>
      </c>
      <c r="AR193" s="91">
        <f t="shared" si="134"/>
        <v>-6.8063107251509752E-7</v>
      </c>
      <c r="AS193" s="91" t="str">
        <f t="shared" si="135"/>
        <v>0.00181878009296022j</v>
      </c>
      <c r="AT193" s="91" t="str">
        <f t="shared" si="136"/>
        <v>-6.80631072515098E-07+0.00181878009296022j</v>
      </c>
      <c r="AU193" s="91" t="str">
        <f t="shared" si="137"/>
        <v>5.39016418646406-0.166962852962074j</v>
      </c>
      <c r="AW193" s="91" t="str">
        <f t="shared" ref="AW193:AW256" si="151">IMDIV(IMPRODUCT(AP193,AU193),IMPRODUCT(IMSUM(1,IMPRODUCT(C193,1/1500000)),IMSUM(1,IMPRODUCT(C193,1/35000000))))</f>
        <v>1.26659917557561-0.249994006797977j</v>
      </c>
      <c r="AX193" s="91">
        <f t="shared" si="138"/>
        <v>2.2187579880676083</v>
      </c>
      <c r="AY193" s="91">
        <f t="shared" si="139"/>
        <v>168.83480078850988</v>
      </c>
      <c r="AZ193" s="91" t="str">
        <f t="shared" si="140"/>
        <v>-2.92992420506964-0.134150159342668j</v>
      </c>
      <c r="BA193" s="91">
        <f t="shared" si="141"/>
        <v>9.3462226371133195</v>
      </c>
      <c r="BB193" s="91">
        <f t="shared" si="142"/>
        <v>2.6215263851792088</v>
      </c>
      <c r="BD193" s="91" t="str">
        <f t="shared" si="143"/>
        <v>-0.685992264961788-1.39198143677783j</v>
      </c>
      <c r="BE193" s="91">
        <f t="shared" si="144"/>
        <v>3.8169213870481737</v>
      </c>
      <c r="BF193" s="91">
        <f t="shared" si="145"/>
        <v>63.765133403699963</v>
      </c>
      <c r="BH193" s="91">
        <f t="shared" ref="BH193:BH256" si="152">1-BE193</f>
        <v>-2.8169213870481737</v>
      </c>
      <c r="BI193" s="112">
        <f t="shared" ref="BI193:BI256" si="153">+-1*BF193</f>
        <v>-63.765133403699963</v>
      </c>
      <c r="BJ193" s="95"/>
      <c r="BK193" s="95"/>
      <c r="BL193" s="95"/>
      <c r="BM193" s="95"/>
      <c r="BN193" s="46"/>
      <c r="BO193" s="46"/>
      <c r="BP193" s="46"/>
    </row>
    <row r="194" spans="1:68" s="91" customFormat="1">
      <c r="A194" s="91">
        <v>130</v>
      </c>
      <c r="B194" s="91">
        <f t="shared" si="103"/>
        <v>39810.717055349764</v>
      </c>
      <c r="C194" s="91" t="str">
        <f t="shared" si="104"/>
        <v>250138.112470457j</v>
      </c>
      <c r="D194" s="91">
        <f t="shared" si="105"/>
        <v>0.99476068366128556</v>
      </c>
      <c r="E194" s="91" t="str">
        <f t="shared" si="106"/>
        <v>-0.113699142032026j</v>
      </c>
      <c r="F194" s="91" t="str">
        <f t="shared" si="107"/>
        <v>0.994760683661286-0.113699142032026j</v>
      </c>
      <c r="G194" s="91">
        <f t="shared" si="108"/>
        <v>1.0741195427386385E-2</v>
      </c>
      <c r="H194" s="91">
        <f t="shared" si="109"/>
        <v>-6.5204957652966353</v>
      </c>
      <c r="J194" s="91">
        <f t="shared" si="110"/>
        <v>7.1641791044776131</v>
      </c>
      <c r="K194" s="91" t="str">
        <f t="shared" si="111"/>
        <v>1+6.20967864207909j</v>
      </c>
      <c r="L194" s="91">
        <f t="shared" si="112"/>
        <v>-5.3058421511217144</v>
      </c>
      <c r="M194" s="91" t="str">
        <f t="shared" si="113"/>
        <v>1.12664819239958j</v>
      </c>
      <c r="N194" s="91" t="str">
        <f t="shared" si="114"/>
        <v>-5.30584215112171+1.12664819239958j</v>
      </c>
      <c r="O194" s="91" t="str">
        <f t="shared" si="115"/>
        <v>0.0574509363623473-1.15814822104643j</v>
      </c>
      <c r="P194" s="91" t="str">
        <f t="shared" si="116"/>
        <v>0.411588797819802-8.29718128510875j</v>
      </c>
      <c r="R194" s="91">
        <f t="shared" si="117"/>
        <v>11.82089552238806</v>
      </c>
      <c r="S194" s="91" t="str">
        <f t="shared" si="118"/>
        <v>1+0.0187603584352843j</v>
      </c>
      <c r="T194" s="91" t="str">
        <f t="shared" si="119"/>
        <v>-5.30584215112171+1.12664819239958j</v>
      </c>
      <c r="U194" s="91" t="str">
        <f t="shared" si="120"/>
        <v>-0.179621782563243-0.0416768740526898j</v>
      </c>
      <c r="V194" s="91" t="str">
        <f t="shared" si="121"/>
        <v>-2.1232903252252-0.492657973876572j</v>
      </c>
      <c r="X194" s="91" t="str">
        <f t="shared" si="122"/>
        <v>-0.0999606633087079-1.55393599817902j</v>
      </c>
      <c r="Y194" s="91">
        <f t="shared" si="123"/>
        <v>3.846596639935826</v>
      </c>
      <c r="Z194" s="91">
        <f t="shared" si="124"/>
        <v>86.319382670109619</v>
      </c>
      <c r="AB194" s="91" t="str">
        <f t="shared" si="125"/>
        <v>-1.9875034517032-0.461151926308023j</v>
      </c>
      <c r="AC194" s="91">
        <f t="shared" si="126"/>
        <v>6.1938878729829563</v>
      </c>
      <c r="AD194" s="91">
        <f t="shared" si="127"/>
        <v>13.0629496458115</v>
      </c>
      <c r="AF194" s="91" t="str">
        <f t="shared" si="128"/>
        <v>-0.332496506641111-1.08643053407099j</v>
      </c>
      <c r="AG194" s="91">
        <f t="shared" si="129"/>
        <v>1.1088763250760962</v>
      </c>
      <c r="AH194" s="91">
        <f t="shared" si="130"/>
        <v>72.983537847320704</v>
      </c>
      <c r="AJ194" s="91" t="str">
        <f t="shared" si="131"/>
        <v>46874.9355559268-54.9619120412526j</v>
      </c>
      <c r="AK194" s="91" t="str">
        <f t="shared" si="132"/>
        <v>15000-0.0000562810753058529j</v>
      </c>
      <c r="AL194" s="91" t="str">
        <f t="shared" si="146"/>
        <v>10000-88839.8093467134j</v>
      </c>
      <c r="AM194" s="91" t="str">
        <f t="shared" si="147"/>
        <v>957.369749185662-27645.2950371862j</v>
      </c>
      <c r="AN194" s="91" t="str">
        <f t="shared" si="148"/>
        <v>10957.3697491857-27645.2950371862j</v>
      </c>
      <c r="AO194" s="91" t="str">
        <f t="shared" si="149"/>
        <v>10938.6538296619-4325.44260890374j</v>
      </c>
      <c r="AP194" s="91" t="str">
        <f t="shared" si="150"/>
        <v>0.242424303634384+0.000215338577666831j</v>
      </c>
      <c r="AQ194" s="91" t="str">
        <f t="shared" si="133"/>
        <v>1+34.2188937859585j</v>
      </c>
      <c r="AR194" s="91">
        <f t="shared" si="134"/>
        <v>-7.5594495024467154E-7</v>
      </c>
      <c r="AS194" s="91" t="str">
        <f t="shared" si="135"/>
        <v>0.00190449655796532j</v>
      </c>
      <c r="AT194" s="91" t="str">
        <f t="shared" si="136"/>
        <v>-7.55944950244672E-07+0.00190449655796532j</v>
      </c>
      <c r="AU194" s="91" t="str">
        <f t="shared" si="137"/>
        <v>5.39016329412219-0.159661441997063j</v>
      </c>
      <c r="AW194" s="91" t="str">
        <f t="shared" si="151"/>
        <v>1.26345325950042-0.257573605434697j</v>
      </c>
      <c r="AX194" s="91">
        <f t="shared" si="138"/>
        <v>2.2080300498077801</v>
      </c>
      <c r="AY194" s="91">
        <f t="shared" si="139"/>
        <v>168.47730847230068</v>
      </c>
      <c r="AZ194" s="91" t="str">
        <f t="shared" si="140"/>
        <v>-2.62989827863505-0.070715474549672j</v>
      </c>
      <c r="BA194" s="91">
        <f t="shared" si="141"/>
        <v>8.4019179227907124</v>
      </c>
      <c r="BB194" s="91">
        <f t="shared" si="142"/>
        <v>1.5402581181122343</v>
      </c>
      <c r="BD194" s="91" t="str">
        <f t="shared" si="143"/>
        <v>-0.69992962480322-1.28701187548277j</v>
      </c>
      <c r="BE194" s="91">
        <f t="shared" si="144"/>
        <v>3.3169063748838044</v>
      </c>
      <c r="BF194" s="91">
        <f t="shared" si="145"/>
        <v>61.460846319621254</v>
      </c>
      <c r="BH194" s="91">
        <f t="shared" si="152"/>
        <v>-2.3169063748838044</v>
      </c>
      <c r="BI194" s="112">
        <f t="shared" si="153"/>
        <v>-61.460846319621254</v>
      </c>
      <c r="BJ194" s="95"/>
      <c r="BK194" s="95"/>
      <c r="BL194" s="95"/>
      <c r="BM194" s="95"/>
      <c r="BN194" s="46"/>
      <c r="BO194" s="46"/>
      <c r="BP194" s="46"/>
    </row>
    <row r="195" spans="1:68" s="91" customFormat="1">
      <c r="A195" s="91">
        <v>131</v>
      </c>
      <c r="B195" s="91">
        <f t="shared" si="103"/>
        <v>41686.938347033574</v>
      </c>
      <c r="C195" s="91" t="str">
        <f t="shared" si="104"/>
        <v>261926.758523383j</v>
      </c>
      <c r="D195" s="91">
        <f t="shared" si="105"/>
        <v>0.99425520387190292</v>
      </c>
      <c r="E195" s="91" t="str">
        <f t="shared" si="106"/>
        <v>-0.119057617510629j</v>
      </c>
      <c r="F195" s="91" t="str">
        <f t="shared" si="107"/>
        <v>0.994255203871903-0.119057617510629j</v>
      </c>
      <c r="G195" s="91">
        <f t="shared" si="108"/>
        <v>1.1788660040950062E-2</v>
      </c>
      <c r="H195" s="91">
        <f t="shared" si="109"/>
        <v>-6.8283999619944318</v>
      </c>
      <c r="J195" s="91">
        <f t="shared" si="110"/>
        <v>7.1641791044776131</v>
      </c>
      <c r="K195" s="91" t="str">
        <f t="shared" si="111"/>
        <v>1+6.50233178034298j</v>
      </c>
      <c r="L195" s="91">
        <f t="shared" si="112"/>
        <v>-5.9142184270256388</v>
      </c>
      <c r="M195" s="91" t="str">
        <f t="shared" si="113"/>
        <v>1.17974548587155j</v>
      </c>
      <c r="N195" s="91" t="str">
        <f t="shared" si="114"/>
        <v>-5.91421842702564+1.17974548587155j</v>
      </c>
      <c r="O195" s="91" t="str">
        <f t="shared" si="115"/>
        <v>0.0483059888210109-1.08980469484153j</v>
      </c>
      <c r="P195" s="91" t="str">
        <f t="shared" si="116"/>
        <v>0.346072755732615-7.80755602274529j</v>
      </c>
      <c r="R195" s="91">
        <f t="shared" si="117"/>
        <v>11.82089552238806</v>
      </c>
      <c r="S195" s="91" t="str">
        <f t="shared" si="118"/>
        <v>1+0.0196445068892537j</v>
      </c>
      <c r="T195" s="91" t="str">
        <f t="shared" si="119"/>
        <v>-5.91421842702564+1.17974548587155j</v>
      </c>
      <c r="U195" s="91" t="str">
        <f t="shared" si="120"/>
        <v>-0.161976318482237-0.0356319841813396j</v>
      </c>
      <c r="V195" s="91" t="str">
        <f t="shared" si="121"/>
        <v>-1.91470513787958-0.421201962262999j</v>
      </c>
      <c r="X195" s="91" t="str">
        <f t="shared" si="122"/>
        <v>-0.109604651135809-1.46096739911652j</v>
      </c>
      <c r="Y195" s="91">
        <f t="shared" si="123"/>
        <v>3.3171853468683761</v>
      </c>
      <c r="Z195" s="91">
        <f t="shared" si="124"/>
        <v>85.709594974847903</v>
      </c>
      <c r="AB195" s="91" t="str">
        <f t="shared" si="125"/>
        <v>-1.79225752847807-0.39426560933116j</v>
      </c>
      <c r="AC195" s="91">
        <f t="shared" si="126"/>
        <v>5.2732468167738915</v>
      </c>
      <c r="AD195" s="91">
        <f t="shared" si="127"/>
        <v>12.406471820584329</v>
      </c>
      <c r="AF195" s="91" t="str">
        <f t="shared" si="128"/>
        <v>-0.348386938637103-1.01443428484906j</v>
      </c>
      <c r="AG195" s="91">
        <f t="shared" si="129"/>
        <v>0.60867890858781781</v>
      </c>
      <c r="AH195" s="91">
        <f t="shared" si="130"/>
        <v>71.046002414931266</v>
      </c>
      <c r="AJ195" s="91" t="str">
        <f t="shared" si="131"/>
        <v>46874.9293384883-57.552179520201j</v>
      </c>
      <c r="AK195" s="91" t="str">
        <f t="shared" si="132"/>
        <v>15000-0.0000589335206677613j</v>
      </c>
      <c r="AL195" s="91" t="str">
        <f t="shared" si="146"/>
        <v>10000-84841.3592696694j</v>
      </c>
      <c r="AM195" s="91" t="str">
        <f t="shared" si="147"/>
        <v>956.816784499085-26407.8543688553j</v>
      </c>
      <c r="AN195" s="91" t="str">
        <f t="shared" si="148"/>
        <v>10956.8167844991-26407.8543688553j</v>
      </c>
      <c r="AO195" s="91" t="str">
        <f t="shared" si="149"/>
        <v>10740.5358484257-4333.47855982302j</v>
      </c>
      <c r="AP195" s="91" t="str">
        <f t="shared" si="150"/>
        <v>0.242424309539827+0.000225487170413877j</v>
      </c>
      <c r="AQ195" s="91" t="str">
        <f t="shared" si="133"/>
        <v>1+35.8315805659988j</v>
      </c>
      <c r="AR195" s="91">
        <f t="shared" si="134"/>
        <v>-8.3852497504215118E-7</v>
      </c>
      <c r="AS195" s="91" t="str">
        <f t="shared" si="135"/>
        <v>0.00199425271551016j</v>
      </c>
      <c r="AT195" s="91" t="str">
        <f t="shared" si="136"/>
        <v>-8.38524975042151E-07+0.00199425271551016j</v>
      </c>
      <c r="AU195" s="91" t="str">
        <f t="shared" si="137"/>
        <v>5.39016246262497-0.152698694341025j</v>
      </c>
      <c r="AW195" s="91" t="str">
        <f t="shared" si="151"/>
        <v>1.26002103816979-0.265601215330653j</v>
      </c>
      <c r="AX195" s="91">
        <f t="shared" si="138"/>
        <v>2.1963613090515404</v>
      </c>
      <c r="AY195" s="91">
        <f t="shared" si="139"/>
        <v>168.09681581313444</v>
      </c>
      <c r="AZ195" s="91" t="str">
        <f t="shared" si="140"/>
        <v>-2.36299961670199-0.0207571846348055j</v>
      </c>
      <c r="BA195" s="91">
        <f t="shared" si="141"/>
        <v>7.4696081258254088</v>
      </c>
      <c r="BB195" s="91">
        <f t="shared" si="142"/>
        <v>0.50328763371877017</v>
      </c>
      <c r="BD195" s="91" t="str">
        <f t="shared" si="143"/>
        <v>-0.708409851035308-1.1856765464432j</v>
      </c>
      <c r="BE195" s="91">
        <f t="shared" si="144"/>
        <v>2.8050402176393465</v>
      </c>
      <c r="BF195" s="91">
        <f t="shared" si="145"/>
        <v>59.14281822806575</v>
      </c>
      <c r="BH195" s="91">
        <f t="shared" si="152"/>
        <v>-1.8050402176393465</v>
      </c>
      <c r="BI195" s="112">
        <f t="shared" si="153"/>
        <v>-59.14281822806575</v>
      </c>
      <c r="BJ195" s="95"/>
      <c r="BK195" s="95"/>
      <c r="BL195" s="95"/>
      <c r="BM195" s="95"/>
      <c r="BN195" s="46"/>
      <c r="BO195" s="46"/>
      <c r="BP195" s="46"/>
    </row>
    <row r="196" spans="1:68" s="91" customFormat="1">
      <c r="A196" s="91">
        <v>132</v>
      </c>
      <c r="B196" s="91">
        <f t="shared" si="103"/>
        <v>43651.58322401662</v>
      </c>
      <c r="C196" s="91" t="str">
        <f t="shared" si="104"/>
        <v>274270.986348268j</v>
      </c>
      <c r="D196" s="91">
        <f t="shared" si="105"/>
        <v>0.9937009563042537</v>
      </c>
      <c r="E196" s="91" t="str">
        <f t="shared" si="106"/>
        <v>-0.124668630158304j</v>
      </c>
      <c r="F196" s="91" t="str">
        <f t="shared" si="107"/>
        <v>0.993700956304254-0.124668630158304j</v>
      </c>
      <c r="G196" s="91">
        <f t="shared" si="108"/>
        <v>1.2939435099849281E-2</v>
      </c>
      <c r="H196" s="91">
        <f t="shared" si="109"/>
        <v>-7.1509034810918894</v>
      </c>
      <c r="J196" s="91">
        <f t="shared" si="110"/>
        <v>7.1641791044776131</v>
      </c>
      <c r="K196" s="91" t="str">
        <f t="shared" si="111"/>
        <v>1+6.80877723609575j</v>
      </c>
      <c r="L196" s="91">
        <f t="shared" si="112"/>
        <v>-6.5812897486050064</v>
      </c>
      <c r="M196" s="91" t="str">
        <f t="shared" si="113"/>
        <v>1.23534517769028j</v>
      </c>
      <c r="N196" s="91" t="str">
        <f t="shared" si="114"/>
        <v>-6.58128974860501+1.23534517769028j</v>
      </c>
      <c r="O196" s="91" t="str">
        <f t="shared" si="115"/>
        <v>0.0408100517613958-1.0269055145131j</v>
      </c>
      <c r="P196" s="91" t="str">
        <f t="shared" si="116"/>
        <v>0.292370520081642-7.35693502934758j</v>
      </c>
      <c r="R196" s="91">
        <f t="shared" si="117"/>
        <v>11.82089552238806</v>
      </c>
      <c r="S196" s="91" t="str">
        <f t="shared" si="118"/>
        <v>1+0.0205703239761201j</v>
      </c>
      <c r="T196" s="91" t="str">
        <f t="shared" si="119"/>
        <v>-6.58128974860501+1.23534517769028j</v>
      </c>
      <c r="U196" s="91" t="str">
        <f t="shared" si="120"/>
        <v>-0.146207813386379-0.0305696070023763j</v>
      </c>
      <c r="V196" s="91" t="str">
        <f t="shared" si="121"/>
        <v>-1.7283072865972-0.361360130535553j</v>
      </c>
      <c r="X196" s="91" t="str">
        <f t="shared" si="122"/>
        <v>-0.117315028955028-1.37543818327521j</v>
      </c>
      <c r="Y196" s="91">
        <f t="shared" si="123"/>
        <v>2.8003015154722508</v>
      </c>
      <c r="Z196" s="91">
        <f t="shared" si="124"/>
        <v>85.124879349649319</v>
      </c>
      <c r="AB196" s="91" t="str">
        <f t="shared" si="125"/>
        <v>-1.61778003549816-0.338250731995944j</v>
      </c>
      <c r="AC196" s="91">
        <f t="shared" si="126"/>
        <v>4.3642120609581045</v>
      </c>
      <c r="AD196" s="91">
        <f t="shared" si="127"/>
        <v>11.809463332121936</v>
      </c>
      <c r="AF196" s="91" t="str">
        <f t="shared" si="128"/>
        <v>-0.360449458873152-0.944874681488682j</v>
      </c>
      <c r="AG196" s="91">
        <f t="shared" si="129"/>
        <v>9.7533416359512376E-2</v>
      </c>
      <c r="AH196" s="91">
        <f t="shared" si="130"/>
        <v>69.119218071184463</v>
      </c>
      <c r="AJ196" s="91" t="str">
        <f t="shared" si="131"/>
        <v>46874.9225212044-60.2645214135441j</v>
      </c>
      <c r="AK196" s="91" t="str">
        <f t="shared" si="132"/>
        <v>15000-0.0000617109719283603j</v>
      </c>
      <c r="AL196" s="91" t="str">
        <f t="shared" si="146"/>
        <v>10000-81022.869090515j</v>
      </c>
      <c r="AM196" s="91" t="str">
        <f t="shared" si="147"/>
        <v>956.211204497249-25226.4196802266j</v>
      </c>
      <c r="AN196" s="91" t="str">
        <f t="shared" si="148"/>
        <v>10956.2112044972-25226.4196802266j</v>
      </c>
      <c r="AO196" s="91" t="str">
        <f t="shared" si="149"/>
        <v>10542.2026878353-4332.46073495187j</v>
      </c>
      <c r="AP196" s="91" t="str">
        <f t="shared" si="150"/>
        <v>0.242424316015017+0.000236114051341435j</v>
      </c>
      <c r="AQ196" s="91" t="str">
        <f t="shared" si="133"/>
        <v>1+37.5202709324431j</v>
      </c>
      <c r="AR196" s="91">
        <f t="shared" si="134"/>
        <v>-9.2907217166954056E-7</v>
      </c>
      <c r="AS196" s="91" t="str">
        <f t="shared" si="135"/>
        <v>0.00208823895043872j</v>
      </c>
      <c r="AT196" s="91" t="str">
        <f t="shared" si="136"/>
        <v>-9.29072171669541E-07+0.00208823895043872j</v>
      </c>
      <c r="AU196" s="91" t="str">
        <f t="shared" si="137"/>
        <v>5.3901616849137-0.146059841072389j</v>
      </c>
      <c r="AW196" s="91" t="str">
        <f t="shared" si="151"/>
        <v>1.25627819816241-0.274080176997841j</v>
      </c>
      <c r="AX196" s="91">
        <f t="shared" si="138"/>
        <v>2.1836607489983915</v>
      </c>
      <c r="AY196" s="91">
        <f t="shared" si="139"/>
        <v>167.69271925019902</v>
      </c>
      <c r="AZ196" s="91" t="str">
        <f t="shared" si="140"/>
        <v>-2.12508960851384+0.0184644183539283j</v>
      </c>
      <c r="BA196" s="91">
        <f t="shared" si="141"/>
        <v>6.5478728099564734</v>
      </c>
      <c r="BB196" s="91">
        <f t="shared" si="142"/>
        <v>-0.49781741767904464</v>
      </c>
      <c r="BD196" s="91" t="str">
        <f t="shared" si="143"/>
        <v>-0.711796216664974-1.08823341086315j</v>
      </c>
      <c r="BE196" s="91">
        <f t="shared" si="144"/>
        <v>2.2811941653578796</v>
      </c>
      <c r="BF196" s="91">
        <f t="shared" si="145"/>
        <v>56.811937321383482</v>
      </c>
      <c r="BH196" s="91">
        <f t="shared" si="152"/>
        <v>-1.2811941653578796</v>
      </c>
      <c r="BI196" s="112">
        <f t="shared" si="153"/>
        <v>-56.811937321383482</v>
      </c>
      <c r="BJ196" s="95"/>
      <c r="BK196" s="95"/>
      <c r="BL196" s="95"/>
      <c r="BM196" s="95"/>
      <c r="BN196" s="46"/>
      <c r="BO196" s="46"/>
      <c r="BP196" s="46"/>
    </row>
    <row r="197" spans="1:68" s="91" customFormat="1">
      <c r="A197" s="91">
        <v>133</v>
      </c>
      <c r="B197" s="91">
        <f t="shared" si="103"/>
        <v>45708.818961487559</v>
      </c>
      <c r="C197" s="91" t="str">
        <f t="shared" si="104"/>
        <v>287196.97970735j</v>
      </c>
      <c r="D197" s="91">
        <f t="shared" si="105"/>
        <v>0.99309323593106102</v>
      </c>
      <c r="E197" s="91" t="str">
        <f t="shared" si="106"/>
        <v>-0.130544081685159j</v>
      </c>
      <c r="F197" s="91" t="str">
        <f t="shared" si="107"/>
        <v>0.993093235931061-0.130544081685159j</v>
      </c>
      <c r="G197" s="91">
        <f t="shared" si="108"/>
        <v>1.420394124921389E-2</v>
      </c>
      <c r="H197" s="91">
        <f t="shared" si="109"/>
        <v>-7.4887071701377712</v>
      </c>
      <c r="J197" s="91">
        <f t="shared" si="110"/>
        <v>7.1641791044776131</v>
      </c>
      <c r="K197" s="91" t="str">
        <f t="shared" si="111"/>
        <v>1+7.12966502123496j</v>
      </c>
      <c r="L197" s="91">
        <f t="shared" si="112"/>
        <v>-7.3127189079892414</v>
      </c>
      <c r="M197" s="91" t="str">
        <f t="shared" si="113"/>
        <v>1.2935652022565j</v>
      </c>
      <c r="N197" s="91" t="str">
        <f t="shared" si="114"/>
        <v>-7.31271890798924+1.2935652022565j</v>
      </c>
      <c r="O197" s="91" t="str">
        <f t="shared" si="115"/>
        <v>0.0346327553103492-0.968841464201081j</v>
      </c>
      <c r="P197" s="91" t="str">
        <f t="shared" si="116"/>
        <v>0.24811526192489-6.94095377338088j</v>
      </c>
      <c r="R197" s="91">
        <f t="shared" si="117"/>
        <v>11.82089552238806</v>
      </c>
      <c r="S197" s="91" t="str">
        <f t="shared" si="118"/>
        <v>1+0.0215397734780512j</v>
      </c>
      <c r="T197" s="91" t="str">
        <f t="shared" si="119"/>
        <v>-7.31271890798924+1.2935652022565j</v>
      </c>
      <c r="U197" s="91" t="str">
        <f t="shared" si="120"/>
        <v>-0.132093664698533-0.0263119017689029j</v>
      </c>
      <c r="V197" s="91" t="str">
        <f t="shared" si="121"/>
        <v>-1.56146540957072-0.311030241805539j</v>
      </c>
      <c r="X197" s="91" t="str">
        <f t="shared" si="122"/>
        <v>-0.123502068646962-1.29650332153717j</v>
      </c>
      <c r="Y197" s="91">
        <f t="shared" si="123"/>
        <v>2.2947030544595637</v>
      </c>
      <c r="Z197" s="91">
        <f t="shared" si="124"/>
        <v>84.558548482709298</v>
      </c>
      <c r="AB197" s="91" t="str">
        <f t="shared" si="125"/>
        <v>-1.46160788958891-0.291139497895571j</v>
      </c>
      <c r="AC197" s="91">
        <f t="shared" si="126"/>
        <v>3.4656025758096769</v>
      </c>
      <c r="AD197" s="91">
        <f t="shared" si="127"/>
        <v>11.265369644834749</v>
      </c>
      <c r="AF197" s="91" t="str">
        <f t="shared" si="128"/>
        <v>-0.368954852096175-0.877915008821144j</v>
      </c>
      <c r="AG197" s="91">
        <f t="shared" si="129"/>
        <v>-0.42458582452433913</v>
      </c>
      <c r="AH197" s="91">
        <f t="shared" si="130"/>
        <v>67.204805271634669</v>
      </c>
      <c r="AJ197" s="91" t="str">
        <f t="shared" si="131"/>
        <v>46874.9150462035-63.1046907436323j</v>
      </c>
      <c r="AK197" s="91" t="str">
        <f t="shared" si="132"/>
        <v>15000-0.0000646193204341538j</v>
      </c>
      <c r="AL197" s="91" t="str">
        <f t="shared" si="146"/>
        <v>9999.99999999992-77376.2392796271j</v>
      </c>
      <c r="AM197" s="91" t="str">
        <f t="shared" si="147"/>
        <v>955.54807967643-24098.4837316786j</v>
      </c>
      <c r="AN197" s="91" t="str">
        <f t="shared" si="148"/>
        <v>10955.5480796764-24098.4837316786j</v>
      </c>
      <c r="AO197" s="91" t="str">
        <f t="shared" si="149"/>
        <v>10344.4907399479-4322.41746007971j</v>
      </c>
      <c r="AP197" s="91" t="str">
        <f t="shared" si="150"/>
        <v>0.242424323114921+0.000247241761438422j</v>
      </c>
      <c r="AQ197" s="91" t="str">
        <f t="shared" si="133"/>
        <v>1+39.2885468239655j</v>
      </c>
      <c r="AR197" s="91">
        <f t="shared" si="134"/>
        <v>-1.0283551984933684E-6</v>
      </c>
      <c r="AS197" s="91" t="str">
        <f t="shared" si="135"/>
        <v>0.00218665462015623j</v>
      </c>
      <c r="AT197" s="91" t="str">
        <f t="shared" si="136"/>
        <v>-1.02835519849337E-06+0.00218665462015623j</v>
      </c>
      <c r="AU197" s="91" t="str">
        <f t="shared" si="137"/>
        <v>5.39016095438643-0.1397308002927j</v>
      </c>
      <c r="AW197" s="91" t="str">
        <f t="shared" si="151"/>
        <v>1.25219870150284-0.283012976761595j</v>
      </c>
      <c r="AX197" s="91">
        <f t="shared" si="138"/>
        <v>2.1698301471803996</v>
      </c>
      <c r="AY197" s="91">
        <f t="shared" si="139"/>
        <v>167.26439367579175</v>
      </c>
      <c r="AZ197" s="91" t="str">
        <f t="shared" si="140"/>
        <v>-1.91261975740184+0.0490894984697667j</v>
      </c>
      <c r="BA197" s="91">
        <f t="shared" si="141"/>
        <v>5.6354327229900694</v>
      </c>
      <c r="BB197" s="91">
        <f t="shared" si="142"/>
        <v>-1.4702366793734711</v>
      </c>
      <c r="BD197" s="91" t="str">
        <f t="shared" si="143"/>
        <v>-0.710466126698155-0.994905023093318j</v>
      </c>
      <c r="BE197" s="91">
        <f t="shared" si="144"/>
        <v>1.7452443226560519</v>
      </c>
      <c r="BF197" s="91">
        <f t="shared" si="145"/>
        <v>54.469198947426491</v>
      </c>
      <c r="BH197" s="91">
        <f t="shared" si="152"/>
        <v>-0.74524432265605189</v>
      </c>
      <c r="BI197" s="112">
        <f t="shared" si="153"/>
        <v>-54.469198947426491</v>
      </c>
      <c r="BJ197" s="95"/>
      <c r="BK197" s="95"/>
      <c r="BL197" s="95"/>
      <c r="BM197" s="95"/>
      <c r="BN197" s="46"/>
      <c r="BO197" s="46"/>
      <c r="BP197" s="46"/>
    </row>
    <row r="198" spans="1:68" s="91" customFormat="1">
      <c r="A198" s="91">
        <v>134</v>
      </c>
      <c r="B198" s="91">
        <f t="shared" si="103"/>
        <v>47863.009232263888</v>
      </c>
      <c r="C198" s="91" t="str">
        <f t="shared" si="104"/>
        <v>300732.156365561j</v>
      </c>
      <c r="D198" s="91">
        <f t="shared" si="105"/>
        <v>0.99242688379250321</v>
      </c>
      <c r="E198" s="91" t="str">
        <f t="shared" si="106"/>
        <v>-0.136696434711619j</v>
      </c>
      <c r="F198" s="91" t="str">
        <f t="shared" si="107"/>
        <v>0.992426883792503-0.136696434711619j</v>
      </c>
      <c r="G198" s="91">
        <f t="shared" si="108"/>
        <v>1.5593695492922853E-2</v>
      </c>
      <c r="H198" s="91">
        <f t="shared" si="109"/>
        <v>-7.8425467332200371</v>
      </c>
      <c r="J198" s="91">
        <f t="shared" si="110"/>
        <v>7.1641791044776131</v>
      </c>
      <c r="K198" s="91" t="str">
        <f t="shared" si="111"/>
        <v>1+7.46567578177505j</v>
      </c>
      <c r="L198" s="91">
        <f t="shared" si="112"/>
        <v>-8.1147150332773847</v>
      </c>
      <c r="M198" s="91" t="str">
        <f t="shared" si="113"/>
        <v>1.35452905204802j</v>
      </c>
      <c r="N198" s="91" t="str">
        <f t="shared" si="114"/>
        <v>-8.11471503327738+1.35452905204802j</v>
      </c>
      <c r="O198" s="91" t="str">
        <f t="shared" si="115"/>
        <v>0.0295162655972552-0.915090069344863j</v>
      </c>
      <c r="P198" s="91" t="str">
        <f t="shared" si="116"/>
        <v>0.211459813234067-6.55586915351544j</v>
      </c>
      <c r="R198" s="91">
        <f t="shared" si="117"/>
        <v>11.82089552238806</v>
      </c>
      <c r="S198" s="91" t="str">
        <f t="shared" si="118"/>
        <v>1+0.0225549117274171j</v>
      </c>
      <c r="T198" s="91" t="str">
        <f t="shared" si="119"/>
        <v>-8.11471503327738+1.35452905204802j</v>
      </c>
      <c r="U198" s="91" t="str">
        <f t="shared" si="120"/>
        <v>-0.119440953596917-0.0227168979591768j</v>
      </c>
      <c r="V198" s="91" t="str">
        <f t="shared" si="121"/>
        <v>-1.41189903356356-0.26853407736818j</v>
      </c>
      <c r="X198" s="91" t="str">
        <f t="shared" si="122"/>
        <v>-0.128483100588511-1.223439537665j</v>
      </c>
      <c r="Y198" s="91">
        <f t="shared" si="123"/>
        <v>1.7992853599238836</v>
      </c>
      <c r="Z198" s="91">
        <f t="shared" si="124"/>
        <v>84.004890346262798</v>
      </c>
      <c r="AB198" s="91" t="str">
        <f t="shared" si="125"/>
        <v>-1.32160645641634-0.251361012353591j</v>
      </c>
      <c r="AC198" s="91">
        <f t="shared" si="126"/>
        <v>2.5763681920804755</v>
      </c>
      <c r="AD198" s="91">
        <f t="shared" si="127"/>
        <v>10.768669447968222</v>
      </c>
      <c r="AF198" s="91" t="str">
        <f t="shared" si="128"/>
        <v>-0.37417902985554-0.813692117872708j</v>
      </c>
      <c r="AG198" s="91">
        <f t="shared" si="129"/>
        <v>-0.95768879811165342</v>
      </c>
      <c r="AH198" s="91">
        <f t="shared" si="130"/>
        <v>65.304506096089412</v>
      </c>
      <c r="AJ198" s="91" t="str">
        <f t="shared" si="131"/>
        <v>46874.9068500307-66.078711639584j</v>
      </c>
      <c r="AK198" s="91" t="str">
        <f t="shared" si="132"/>
        <v>15000-0.0000676647351822513j</v>
      </c>
      <c r="AL198" s="91" t="str">
        <f t="shared" si="146"/>
        <v>10000-73893.7348462651j</v>
      </c>
      <c r="AM198" s="91" t="str">
        <f t="shared" si="147"/>
        <v>954.822034092679-23021.6525799899j</v>
      </c>
      <c r="AN198" s="91" t="str">
        <f t="shared" si="148"/>
        <v>10954.8220340927-23021.6525799899j</v>
      </c>
      <c r="AO198" s="91" t="str">
        <f t="shared" si="149"/>
        <v>10148.225389399-4303.47275699035j</v>
      </c>
      <c r="AP198" s="91" t="str">
        <f t="shared" si="150"/>
        <v>0.242424330899811+0.00025889390401212j</v>
      </c>
      <c r="AQ198" s="91" t="str">
        <f t="shared" si="133"/>
        <v>1+41.1401589908087j</v>
      </c>
      <c r="AR198" s="91">
        <f t="shared" si="134"/>
        <v>-1.1372168726527931E-6</v>
      </c>
      <c r="AS198" s="91" t="str">
        <f t="shared" si="135"/>
        <v>0.00228970847749298j</v>
      </c>
      <c r="AT198" s="91" t="str">
        <f t="shared" si="136"/>
        <v>-1.13721687265279E-06+0.00228970847749298j</v>
      </c>
      <c r="AU198" s="91" t="str">
        <f t="shared" si="137"/>
        <v>5.39016026484165-0.13369814725701j</v>
      </c>
      <c r="AW198" s="91" t="str">
        <f t="shared" si="151"/>
        <v>1.24775473022772-0.292401035268998j</v>
      </c>
      <c r="AX198" s="91">
        <f t="shared" si="138"/>
        <v>2.1547635349578966</v>
      </c>
      <c r="AY198" s="91">
        <f t="shared" si="139"/>
        <v>166.81119482794483</v>
      </c>
      <c r="AZ198" s="91" t="str">
        <f t="shared" si="140"/>
        <v>-1.72253892773144+0.0728022039153096j</v>
      </c>
      <c r="BA198" s="91">
        <f t="shared" si="141"/>
        <v>4.7311317270383899</v>
      </c>
      <c r="BB198" s="91">
        <f t="shared" si="142"/>
        <v>-2.4201357240870038</v>
      </c>
      <c r="BD198" s="91" t="str">
        <f t="shared" si="143"/>
        <v>-0.704808072110474-0.905877853318975j</v>
      </c>
      <c r="BE198" s="91">
        <f t="shared" si="144"/>
        <v>1.197074736846256</v>
      </c>
      <c r="BF198" s="91">
        <f t="shared" si="145"/>
        <v>52.115700924034215</v>
      </c>
      <c r="BH198" s="91">
        <f t="shared" si="152"/>
        <v>-0.19707473684625598</v>
      </c>
      <c r="BI198" s="112">
        <f t="shared" si="153"/>
        <v>-52.115700924034215</v>
      </c>
      <c r="BJ198" s="95"/>
      <c r="BK198" s="95"/>
      <c r="BL198" s="95"/>
      <c r="BM198" s="95"/>
      <c r="BN198" s="46"/>
      <c r="BO198" s="46"/>
      <c r="BP198" s="46"/>
    </row>
    <row r="199" spans="1:68" s="91" customFormat="1">
      <c r="A199" s="91">
        <v>135</v>
      </c>
      <c r="B199" s="91">
        <f t="shared" si="103"/>
        <v>50118.723362727265</v>
      </c>
      <c r="C199" s="91" t="str">
        <f t="shared" si="104"/>
        <v>314905.226247286j</v>
      </c>
      <c r="D199" s="91">
        <f t="shared" si="105"/>
        <v>0.9916962432016212</v>
      </c>
      <c r="E199" s="91" t="str">
        <f t="shared" si="106"/>
        <v>-0.143138739203312j</v>
      </c>
      <c r="F199" s="91" t="str">
        <f t="shared" si="107"/>
        <v>0.991696243201621-0.143138739203312j</v>
      </c>
      <c r="G199" s="91">
        <f t="shared" si="108"/>
        <v>1.71214351416429E-2</v>
      </c>
      <c r="H199" s="91">
        <f t="shared" si="109"/>
        <v>-8.213194626175726</v>
      </c>
      <c r="J199" s="91">
        <f t="shared" si="110"/>
        <v>7.1641791044776131</v>
      </c>
      <c r="K199" s="91" t="str">
        <f t="shared" si="111"/>
        <v>1+7.81752224158887j</v>
      </c>
      <c r="L199" s="91">
        <f t="shared" si="112"/>
        <v>-8.9940862980471632</v>
      </c>
      <c r="M199" s="91" t="str">
        <f t="shared" si="113"/>
        <v>1.4183660395638j</v>
      </c>
      <c r="N199" s="91" t="str">
        <f t="shared" si="114"/>
        <v>-8.99408629804716+1.4183660395638j</v>
      </c>
      <c r="O199" s="91" t="str">
        <f t="shared" si="115"/>
        <v>0.0252579809245156-0.865201524796042j</v>
      </c>
      <c r="P199" s="91" t="str">
        <f t="shared" si="116"/>
        <v>0.180952699160709-6.19845868510597j</v>
      </c>
      <c r="R199" s="91">
        <f t="shared" si="117"/>
        <v>11.82089552238806</v>
      </c>
      <c r="S199" s="91" t="str">
        <f t="shared" si="118"/>
        <v>1+0.0236178919685464j</v>
      </c>
      <c r="T199" s="91" t="str">
        <f t="shared" si="119"/>
        <v>-8.99408629804716+1.4183660395638j</v>
      </c>
      <c r="U199" s="91" t="str">
        <f t="shared" si="120"/>
        <v>-0.108082137301694-0.019670472256771j</v>
      </c>
      <c r="V199" s="91" t="str">
        <f t="shared" si="121"/>
        <v>-1.27762765287973-0.232522597423323j</v>
      </c>
      <c r="X199" s="91" t="str">
        <f t="shared" si="122"/>
        <v>-0.132505098970345-1.15562522070712j</v>
      </c>
      <c r="Y199" s="91">
        <f t="shared" si="123"/>
        <v>1.3130654402453286</v>
      </c>
      <c r="Z199" s="91">
        <f t="shared" si="124"/>
        <v>83.458976261414321</v>
      </c>
      <c r="AB199" s="91" t="str">
        <f t="shared" si="125"/>
        <v>-1.19592188591572-0.217652508226275j</v>
      </c>
      <c r="AC199" s="91">
        <f t="shared" si="126"/>
        <v>1.6955740312362257</v>
      </c>
      <c r="AD199" s="91">
        <f t="shared" si="127"/>
        <v>10.314685583704602</v>
      </c>
      <c r="AF199" s="91" t="str">
        <f t="shared" si="128"/>
        <v>-0.376400857781299-0.752316620881012j</v>
      </c>
      <c r="AG199" s="91">
        <f t="shared" si="129"/>
        <v>-1.501766383561169</v>
      </c>
      <c r="AH199" s="91">
        <f t="shared" si="130"/>
        <v>63.420172973132935</v>
      </c>
      <c r="AJ199" s="91" t="str">
        <f t="shared" si="131"/>
        <v>46874.8978631093-69.1928921104726j</v>
      </c>
      <c r="AK199" s="91" t="str">
        <f t="shared" si="132"/>
        <v>15000-0.0000708536759056394j</v>
      </c>
      <c r="AL199" s="91" t="str">
        <f t="shared" si="146"/>
        <v>10000-70567.9689316166j</v>
      </c>
      <c r="AM199" s="91" t="str">
        <f t="shared" si="147"/>
        <v>954.02720802033-21993.6404747807j</v>
      </c>
      <c r="AN199" s="91" t="str">
        <f t="shared" si="148"/>
        <v>10954.0272080203-21993.6404747807j</v>
      </c>
      <c r="AO199" s="91" t="str">
        <f t="shared" si="149"/>
        <v>9954.20724904359-4275.84323836023j</v>
      </c>
      <c r="AP199" s="91" t="str">
        <f t="shared" si="150"/>
        <v>0.242424339435774+0.000271095194752841j</v>
      </c>
      <c r="AQ199" s="91" t="str">
        <f t="shared" si="133"/>
        <v>1+43.0790349506287j</v>
      </c>
      <c r="AR199" s="91">
        <f t="shared" si="134"/>
        <v>-1.2565813247642486E-6</v>
      </c>
      <c r="AS199" s="91" t="str">
        <f t="shared" si="135"/>
        <v>0.00239761911349706j</v>
      </c>
      <c r="AT199" s="91" t="str">
        <f t="shared" si="136"/>
        <v>-1.25658132476425E-06+0.00239761911349706j</v>
      </c>
      <c r="AU199" s="91" t="str">
        <f t="shared" si="137"/>
        <v>5.39015961042579-0.127949085898183j</v>
      </c>
      <c r="AW199" s="91" t="str">
        <f t="shared" si="151"/>
        <v>1.24291664381379-0.302244473445051j</v>
      </c>
      <c r="AX199" s="91">
        <f t="shared" si="138"/>
        <v>2.138346644146738</v>
      </c>
      <c r="AY199" s="91">
        <f t="shared" si="139"/>
        <v>166.33246208646449</v>
      </c>
      <c r="AZ199" s="91" t="str">
        <f t="shared" si="140"/>
        <v>-1.55221548444867+0.0909368556477534j</v>
      </c>
      <c r="BA199" s="91">
        <f t="shared" si="141"/>
        <v>3.8339206753829611</v>
      </c>
      <c r="BB199" s="91">
        <f t="shared" si="142"/>
        <v>-3.3528523298309096</v>
      </c>
      <c r="BD199" s="91" t="str">
        <f t="shared" si="143"/>
        <v>-0.695218431824305-0.821301770446385j</v>
      </c>
      <c r="BE199" s="91">
        <f t="shared" si="144"/>
        <v>0.63658026058556982</v>
      </c>
      <c r="BF199" s="91">
        <f t="shared" si="145"/>
        <v>49.752635059597452</v>
      </c>
      <c r="BH199" s="91">
        <f t="shared" si="152"/>
        <v>0.36341973941443018</v>
      </c>
      <c r="BI199" s="112">
        <f t="shared" si="153"/>
        <v>-49.752635059597452</v>
      </c>
      <c r="BJ199" s="95"/>
      <c r="BK199" s="95"/>
      <c r="BL199" s="95"/>
      <c r="BM199" s="95"/>
      <c r="BN199" s="46"/>
      <c r="BO199" s="46"/>
      <c r="BP199" s="46"/>
    </row>
    <row r="200" spans="1:68" s="91" customFormat="1">
      <c r="A200" s="91">
        <v>136</v>
      </c>
      <c r="B200" s="91">
        <f t="shared" si="103"/>
        <v>52480.746024977292</v>
      </c>
      <c r="C200" s="91" t="str">
        <f t="shared" si="104"/>
        <v>329746.252333961j</v>
      </c>
      <c r="D200" s="91">
        <f t="shared" si="105"/>
        <v>0.99089511172450195</v>
      </c>
      <c r="E200" s="91" t="str">
        <f t="shared" si="106"/>
        <v>-0.1498846601518j</v>
      </c>
      <c r="F200" s="91" t="str">
        <f t="shared" si="107"/>
        <v>0.990895111724502-0.1498846601518j</v>
      </c>
      <c r="G200" s="91">
        <f t="shared" si="108"/>
        <v>1.8801257320513666E-2</v>
      </c>
      <c r="H200" s="91">
        <f t="shared" si="109"/>
        <v>-8.6014620738330159</v>
      </c>
      <c r="J200" s="91">
        <f t="shared" si="110"/>
        <v>7.1641791044776131</v>
      </c>
      <c r="K200" s="91" t="str">
        <f t="shared" si="111"/>
        <v>1+8.18595071419058j</v>
      </c>
      <c r="L200" s="91">
        <f t="shared" si="112"/>
        <v>-9.9582977161820718</v>
      </c>
      <c r="M200" s="91" t="str">
        <f t="shared" si="113"/>
        <v>1.48521157161315j</v>
      </c>
      <c r="N200" s="91" t="str">
        <f t="shared" si="114"/>
        <v>-9.95829771618207+1.48521157161315j</v>
      </c>
      <c r="O200" s="91" t="str">
        <f t="shared" si="115"/>
        <v>0.0216976822678277-0.818787035474903j</v>
      </c>
      <c r="P200" s="91" t="str">
        <f t="shared" si="116"/>
        <v>0.155446081918766-5.86593697056647j</v>
      </c>
      <c r="R200" s="91">
        <f t="shared" si="117"/>
        <v>11.82089552238806</v>
      </c>
      <c r="S200" s="91" t="str">
        <f t="shared" si="118"/>
        <v>1+0.0247309689250471j</v>
      </c>
      <c r="T200" s="91" t="str">
        <f t="shared" si="119"/>
        <v>-9.95829771618207+1.48521157161315j</v>
      </c>
      <c r="U200" s="91" t="str">
        <f t="shared" si="120"/>
        <v>-0.0978713609864107-0.0170802934034797j</v>
      </c>
      <c r="V200" s="91" t="str">
        <f t="shared" si="121"/>
        <v>-1.15692713285429-0.201904363814268j</v>
      </c>
      <c r="X200" s="91" t="str">
        <f t="shared" si="122"/>
        <v>-0.135761380259884-1.09252386930257j</v>
      </c>
      <c r="Y200" s="91">
        <f t="shared" si="123"/>
        <v>0.83516794141648121</v>
      </c>
      <c r="Z200" s="91">
        <f t="shared" si="124"/>
        <v>82.916508635890082</v>
      </c>
      <c r="AB200" s="91" t="str">
        <f t="shared" si="125"/>
        <v>-1.0829403038292-0.188992346090135j</v>
      </c>
      <c r="AC200" s="91">
        <f t="shared" si="126"/>
        <v>0.8223867980131474</v>
      </c>
      <c r="AD200" s="91">
        <f t="shared" si="127"/>
        <v>9.8994355737249577</v>
      </c>
      <c r="AF200" s="91" t="str">
        <f t="shared" si="128"/>
        <v>-0.375899958922723-0.69387320814637j</v>
      </c>
      <c r="AG200" s="91">
        <f t="shared" si="129"/>
        <v>-2.0567872648421601</v>
      </c>
      <c r="AH200" s="91">
        <f t="shared" si="130"/>
        <v>61.553753518729437</v>
      </c>
      <c r="AJ200" s="91" t="str">
        <f t="shared" si="131"/>
        <v>46874.8880091499-72.4538374199591j</v>
      </c>
      <c r="AK200" s="91" t="str">
        <f t="shared" si="132"/>
        <v>15000-0.0000741929067751413j</v>
      </c>
      <c r="AL200" s="91" t="str">
        <f t="shared" si="146"/>
        <v>10000-67391.8871402852j</v>
      </c>
      <c r="AM200" s="91" t="str">
        <f t="shared" si="147"/>
        <v>953.157218115449-21012.2649809515j</v>
      </c>
      <c r="AN200" s="91" t="str">
        <f t="shared" si="148"/>
        <v>10953.1572181154-21012.2649809515j</v>
      </c>
      <c r="AO200" s="91" t="str">
        <f t="shared" si="149"/>
        <v>9763.19926113718-4239.83270863509j</v>
      </c>
      <c r="AP200" s="91" t="str">
        <f t="shared" si="150"/>
        <v>0.24242434879527+0.000283871514157971j</v>
      </c>
      <c r="AQ200" s="91" t="str">
        <f t="shared" si="133"/>
        <v>1+45.1092873192859j</v>
      </c>
      <c r="AR200" s="91">
        <f t="shared" si="134"/>
        <v>-1.3874618438990349E-6</v>
      </c>
      <c r="AS200" s="91" t="str">
        <f t="shared" si="135"/>
        <v>0.00251061542109527j</v>
      </c>
      <c r="AT200" s="91" t="str">
        <f t="shared" si="136"/>
        <v>-1.38746184389903E-06+0.00251061542109527j</v>
      </c>
      <c r="AU200" s="91" t="str">
        <f t="shared" si="137"/>
        <v>5.39015898558351-0.122471421684691j</v>
      </c>
      <c r="AW200" s="91" t="str">
        <f t="shared" si="151"/>
        <v>1.23765295321078-0.312541854923196j</v>
      </c>
      <c r="AX200" s="91">
        <f t="shared" si="138"/>
        <v>2.1204563449354246</v>
      </c>
      <c r="AY200" s="91">
        <f t="shared" si="139"/>
        <v>165.82752171807033</v>
      </c>
      <c r="AZ200" s="91" t="str">
        <f t="shared" si="140"/>
        <v>-1.39937228359849+0.104557236057179j</v>
      </c>
      <c r="BA200" s="91">
        <f t="shared" si="141"/>
        <v>2.9428431429485964</v>
      </c>
      <c r="BB200" s="91">
        <f t="shared" si="142"/>
        <v>-4.2730427082047413</v>
      </c>
      <c r="BD200" s="91" t="str">
        <f t="shared" si="143"/>
        <v>-0.682098113828096-0.741289754788934j</v>
      </c>
      <c r="BE200" s="91">
        <f t="shared" si="144"/>
        <v>6.3669080093286368E-2</v>
      </c>
      <c r="BF200" s="91">
        <f t="shared" si="145"/>
        <v>47.381275236799752</v>
      </c>
      <c r="BH200" s="91">
        <f t="shared" si="152"/>
        <v>0.93633091990671358</v>
      </c>
      <c r="BI200" s="112">
        <f t="shared" si="153"/>
        <v>-47.381275236799752</v>
      </c>
      <c r="BJ200" s="95"/>
      <c r="BK200" s="95"/>
      <c r="BL200" s="95"/>
      <c r="BM200" s="95"/>
      <c r="BN200" s="46"/>
      <c r="BO200" s="46"/>
      <c r="BP200" s="46"/>
    </row>
    <row r="201" spans="1:68" s="91" customFormat="1">
      <c r="A201" s="91">
        <v>137</v>
      </c>
      <c r="B201" s="91">
        <f t="shared" si="103"/>
        <v>54954.087385762534</v>
      </c>
      <c r="C201" s="91" t="str">
        <f t="shared" si="104"/>
        <v>345286.714431686j</v>
      </c>
      <c r="D201" s="91">
        <f t="shared" si="105"/>
        <v>0.99001668852759661</v>
      </c>
      <c r="E201" s="91" t="str">
        <f t="shared" si="106"/>
        <v>-0.156948506559857j</v>
      </c>
      <c r="F201" s="91" t="str">
        <f t="shared" si="107"/>
        <v>0.990016688527597-0.156948506559857j</v>
      </c>
      <c r="G201" s="91">
        <f t="shared" si="108"/>
        <v>2.0648776241922399E-2</v>
      </c>
      <c r="H201" s="91">
        <f t="shared" si="109"/>
        <v>-9.0082012186710951</v>
      </c>
      <c r="J201" s="91">
        <f t="shared" si="110"/>
        <v>7.1641791044776131</v>
      </c>
      <c r="K201" s="91" t="str">
        <f t="shared" si="111"/>
        <v>1+8.5717426857666j</v>
      </c>
      <c r="L201" s="91">
        <f t="shared" si="112"/>
        <v>-11.015534512639357</v>
      </c>
      <c r="M201" s="91" t="str">
        <f t="shared" si="113"/>
        <v>1.55520743653167j</v>
      </c>
      <c r="N201" s="91" t="str">
        <f t="shared" si="114"/>
        <v>-11.0155345126394+1.55520743653167j</v>
      </c>
      <c r="O201" s="91" t="str">
        <f t="shared" si="115"/>
        <v>0.018707909725275-0.775509168042451j</v>
      </c>
      <c r="P201" s="91" t="str">
        <f t="shared" si="116"/>
        <v>0.134026815942269-5.55588657702055j</v>
      </c>
      <c r="R201" s="91">
        <f t="shared" si="117"/>
        <v>11.82089552238806</v>
      </c>
      <c r="S201" s="91" t="str">
        <f t="shared" si="118"/>
        <v>1+0.0258965035823764j</v>
      </c>
      <c r="T201" s="91" t="str">
        <f t="shared" si="119"/>
        <v>-11.0155345126394+1.55520743653167j</v>
      </c>
      <c r="U201" s="91" t="str">
        <f t="shared" si="120"/>
        <v>-0.0886813234723248-0.0148712127532298j</v>
      </c>
      <c r="V201" s="91" t="str">
        <f t="shared" si="121"/>
        <v>-1.04829265955345-0.175791052247134j</v>
      </c>
      <c r="X201" s="91" t="str">
        <f t="shared" si="122"/>
        <v>-0.138404053906635-1.03367045101151j</v>
      </c>
      <c r="Y201" s="91">
        <f t="shared" si="123"/>
        <v>0.36481291361552382</v>
      </c>
      <c r="Z201" s="91">
        <f t="shared" si="124"/>
        <v>82.373699169013506</v>
      </c>
      <c r="AB201" s="91" t="str">
        <f t="shared" si="125"/>
        <v>-0.981253130815555-0.164549011017916j</v>
      </c>
      <c r="AC201" s="91">
        <f t="shared" si="126"/>
        <v>-4.393722585648252E-2</v>
      </c>
      <c r="AD201" s="91">
        <f t="shared" si="127"/>
        <v>9.5195125755599292</v>
      </c>
      <c r="AF201" s="91" t="str">
        <f t="shared" si="128"/>
        <v>-0.37295449451789-0.638421123111212j</v>
      </c>
      <c r="AG201" s="91">
        <f t="shared" si="129"/>
        <v>-2.6226952688132386</v>
      </c>
      <c r="AH201" s="91">
        <f t="shared" si="130"/>
        <v>59.707271942657272</v>
      </c>
      <c r="AJ201" s="91" t="str">
        <f t="shared" si="131"/>
        <v>46874.877204503-75.8684640906168j</v>
      </c>
      <c r="AK201" s="91" t="str">
        <f t="shared" si="132"/>
        <v>15000-0.0000776895107471293j</v>
      </c>
      <c r="AL201" s="91" t="str">
        <f t="shared" si="146"/>
        <v>10000-64358.7525769654j</v>
      </c>
      <c r="AM201" s="91" t="str">
        <f t="shared" si="147"/>
        <v>952.205115051587-20075.4423163262j</v>
      </c>
      <c r="AN201" s="91" t="str">
        <f t="shared" si="148"/>
        <v>10952.2051150516-20075.4423163262j</v>
      </c>
      <c r="AO201" s="91" t="str">
        <f t="shared" si="149"/>
        <v>9575.91509257578-4195.82472094518j</v>
      </c>
      <c r="AP201" s="91" t="str">
        <f t="shared" si="150"/>
        <v>0.242424359057753+0.000297249962426503j</v>
      </c>
      <c r="AQ201" s="91" t="str">
        <f t="shared" si="133"/>
        <v>1+47.2352225342546j</v>
      </c>
      <c r="AR201" s="91">
        <f t="shared" si="134"/>
        <v>-1.530969479430237E-6</v>
      </c>
      <c r="AS201" s="91" t="str">
        <f t="shared" si="135"/>
        <v>0.00262893708060568j</v>
      </c>
      <c r="AT201" s="91" t="str">
        <f t="shared" si="136"/>
        <v>-1.53096947943024E-06+0.00262893708060568j</v>
      </c>
      <c r="AU201" s="91" t="str">
        <f t="shared" si="137"/>
        <v>5.39015838501051-0.117253535754354j</v>
      </c>
      <c r="AW201" s="91" t="str">
        <f t="shared" si="151"/>
        <v>1.23193031578218-0.32328990433486j</v>
      </c>
      <c r="AX201" s="91">
        <f t="shared" si="138"/>
        <v>2.1009600804542607</v>
      </c>
      <c r="AY201" s="91">
        <f t="shared" si="139"/>
        <v>165.2956906178681</v>
      </c>
      <c r="AZ201" s="91" t="str">
        <f t="shared" si="140"/>
        <v>-1.26203251333824+0.114516315684696j</v>
      </c>
      <c r="BA201" s="91">
        <f t="shared" si="141"/>
        <v>2.0570228545977951</v>
      </c>
      <c r="BB201" s="91">
        <f t="shared" si="142"/>
        <v>-5.184796806571967</v>
      </c>
      <c r="BD201" s="91" t="str">
        <f t="shared" si="143"/>
        <v>-0.665849052019786-0.665917912942466j</v>
      </c>
      <c r="BE201" s="91">
        <f t="shared" si="144"/>
        <v>-0.52173518835896415</v>
      </c>
      <c r="BF201" s="91">
        <f t="shared" si="145"/>
        <v>45.00296256052539</v>
      </c>
      <c r="BH201" s="91">
        <f t="shared" si="152"/>
        <v>1.521735188358964</v>
      </c>
      <c r="BI201" s="112">
        <f t="shared" si="153"/>
        <v>-45.00296256052539</v>
      </c>
      <c r="BJ201" s="95"/>
      <c r="BK201" s="95"/>
      <c r="BL201" s="95"/>
      <c r="BM201" s="95"/>
      <c r="BN201" s="46"/>
      <c r="BO201" s="46"/>
      <c r="BP201" s="46"/>
    </row>
    <row r="202" spans="1:68" s="91" customFormat="1">
      <c r="A202" s="91">
        <v>138</v>
      </c>
      <c r="B202" s="91">
        <f t="shared" si="103"/>
        <v>57543.993733715761</v>
      </c>
      <c r="C202" s="91" t="str">
        <f t="shared" si="104"/>
        <v>361559.575944117j</v>
      </c>
      <c r="D202" s="91">
        <f t="shared" si="105"/>
        <v>0.98905351664520358</v>
      </c>
      <c r="E202" s="91" t="str">
        <f t="shared" si="106"/>
        <v>-0.16434526179278j</v>
      </c>
      <c r="F202" s="91" t="str">
        <f t="shared" si="107"/>
        <v>0.989053516645204-0.16434526179278j</v>
      </c>
      <c r="G202" s="91">
        <f t="shared" si="108"/>
        <v>2.2681300796303934E-2</v>
      </c>
      <c r="H202" s="91">
        <f t="shared" si="109"/>
        <v>-9.4343074109533642</v>
      </c>
      <c r="J202" s="91">
        <f t="shared" si="110"/>
        <v>7.1641791044776131</v>
      </c>
      <c r="K202" s="91" t="str">
        <f t="shared" si="111"/>
        <v>1+8.9757164728127j</v>
      </c>
      <c r="L202" s="91">
        <f t="shared" si="112"/>
        <v>-12.174771608114984</v>
      </c>
      <c r="M202" s="91" t="str">
        <f t="shared" si="113"/>
        <v>1.62850210493337j</v>
      </c>
      <c r="N202" s="91" t="str">
        <f t="shared" si="114"/>
        <v>-12.174771608115+1.62850210493337j</v>
      </c>
      <c r="O202" s="91" t="str">
        <f t="shared" si="115"/>
        <v>0.0161866965848715-0.73507386351192j</v>
      </c>
      <c r="P202" s="91" t="str">
        <f t="shared" si="116"/>
        <v>0.115964393443856-5.26620081321973j</v>
      </c>
      <c r="R202" s="91">
        <f t="shared" si="117"/>
        <v>11.82089552238806</v>
      </c>
      <c r="S202" s="91" t="str">
        <f t="shared" si="118"/>
        <v>1+0.0271169681958088j</v>
      </c>
      <c r="T202" s="91" t="str">
        <f t="shared" si="119"/>
        <v>-12.174771608115+1.62850210493337j</v>
      </c>
      <c r="U202" s="91" t="str">
        <f t="shared" si="120"/>
        <v>-0.0804006237525136-0.0129817263355796j</v>
      </c>
      <c r="V202" s="91" t="str">
        <f t="shared" si="121"/>
        <v>-0.950407373313295-0.15345563071312j</v>
      </c>
      <c r="X202" s="91" t="str">
        <f t="shared" si="122"/>
        <v>-0.14055338001235-0.978660150934356j</v>
      </c>
      <c r="Y202" s="91">
        <f t="shared" si="123"/>
        <v>-9.8694861592278513E-2</v>
      </c>
      <c r="Z202" s="91">
        <f t="shared" si="124"/>
        <v>81.827170630775726</v>
      </c>
      <c r="AB202" s="91" t="str">
        <f t="shared" si="125"/>
        <v>-0.889627721910331-0.143641965539154j</v>
      </c>
      <c r="AC202" s="91">
        <f t="shared" si="126"/>
        <v>-0.90406266940413182</v>
      </c>
      <c r="AD202" s="91">
        <f t="shared" si="127"/>
        <v>9.1719899106115577</v>
      </c>
      <c r="AF202" s="91" t="str">
        <f t="shared" si="128"/>
        <v>-0.367838938508279-0.58599483075102j</v>
      </c>
      <c r="AG202" s="91">
        <f t="shared" si="129"/>
        <v>-3.1994072192378957</v>
      </c>
      <c r="AH202" s="91">
        <f t="shared" si="130"/>
        <v>57.88280760344567</v>
      </c>
      <c r="AJ202" s="91" t="str">
        <f t="shared" si="131"/>
        <v>46874.865357449-79.4440145675477j</v>
      </c>
      <c r="AK202" s="91" t="str">
        <f t="shared" si="132"/>
        <v>15000-0.0000813509045874264j</v>
      </c>
      <c r="AL202" s="91" t="str">
        <f t="shared" si="146"/>
        <v>10000-61462.1315565899j</v>
      </c>
      <c r="AM202" s="91" t="str">
        <f t="shared" si="147"/>
        <v>951.163338629056-19181.182894125j</v>
      </c>
      <c r="AN202" s="91" t="str">
        <f t="shared" si="148"/>
        <v>10951.1633386291-19181.182894125j</v>
      </c>
      <c r="AO202" s="91" t="str">
        <f t="shared" si="149"/>
        <v>9393.00917707041-4144.27342557552j</v>
      </c>
      <c r="AP202" s="91" t="str">
        <f t="shared" si="150"/>
        <v>0.242424370310342+0.000311258916940528j</v>
      </c>
      <c r="AQ202" s="91" t="str">
        <f t="shared" si="133"/>
        <v>1+49.4613499891552j</v>
      </c>
      <c r="AR202" s="91">
        <f t="shared" si="134"/>
        <v>-1.6883224727702555E-6</v>
      </c>
      <c r="AS202" s="91" t="str">
        <f t="shared" si="135"/>
        <v>0.0027528350681318j</v>
      </c>
      <c r="AT202" s="91" t="str">
        <f t="shared" si="136"/>
        <v>-1.68832247277026E-06+0.0027528350681318j</v>
      </c>
      <c r="AU202" s="91" t="str">
        <f t="shared" si="137"/>
        <v>5.3901578036085-0.112284360269131j</v>
      </c>
      <c r="AW202" s="91" t="str">
        <f t="shared" si="151"/>
        <v>1.22571355603719-0.334483201328549j</v>
      </c>
      <c r="AX202" s="91">
        <f t="shared" si="138"/>
        <v>2.0797153047208323</v>
      </c>
      <c r="AY202" s="91">
        <f t="shared" si="139"/>
        <v>164.7362805951056</v>
      </c>
      <c r="AZ202" s="91" t="str">
        <f t="shared" si="140"/>
        <v>-1.13847458305064+0.121501624038024j</v>
      </c>
      <c r="BA202" s="91">
        <f t="shared" si="141"/>
        <v>1.1756526353167209</v>
      </c>
      <c r="BB202" s="91">
        <f t="shared" si="142"/>
        <v>-6.0917294942828732</v>
      </c>
      <c r="BD202" s="91" t="str">
        <f t="shared" si="143"/>
        <v>-0.646870600319512-0.595225862093701j</v>
      </c>
      <c r="BE202" s="91">
        <f t="shared" si="144"/>
        <v>-1.1196919145170423</v>
      </c>
      <c r="BF202" s="91">
        <f t="shared" si="145"/>
        <v>42.619088198551253</v>
      </c>
      <c r="BH202" s="91">
        <f t="shared" si="152"/>
        <v>2.1196919145170421</v>
      </c>
      <c r="BI202" s="112">
        <f t="shared" si="153"/>
        <v>-42.619088198551253</v>
      </c>
      <c r="BJ202" s="95"/>
      <c r="BK202" s="95"/>
      <c r="BL202" s="95"/>
      <c r="BM202" s="95"/>
      <c r="BN202" s="46"/>
      <c r="BO202" s="46"/>
      <c r="BP202" s="46"/>
    </row>
    <row r="203" spans="1:68" s="91" customFormat="1">
      <c r="A203" s="91">
        <v>139</v>
      </c>
      <c r="B203" s="91">
        <f t="shared" si="103"/>
        <v>60255.95860743583</v>
      </c>
      <c r="C203" s="91" t="str">
        <f t="shared" si="104"/>
        <v>378599.353792262j</v>
      </c>
      <c r="D203" s="91">
        <f t="shared" si="105"/>
        <v>0.98799741967702148</v>
      </c>
      <c r="E203" s="91" t="str">
        <f t="shared" si="106"/>
        <v>-0.172090615360119j</v>
      </c>
      <c r="F203" s="91" t="str">
        <f t="shared" si="107"/>
        <v>0.987997419677021-0.172090615360119j</v>
      </c>
      <c r="G203" s="91">
        <f t="shared" si="108"/>
        <v>2.4918035419488286E-2</v>
      </c>
      <c r="H203" s="91">
        <f t="shared" si="109"/>
        <v>-9.8807216510432454</v>
      </c>
      <c r="J203" s="91">
        <f t="shared" si="110"/>
        <v>7.1641791044776131</v>
      </c>
      <c r="K203" s="91" t="str">
        <f t="shared" si="111"/>
        <v>1+9.3987289578929j</v>
      </c>
      <c r="L203" s="91">
        <f t="shared" si="112"/>
        <v>-13.445849807464283</v>
      </c>
      <c r="M203" s="91" t="str">
        <f t="shared" si="113"/>
        <v>1.70525104463671j</v>
      </c>
      <c r="N203" s="91" t="str">
        <f t="shared" si="114"/>
        <v>-13.4458498074643+1.70525104463671j</v>
      </c>
      <c r="O203" s="91" t="str">
        <f t="shared" si="115"/>
        <v>0.0140520414615394-0.697223815062031j</v>
      </c>
      <c r="P203" s="91" t="str">
        <f t="shared" si="116"/>
        <v>0.100671341814014-4.99503628701157j</v>
      </c>
      <c r="R203" s="91">
        <f t="shared" si="117"/>
        <v>11.82089552238806</v>
      </c>
      <c r="S203" s="91" t="str">
        <f t="shared" si="118"/>
        <v>1+0.0283949515344196j</v>
      </c>
      <c r="T203" s="91" t="str">
        <f t="shared" si="119"/>
        <v>-13.4458498074643+1.70525104463671j</v>
      </c>
      <c r="U203" s="91" t="str">
        <f t="shared" si="120"/>
        <v>-0.0729315179925742-0.0113612379258761j</v>
      </c>
      <c r="V203" s="91" t="str">
        <f t="shared" si="121"/>
        <v>-0.862115854479385-0.134300006526774j</v>
      </c>
      <c r="X203" s="91" t="str">
        <f t="shared" si="122"/>
        <v>-0.142304855124629-0.927139072287992j</v>
      </c>
      <c r="Y203" s="91">
        <f t="shared" si="123"/>
        <v>-0.55597516301073369</v>
      </c>
      <c r="Z203" s="91">
        <f t="shared" si="124"/>
        <v>81.273877010433807</v>
      </c>
      <c r="AB203" s="91" t="str">
        <f t="shared" si="125"/>
        <v>-0.806982547883128-0.125711365687787j</v>
      </c>
      <c r="AC203" s="91">
        <f t="shared" si="126"/>
        <v>-1.7585842234672704</v>
      </c>
      <c r="AD203" s="91">
        <f t="shared" si="127"/>
        <v>8.8543439923949734</v>
      </c>
      <c r="AF203" s="91" t="str">
        <f t="shared" si="128"/>
        <v>-0.360821875606359-0.536604908455622j</v>
      </c>
      <c r="AG203" s="91">
        <f t="shared" si="129"/>
        <v>-3.7868113751222676</v>
      </c>
      <c r="AH203" s="91">
        <f t="shared" si="130"/>
        <v>56.082471396332025</v>
      </c>
      <c r="AJ203" s="91" t="str">
        <f t="shared" si="131"/>
        <v>46874.8523674194-83.188072572247j</v>
      </c>
      <c r="AK203" s="91" t="str">
        <f t="shared" si="132"/>
        <v>15000-0.000085184854603259j</v>
      </c>
      <c r="AL203" s="91" t="str">
        <f t="shared" si="146"/>
        <v>10000-58695.8799576176j</v>
      </c>
      <c r="AM203" s="91" t="str">
        <f t="shared" si="147"/>
        <v>950.023670403027-18327.5870602716j</v>
      </c>
      <c r="AN203" s="91" t="str">
        <f t="shared" si="148"/>
        <v>10950.023670403-18327.5870602716j</v>
      </c>
      <c r="AO203" s="91" t="str">
        <f t="shared" si="149"/>
        <v>9215.06866436961-4085.69310710012j</v>
      </c>
      <c r="AP203" s="91" t="str">
        <f t="shared" si="150"/>
        <v>0.24242438264856+0.00032592809245555j</v>
      </c>
      <c r="AQ203" s="91" t="str">
        <f t="shared" si="133"/>
        <v>1+51.7923915987814j</v>
      </c>
      <c r="AR203" s="91">
        <f t="shared" si="134"/>
        <v>-1.8608565990654384E-6</v>
      </c>
      <c r="AS203" s="91" t="str">
        <f t="shared" si="135"/>
        <v>0.00288257218791645j</v>
      </c>
      <c r="AT203" s="91" t="str">
        <f t="shared" si="136"/>
        <v>-1.86085659906544E-06+0.00288257218791645j</v>
      </c>
      <c r="AU203" s="91" t="str">
        <f t="shared" si="137"/>
        <v>5.39015723644194-0.10755335493871j</v>
      </c>
      <c r="AW203" s="91" t="str">
        <f t="shared" si="151"/>
        <v>1.218965717622-0.346113850824974j</v>
      </c>
      <c r="AX203" s="91">
        <f t="shared" si="138"/>
        <v>2.0565689322253693</v>
      </c>
      <c r="AY203" s="91">
        <f t="shared" si="139"/>
        <v>164.14860325079152</v>
      </c>
      <c r="AZ203" s="91" t="str">
        <f t="shared" si="140"/>
        <v>-1.02719450545945+0.126069992107524j</v>
      </c>
      <c r="BA203" s="91">
        <f t="shared" si="141"/>
        <v>0.29798470875807093</v>
      </c>
      <c r="BB203" s="91">
        <f t="shared" si="142"/>
        <v>-6.9970527568135594</v>
      </c>
      <c r="BD203" s="91" t="str">
        <f t="shared" si="143"/>
        <v>-0.625555887769378-0.529217538487086j</v>
      </c>
      <c r="BE203" s="91">
        <f t="shared" si="144"/>
        <v>-1.730242442896923</v>
      </c>
      <c r="BF203" s="91">
        <f t="shared" si="145"/>
        <v>40.231074647123478</v>
      </c>
      <c r="BH203" s="91">
        <f t="shared" si="152"/>
        <v>2.7302424428969232</v>
      </c>
      <c r="BI203" s="112">
        <f t="shared" si="153"/>
        <v>-40.231074647123478</v>
      </c>
      <c r="BJ203" s="95"/>
      <c r="BK203" s="95"/>
      <c r="BL203" s="95"/>
      <c r="BM203" s="95"/>
      <c r="BN203" s="46"/>
      <c r="BO203" s="46"/>
      <c r="BP203" s="46"/>
    </row>
    <row r="204" spans="1:68" s="91" customFormat="1">
      <c r="A204" s="91">
        <v>140</v>
      </c>
      <c r="B204" s="91">
        <f t="shared" si="103"/>
        <v>63095.734448019379</v>
      </c>
      <c r="C204" s="91" t="str">
        <f t="shared" si="104"/>
        <v>396442.1916295j</v>
      </c>
      <c r="D204" s="91">
        <f t="shared" si="105"/>
        <v>0.98683943237839677</v>
      </c>
      <c r="E204" s="91" t="str">
        <f t="shared" si="106"/>
        <v>-0.180200996195227j</v>
      </c>
      <c r="F204" s="91" t="str">
        <f t="shared" si="107"/>
        <v>0.986839432378397-0.180200996195227j</v>
      </c>
      <c r="G204" s="91">
        <f t="shared" si="108"/>
        <v>2.7380307668725977E-2</v>
      </c>
      <c r="H204" s="91">
        <f t="shared" si="109"/>
        <v>-10.348433195221549</v>
      </c>
      <c r="J204" s="91">
        <f t="shared" si="110"/>
        <v>7.1641791044776131</v>
      </c>
      <c r="K204" s="91" t="str">
        <f t="shared" si="111"/>
        <v>1+9.84167740720233j</v>
      </c>
      <c r="L204" s="91">
        <f t="shared" si="112"/>
        <v>-14.839559338643825</v>
      </c>
      <c r="M204" s="91" t="str">
        <f t="shared" si="113"/>
        <v>1.78561705043272j</v>
      </c>
      <c r="N204" s="91" t="str">
        <f t="shared" si="114"/>
        <v>-14.8395593386438+1.78561705043272j</v>
      </c>
      <c r="O204" s="91" t="str">
        <f t="shared" si="115"/>
        <v>0.0122376724414795-0.661732965685938j</v>
      </c>
      <c r="P204" s="91" t="str">
        <f t="shared" si="116"/>
        <v>0.087672877192689-4.7407734855112j</v>
      </c>
      <c r="R204" s="91">
        <f t="shared" si="117"/>
        <v>11.82089552238806</v>
      </c>
      <c r="S204" s="91" t="str">
        <f t="shared" si="118"/>
        <v>1+0.0297331643722125j</v>
      </c>
      <c r="T204" s="91" t="str">
        <f t="shared" si="119"/>
        <v>-14.8395593386438+1.78561705043272j</v>
      </c>
      <c r="U204" s="91" t="str">
        <f t="shared" si="120"/>
        <v>-0.0661880234564738-0.00996792588074596j</v>
      </c>
      <c r="V204" s="91" t="str">
        <f t="shared" si="121"/>
        <v>-0.782401710112347-0.117829810411206j</v>
      </c>
      <c r="X204" s="91" t="str">
        <f t="shared" si="122"/>
        <v>-0.143734615446857-0.878796530150488j</v>
      </c>
      <c r="Y204" s="91">
        <f t="shared" si="123"/>
        <v>-1.0075804079295694</v>
      </c>
      <c r="Z204" s="91">
        <f t="shared" si="124"/>
        <v>80.711038072756892</v>
      </c>
      <c r="AB204" s="91" t="str">
        <f t="shared" si="125"/>
        <v>-0.732366215299287-0.110294457674302j</v>
      </c>
      <c r="AC204" s="91">
        <f t="shared" si="126"/>
        <v>-2.6080346249321105</v>
      </c>
      <c r="AD204" s="91">
        <f t="shared" si="127"/>
        <v>8.5643917244705108</v>
      </c>
      <c r="AF204" s="91" t="str">
        <f t="shared" si="128"/>
        <v>-0.352163863509139-0.490239178814393j</v>
      </c>
      <c r="AG204" s="91">
        <f t="shared" si="129"/>
        <v>-4.3847664994233391</v>
      </c>
      <c r="AH204" s="91">
        <f t="shared" si="130"/>
        <v>54.308380733000462</v>
      </c>
      <c r="AJ204" s="91" t="str">
        <f t="shared" si="131"/>
        <v>46874.8381241435-87.1085791791258j</v>
      </c>
      <c r="AK204" s="91" t="str">
        <f t="shared" si="132"/>
        <v>15000-0.0000891994931166375j</v>
      </c>
      <c r="AL204" s="91" t="str">
        <f t="shared" si="146"/>
        <v>10000-56054.1301895291j</v>
      </c>
      <c r="AM204" s="91" t="str">
        <f t="shared" si="147"/>
        <v>948.777183929661-17512.8410159051j</v>
      </c>
      <c r="AN204" s="91" t="str">
        <f t="shared" si="148"/>
        <v>10948.7771839297-17512.8410159051j</v>
      </c>
      <c r="AO204" s="91" t="str">
        <f t="shared" si="149"/>
        <v>9042.60743453545-4020.64684200063j</v>
      </c>
      <c r="AP204" s="91" t="str">
        <f t="shared" si="150"/>
        <v>0.242424396177146+0.000341288604127256j</v>
      </c>
      <c r="AQ204" s="91" t="str">
        <f t="shared" si="133"/>
        <v>1+54.2332918149156j</v>
      </c>
      <c r="AR204" s="91">
        <f t="shared" si="134"/>
        <v>-2.0500365066387339E-6</v>
      </c>
      <c r="AS204" s="91" t="str">
        <f t="shared" si="135"/>
        <v>0.00301842362978486j</v>
      </c>
      <c r="AT204" s="91" t="str">
        <f t="shared" si="136"/>
        <v>-2.05003650663873E-06+0.00301842362978486j</v>
      </c>
      <c r="AU204" s="91" t="str">
        <f t="shared" si="137"/>
        <v>5.39015667869613-0.103050484663082j</v>
      </c>
      <c r="AW204" s="91" t="str">
        <f t="shared" si="151"/>
        <v>1.21164815260193-0.358171130822991j</v>
      </c>
      <c r="AX204" s="91">
        <f t="shared" si="138"/>
        <v>2.0313568091274679</v>
      </c>
      <c r="AY204" s="91">
        <f t="shared" si="139"/>
        <v>163.53197549298466</v>
      </c>
      <c r="AZ204" s="91" t="str">
        <f t="shared" si="140"/>
        <v>-0.926874462424162+0.128674359627j</v>
      </c>
      <c r="BA204" s="91">
        <f t="shared" si="141"/>
        <v>-0.57667781580464128</v>
      </c>
      <c r="BB204" s="91">
        <f t="shared" si="142"/>
        <v>-7.9036327825448325</v>
      </c>
      <c r="BD204" s="91" t="str">
        <f t="shared" si="143"/>
        <v>-0.602288215683693-0.467862466115485j</v>
      </c>
      <c r="BE204" s="91">
        <f t="shared" si="144"/>
        <v>-2.3534096902958637</v>
      </c>
      <c r="BF204" s="91">
        <f t="shared" si="145"/>
        <v>37.84035622598509</v>
      </c>
      <c r="BH204" s="91">
        <f t="shared" si="152"/>
        <v>3.3534096902958637</v>
      </c>
      <c r="BI204" s="112">
        <f t="shared" si="153"/>
        <v>-37.84035622598509</v>
      </c>
      <c r="BJ204" s="95"/>
      <c r="BK204" s="95"/>
      <c r="BL204" s="95"/>
      <c r="BM204" s="95"/>
      <c r="BN204" s="46"/>
      <c r="BO204" s="46"/>
      <c r="BP204" s="46"/>
    </row>
    <row r="205" spans="1:68" s="91" customFormat="1">
      <c r="A205" s="91">
        <v>141</v>
      </c>
      <c r="B205" s="91">
        <f t="shared" si="103"/>
        <v>66069.344800759645</v>
      </c>
      <c r="C205" s="91" t="str">
        <f t="shared" si="104"/>
        <v>415125.936507115j</v>
      </c>
      <c r="D205" s="91">
        <f t="shared" si="105"/>
        <v>0.98556972455404412</v>
      </c>
      <c r="E205" s="91" t="str">
        <f t="shared" si="106"/>
        <v>-0.188693607503234j</v>
      </c>
      <c r="F205" s="91" t="str">
        <f t="shared" si="107"/>
        <v>0.985569724554044-0.188693607503234j</v>
      </c>
      <c r="G205" s="91">
        <f t="shared" si="108"/>
        <v>3.0091826492148983E-2</v>
      </c>
      <c r="H205" s="91">
        <f t="shared" si="109"/>
        <v>-10.838482336855119</v>
      </c>
      <c r="J205" s="91">
        <f t="shared" si="110"/>
        <v>7.1641791044776131</v>
      </c>
      <c r="K205" s="91" t="str">
        <f t="shared" si="111"/>
        <v>1+10.3055013737891j</v>
      </c>
      <c r="L205" s="91">
        <f t="shared" si="112"/>
        <v>-16.367731451339132</v>
      </c>
      <c r="M205" s="91" t="str">
        <f t="shared" si="113"/>
        <v>1.86977058939455j</v>
      </c>
      <c r="N205" s="91" t="str">
        <f t="shared" si="114"/>
        <v>-16.3677314513391+1.86977058939455j</v>
      </c>
      <c r="O205" s="91" t="str">
        <f t="shared" si="115"/>
        <v>0.0106897792599422-0.628401924206806j</v>
      </c>
      <c r="P205" s="91" t="str">
        <f t="shared" si="116"/>
        <v>0.0765834932055561-4.50198393461592j</v>
      </c>
      <c r="R205" s="91">
        <f t="shared" si="117"/>
        <v>11.82089552238806</v>
      </c>
      <c r="S205" s="91" t="str">
        <f t="shared" si="118"/>
        <v>1+0.0311344452380336j</v>
      </c>
      <c r="T205" s="91" t="str">
        <f t="shared" si="119"/>
        <v>-16.3677314513391+1.86977058939455j</v>
      </c>
      <c r="U205" s="91" t="str">
        <f t="shared" si="120"/>
        <v>-0.0600943139686155-0.00876706869934948j</v>
      </c>
      <c r="V205" s="91" t="str">
        <f t="shared" si="121"/>
        <v>-0.710368606912589-0.103634603132609j</v>
      </c>
      <c r="X205" s="91" t="str">
        <f t="shared" si="122"/>
        <v>-0.144903584089908-0.833358646296109j</v>
      </c>
      <c r="Y205" s="91">
        <f t="shared" si="123"/>
        <v>-1.4540026670002879</v>
      </c>
      <c r="Z205" s="91">
        <f t="shared" si="124"/>
        <v>80.13608528183201</v>
      </c>
      <c r="AB205" s="91" t="str">
        <f t="shared" si="125"/>
        <v>-0.664939712411027-0.0970070503288829j</v>
      </c>
      <c r="AC205" s="91">
        <f t="shared" si="126"/>
        <v>-3.4528916275078148</v>
      </c>
      <c r="AD205" s="91">
        <f t="shared" si="127"/>
        <v>8.3002393576514919</v>
      </c>
      <c r="AF205" s="91" t="str">
        <f t="shared" si="128"/>
        <v>-0.342115406962521-0.446864091162777j</v>
      </c>
      <c r="AG205" s="91">
        <f t="shared" si="129"/>
        <v>-4.9931015798380765</v>
      </c>
      <c r="AH205" s="91">
        <f t="shared" si="130"/>
        <v>52.56263391162409</v>
      </c>
      <c r="AJ205" s="91" t="str">
        <f t="shared" si="131"/>
        <v>46874.8225067121-91.2138496486107j</v>
      </c>
      <c r="AK205" s="91" t="str">
        <f t="shared" si="132"/>
        <v>15000-0.000093403335714101j</v>
      </c>
      <c r="AL205" s="91" t="str">
        <f t="shared" si="146"/>
        <v>10000-53531.2787468805j</v>
      </c>
      <c r="AM205" s="91" t="str">
        <f t="shared" si="147"/>
        <v>947.414192797452-16735.2129158045j</v>
      </c>
      <c r="AN205" s="91" t="str">
        <f t="shared" si="148"/>
        <v>10947.4141927975-16735.2129158045j</v>
      </c>
      <c r="AO205" s="91" t="str">
        <f t="shared" si="149"/>
        <v>8876.06223183304-3949.7347159676j</v>
      </c>
      <c r="AP205" s="91" t="str">
        <f t="shared" si="150"/>
        <v>0.242424411010945+0.000357373033508413j</v>
      </c>
      <c r="AQ205" s="91" t="str">
        <f t="shared" si="133"/>
        <v>1+56.7892281141733j</v>
      </c>
      <c r="AR205" s="91">
        <f t="shared" si="134"/>
        <v>-2.2574681504412354E-6</v>
      </c>
      <c r="AS205" s="91" t="str">
        <f t="shared" si="135"/>
        <v>0.00316067755285914j</v>
      </c>
      <c r="AT205" s="91" t="str">
        <f t="shared" si="136"/>
        <v>-2.25746815044124E-06+0.00316067755285914j</v>
      </c>
      <c r="AU205" s="91" t="str">
        <f t="shared" si="137"/>
        <v>5.39015612563638-0.098766198246684j</v>
      </c>
      <c r="AW205" s="91" t="str">
        <f t="shared" si="151"/>
        <v>1.20372065457393-0.370641120072742j</v>
      </c>
      <c r="AX205" s="91">
        <f t="shared" si="138"/>
        <v>2.0039032178973026</v>
      </c>
      <c r="AY205" s="91">
        <f t="shared" si="139"/>
        <v>162.88572573201947</v>
      </c>
      <c r="AZ205" s="91" t="str">
        <f t="shared" si="140"/>
        <v>-0.836356467664452+0.129684609668701j</v>
      </c>
      <c r="BA205" s="91">
        <f t="shared" si="141"/>
        <v>-1.448988409610517</v>
      </c>
      <c r="BB205" s="91">
        <f t="shared" si="142"/>
        <v>-8.8140349103290703</v>
      </c>
      <c r="BD205" s="91" t="str">
        <f t="shared" si="143"/>
        <v>-0.577437588877611-0.411097498689312j</v>
      </c>
      <c r="BE205" s="91">
        <f t="shared" si="144"/>
        <v>-2.9891983619407809</v>
      </c>
      <c r="BF205" s="91">
        <f t="shared" si="145"/>
        <v>35.448359643643613</v>
      </c>
      <c r="BH205" s="91">
        <f t="shared" si="152"/>
        <v>3.9891983619407809</v>
      </c>
      <c r="BI205" s="112">
        <f t="shared" si="153"/>
        <v>-35.448359643643613</v>
      </c>
      <c r="BJ205" s="95"/>
      <c r="BK205" s="95"/>
      <c r="BL205" s="95"/>
      <c r="BM205" s="95"/>
      <c r="BN205" s="46"/>
      <c r="BO205" s="46"/>
      <c r="BP205" s="46"/>
    </row>
    <row r="206" spans="1:68" s="91" customFormat="1">
      <c r="A206" s="91">
        <v>142</v>
      </c>
      <c r="B206" s="91">
        <f t="shared" si="103"/>
        <v>69183.097091893665</v>
      </c>
      <c r="C206" s="91" t="str">
        <f t="shared" si="104"/>
        <v>434690.219152965j</v>
      </c>
      <c r="D206" s="91">
        <f t="shared" si="105"/>
        <v>0.98417751760916894</v>
      </c>
      <c r="E206" s="91" t="str">
        <f t="shared" si="106"/>
        <v>-0.197586463251348j</v>
      </c>
      <c r="F206" s="91" t="str">
        <f t="shared" si="107"/>
        <v>0.984177517609169-0.197586463251348j</v>
      </c>
      <c r="G206" s="91">
        <f t="shared" si="108"/>
        <v>3.3078975821711945E-2</v>
      </c>
      <c r="H206" s="91">
        <f t="shared" si="109"/>
        <v>-11.351963375160024</v>
      </c>
      <c r="J206" s="91">
        <f t="shared" si="110"/>
        <v>7.1641791044776131</v>
      </c>
      <c r="K206" s="91" t="str">
        <f t="shared" si="111"/>
        <v>1+10.7911846904724j</v>
      </c>
      <c r="L206" s="91">
        <f t="shared" si="112"/>
        <v>-18.043338852863627</v>
      </c>
      <c r="M206" s="91" t="str">
        <f t="shared" si="113"/>
        <v>1.95789016246099j</v>
      </c>
      <c r="N206" s="91" t="str">
        <f t="shared" si="114"/>
        <v>-18.0433388528636+1.95789016246099j</v>
      </c>
      <c r="O206" s="91" t="str">
        <f t="shared" si="115"/>
        <v>0.00936447622623335-0.597054135182011j</v>
      </c>
      <c r="P206" s="91" t="str">
        <f t="shared" si="116"/>
        <v>0.0670887849043583-4.27740275951292j</v>
      </c>
      <c r="R206" s="91">
        <f t="shared" si="117"/>
        <v>11.82089552238806</v>
      </c>
      <c r="S206" s="91" t="str">
        <f t="shared" si="118"/>
        <v>1+0.0326017664364724j</v>
      </c>
      <c r="T206" s="91" t="str">
        <f t="shared" si="119"/>
        <v>-18.0433388528636+1.95789016246099j</v>
      </c>
      <c r="U206" s="91" t="str">
        <f t="shared" si="120"/>
        <v>-0.054583359643106-0.00772972178004877j</v>
      </c>
      <c r="V206" s="91" t="str">
        <f t="shared" si="121"/>
        <v>-0.645224191602089-0.091372233579084j</v>
      </c>
      <c r="X206" s="91" t="str">
        <f t="shared" si="122"/>
        <v>-0.145860673836687-0.790583008291548j</v>
      </c>
      <c r="Y206" s="91">
        <f t="shared" si="123"/>
        <v>-1.8956797478557323</v>
      </c>
      <c r="Z206" s="91">
        <f t="shared" si="124"/>
        <v>79.546616741540277</v>
      </c>
      <c r="AB206" s="91" t="str">
        <f t="shared" si="125"/>
        <v>-0.603961357849424-0.0855288734991994j</v>
      </c>
      <c r="AC206" s="91">
        <f t="shared" si="126"/>
        <v>-4.2935840945006749</v>
      </c>
      <c r="AD206" s="91">
        <f t="shared" si="127"/>
        <v>8.0602404836390633</v>
      </c>
      <c r="AF206" s="91" t="str">
        <f t="shared" si="128"/>
        <v>-0.330915094240212-0.406426344694885j</v>
      </c>
      <c r="AG206" s="91">
        <f t="shared" si="129"/>
        <v>-5.6116161984156934</v>
      </c>
      <c r="AH206" s="91">
        <f t="shared" si="130"/>
        <v>50.847284678598697</v>
      </c>
      <c r="AJ206" s="91" t="str">
        <f t="shared" si="131"/>
        <v>46874.8053825509-95.5125910523138j</v>
      </c>
      <c r="AK206" s="91" t="str">
        <f t="shared" si="132"/>
        <v>15000-0.0000978052993094172j</v>
      </c>
      <c r="AL206" s="91" t="str">
        <f t="shared" si="146"/>
        <v>10000-51121.9743235179j</v>
      </c>
      <c r="AM206" s="91" t="str">
        <f t="shared" si="147"/>
        <v>945.924196693479-15993.0491337561j</v>
      </c>
      <c r="AN206" s="91" t="str">
        <f t="shared" si="148"/>
        <v>10945.9241966935-15993.0491337561j</v>
      </c>
      <c r="AO206" s="91" t="str">
        <f t="shared" si="149"/>
        <v>8715.79087541408-3873.58202207451j</v>
      </c>
      <c r="AP206" s="91" t="str">
        <f t="shared" si="150"/>
        <v>0.242424427275883+0.000374215497655801j</v>
      </c>
      <c r="AQ206" s="91" t="str">
        <f t="shared" si="133"/>
        <v>1+59.4656219801256j</v>
      </c>
      <c r="AR206" s="91">
        <f t="shared" si="134"/>
        <v>-2.484912425060821E-6</v>
      </c>
      <c r="AS206" s="91" t="str">
        <f t="shared" si="135"/>
        <v>0.00330963569678246j</v>
      </c>
      <c r="AT206" s="91" t="str">
        <f t="shared" si="136"/>
        <v>-2.48491242506082E-06+0.00330963569678246j</v>
      </c>
      <c r="AU206" s="91" t="str">
        <f t="shared" si="137"/>
        <v>5.39015557256772-0.0946914081389556j</v>
      </c>
      <c r="AW206" s="91" t="str">
        <f t="shared" si="151"/>
        <v>1.19514164256029-0.383506309145005j</v>
      </c>
      <c r="AX206" s="91">
        <f t="shared" si="138"/>
        <v>1.974020429238079</v>
      </c>
      <c r="AY206" s="91">
        <f t="shared" si="139"/>
        <v>162.20920079225067</v>
      </c>
      <c r="AZ206" s="91" t="str">
        <f t="shared" si="140"/>
        <v>-0.754620231864111+0.129403872854874j</v>
      </c>
      <c r="BA206" s="91">
        <f t="shared" si="141"/>
        <v>-2.3195636652626037</v>
      </c>
      <c r="BB206" s="91">
        <f t="shared" si="142"/>
        <v>-9.730558724110324</v>
      </c>
      <c r="BD206" s="91" t="str">
        <f t="shared" si="143"/>
        <v>-0.551357476671471-0.358829022745984j</v>
      </c>
      <c r="BE206" s="91">
        <f t="shared" si="144"/>
        <v>-3.6375957691776168</v>
      </c>
      <c r="BF206" s="91">
        <f t="shared" si="145"/>
        <v>33.056485470849339</v>
      </c>
      <c r="BH206" s="91">
        <f t="shared" si="152"/>
        <v>4.6375957691776168</v>
      </c>
      <c r="BI206" s="112">
        <f t="shared" si="153"/>
        <v>-33.056485470849339</v>
      </c>
      <c r="BJ206" s="95"/>
      <c r="BK206" s="95"/>
      <c r="BL206" s="95"/>
      <c r="BM206" s="95"/>
      <c r="BN206" s="46"/>
      <c r="BO206" s="46"/>
      <c r="BP206" s="46"/>
    </row>
    <row r="207" spans="1:68" s="91" customFormat="1">
      <c r="A207" s="91">
        <v>143</v>
      </c>
      <c r="B207" s="91">
        <f t="shared" si="103"/>
        <v>72443.596007499029</v>
      </c>
      <c r="C207" s="91" t="str">
        <f t="shared" si="104"/>
        <v>455176.538033572j</v>
      </c>
      <c r="D207" s="91">
        <f t="shared" si="105"/>
        <v>0.98265099304959425</v>
      </c>
      <c r="E207" s="91" t="str">
        <f t="shared" si="106"/>
        <v>-0.206898426378896j</v>
      </c>
      <c r="F207" s="91" t="str">
        <f t="shared" si="107"/>
        <v>0.982650993049594-0.206898426378896j</v>
      </c>
      <c r="G207" s="91">
        <f t="shared" si="108"/>
        <v>3.6371148870972925E-2</v>
      </c>
      <c r="H207" s="91">
        <f t="shared" si="109"/>
        <v>-11.89002778399691</v>
      </c>
      <c r="J207" s="91">
        <f t="shared" si="110"/>
        <v>7.1641791044776131</v>
      </c>
      <c r="K207" s="91" t="str">
        <f t="shared" si="111"/>
        <v>1+11.2997575566834j</v>
      </c>
      <c r="L207" s="91">
        <f t="shared" si="112"/>
        <v>-19.880605833931369</v>
      </c>
      <c r="M207" s="91" t="str">
        <f t="shared" si="113"/>
        <v>2.05016268306091j</v>
      </c>
      <c r="N207" s="91" t="str">
        <f t="shared" si="114"/>
        <v>-19.8806058339314+2.05016268306091j</v>
      </c>
      <c r="O207" s="91" t="str">
        <f t="shared" si="115"/>
        <v>0.00822582069846427-0.567532668787823j</v>
      </c>
      <c r="P207" s="91" t="str">
        <f t="shared" si="116"/>
        <v>0.0589312527651172-4.06590568683814j</v>
      </c>
      <c r="R207" s="91">
        <f t="shared" si="117"/>
        <v>11.82089552238806</v>
      </c>
      <c r="S207" s="91" t="str">
        <f t="shared" si="118"/>
        <v>1+0.0341382403525179j</v>
      </c>
      <c r="T207" s="91" t="str">
        <f t="shared" si="119"/>
        <v>-19.8806058339314+2.05016268306091j</v>
      </c>
      <c r="U207" s="91" t="str">
        <f t="shared" si="120"/>
        <v>-0.0495957710521681-0.00683166501744617j</v>
      </c>
      <c r="V207" s="91" t="str">
        <f t="shared" si="121"/>
        <v>-0.586266427959957-0.0807563984151846j</v>
      </c>
      <c r="X207" s="91" t="str">
        <f t="shared" si="122"/>
        <v>-0.146645274655668-0.750254201112544j</v>
      </c>
      <c r="Y207" s="91">
        <f t="shared" si="123"/>
        <v>-2.3330004614287096</v>
      </c>
      <c r="Z207" s="91">
        <f t="shared" si="124"/>
        <v>78.940359321153537</v>
      </c>
      <c r="AB207" s="91" t="str">
        <f t="shared" si="125"/>
        <v>-0.548774011422358-0.0755919332794372j</v>
      </c>
      <c r="AC207" s="91">
        <f t="shared" si="126"/>
        <v>-5.1304973317108695</v>
      </c>
      <c r="AD207" s="91">
        <f t="shared" si="127"/>
        <v>7.8429613599058712</v>
      </c>
      <c r="AF207" s="91" t="str">
        <f t="shared" si="128"/>
        <v>-0.31878794506602-0.368854731779033j</v>
      </c>
      <c r="AG207" s="91">
        <f t="shared" si="129"/>
        <v>-6.2400815225548509</v>
      </c>
      <c r="AH207" s="91">
        <f t="shared" si="130"/>
        <v>49.164317749419723</v>
      </c>
      <c r="AJ207" s="91" t="str">
        <f t="shared" si="131"/>
        <v>46874.786606296-100.01392072742j</v>
      </c>
      <c r="AK207" s="91" t="str">
        <f t="shared" si="132"/>
        <v>15000-0.000102414721057554j</v>
      </c>
      <c r="AL207" s="91" t="str">
        <f t="shared" si="146"/>
        <v>10000-48821.1064617378j</v>
      </c>
      <c r="AM207" s="91" t="str">
        <f t="shared" si="147"/>
        <v>944.295825854646-15284.7706861954j</v>
      </c>
      <c r="AN207" s="91" t="str">
        <f t="shared" si="148"/>
        <v>10944.2958258546-15284.7706861954j</v>
      </c>
      <c r="AO207" s="91" t="str">
        <f t="shared" si="149"/>
        <v>8562.07241876128-3792.82782150053j</v>
      </c>
      <c r="AP207" s="91" t="str">
        <f t="shared" si="150"/>
        <v>0.242424445110031+0.000391851721493729j</v>
      </c>
      <c r="AQ207" s="91" t="str">
        <f t="shared" si="133"/>
        <v>1+62.2681504029926j</v>
      </c>
      <c r="AR207" s="91">
        <f t="shared" si="134"/>
        <v>-2.7343001130187996E-6</v>
      </c>
      <c r="AS207" s="91" t="str">
        <f t="shared" si="135"/>
        <v>0.00346561402174925j</v>
      </c>
      <c r="AT207" s="91" t="str">
        <f t="shared" si="136"/>
        <v>-0.0000027343001130188+0.00346561402174925j</v>
      </c>
      <c r="AU207" s="91" t="str">
        <f t="shared" si="137"/>
        <v>5.39015501479515-0.0908174711583378j</v>
      </c>
      <c r="AW207" s="91" t="str">
        <f t="shared" si="151"/>
        <v>1.18586840289429-0.39674519986097j</v>
      </c>
      <c r="AX207" s="91">
        <f t="shared" si="138"/>
        <v>1.941508317223535</v>
      </c>
      <c r="AY207" s="91">
        <f t="shared" si="139"/>
        <v>161.50177356862719</v>
      </c>
      <c r="AZ207" s="91" t="str">
        <f t="shared" si="140"/>
        <v>-0.680764497152153+0.128081369650492j</v>
      </c>
      <c r="BA207" s="91">
        <f t="shared" si="141"/>
        <v>-3.1889890144873196</v>
      </c>
      <c r="BB207" s="91">
        <f t="shared" si="142"/>
        <v>-10.655265071466943</v>
      </c>
      <c r="BD207" s="91" t="str">
        <f t="shared" si="143"/>
        <v>-0.524381895556732-0.310935584696318j</v>
      </c>
      <c r="BE207" s="91">
        <f t="shared" si="144"/>
        <v>-4.2985732053312979</v>
      </c>
      <c r="BF207" s="91">
        <f t="shared" si="145"/>
        <v>30.666091318046881</v>
      </c>
      <c r="BH207" s="91">
        <f t="shared" si="152"/>
        <v>5.2985732053312979</v>
      </c>
      <c r="BI207" s="112">
        <f t="shared" si="153"/>
        <v>-30.666091318046881</v>
      </c>
      <c r="BJ207" s="95"/>
      <c r="BK207" s="95"/>
      <c r="BL207" s="95"/>
      <c r="BM207" s="95"/>
      <c r="BN207" s="46"/>
      <c r="BO207" s="46"/>
      <c r="BP207" s="46"/>
    </row>
    <row r="208" spans="1:68" s="91" customFormat="1">
      <c r="A208" s="91">
        <v>144</v>
      </c>
      <c r="B208" s="91">
        <f t="shared" si="103"/>
        <v>75857.757502918379</v>
      </c>
      <c r="C208" s="91" t="str">
        <f t="shared" si="104"/>
        <v>476628.347377929j</v>
      </c>
      <c r="D208" s="91">
        <f t="shared" si="105"/>
        <v>0.98097719215414358</v>
      </c>
      <c r="E208" s="91" t="str">
        <f t="shared" si="106"/>
        <v>-0.21664924880815j</v>
      </c>
      <c r="F208" s="91" t="str">
        <f t="shared" si="107"/>
        <v>0.980977192154144-0.21664924880815j</v>
      </c>
      <c r="G208" s="91">
        <f t="shared" si="108"/>
        <v>4.000112939498994E-2</v>
      </c>
      <c r="H208" s="91">
        <f t="shared" si="109"/>
        <v>-12.453887593031629</v>
      </c>
      <c r="J208" s="91">
        <f t="shared" si="110"/>
        <v>7.1641791044776131</v>
      </c>
      <c r="K208" s="91" t="str">
        <f t="shared" si="111"/>
        <v>1+11.8322987236571j</v>
      </c>
      <c r="L208" s="91">
        <f t="shared" si="112"/>
        <v>-21.89512901916591</v>
      </c>
      <c r="M208" s="91" t="str">
        <f t="shared" si="113"/>
        <v>2.14678387358171j</v>
      </c>
      <c r="N208" s="91" t="str">
        <f t="shared" si="114"/>
        <v>-21.8951290191659+2.14678387358171j</v>
      </c>
      <c r="O208" s="91" t="str">
        <f t="shared" si="115"/>
        <v>0.00724425675545476-0.539697521751738j</v>
      </c>
      <c r="P208" s="91" t="str">
        <f t="shared" si="116"/>
        <v>0.0518991528748998-3.86648970807215j</v>
      </c>
      <c r="R208" s="91">
        <f t="shared" si="117"/>
        <v>11.82089552238806</v>
      </c>
      <c r="S208" s="91" t="str">
        <f t="shared" si="118"/>
        <v>1+0.0357471260533447j</v>
      </c>
      <c r="T208" s="91" t="str">
        <f t="shared" si="119"/>
        <v>-21.8951290191659+2.14678387358171j</v>
      </c>
      <c r="U208" s="91" t="str">
        <f t="shared" si="120"/>
        <v>-0.0450788145327581-0.00605256073240983j</v>
      </c>
      <c r="V208" s="91" t="str">
        <f t="shared" si="121"/>
        <v>-0.532871956864842-0.0715466880607252j</v>
      </c>
      <c r="X208" s="91" t="str">
        <f t="shared" si="122"/>
        <v>-0.14728919597556-0.712180056025683j</v>
      </c>
      <c r="Y208" s="91">
        <f t="shared" si="123"/>
        <v>-2.7663091681191436</v>
      </c>
      <c r="Z208" s="91">
        <f t="shared" si="124"/>
        <v>78.315136528950731</v>
      </c>
      <c r="AB208" s="91" t="str">
        <f t="shared" si="125"/>
        <v>-0.498794178545688-0.0669711945602829j</v>
      </c>
      <c r="AC208" s="91">
        <f t="shared" si="126"/>
        <v>-5.9639777626022994</v>
      </c>
      <c r="AD208" s="91">
        <f t="shared" si="127"/>
        <v>7.6471521533030398</v>
      </c>
      <c r="AF208" s="91" t="str">
        <f t="shared" si="128"/>
        <v>-0.305944013372088-0.334062167149667j</v>
      </c>
      <c r="AG208" s="91">
        <f t="shared" si="129"/>
        <v>-6.8782418679210249</v>
      </c>
      <c r="AH208" s="91">
        <f t="shared" si="130"/>
        <v>47.515625988236621</v>
      </c>
      <c r="AJ208" s="91" t="str">
        <f t="shared" si="131"/>
        <v>46874.7660185591-104.727385599154j</v>
      </c>
      <c r="AK208" s="91" t="str">
        <f t="shared" si="132"/>
        <v>15000-0.000107241378160034j</v>
      </c>
      <c r="AL208" s="91" t="str">
        <f t="shared" si="146"/>
        <v>10000-46623.7947123228j</v>
      </c>
      <c r="AM208" s="91" t="str">
        <f t="shared" si="147"/>
        <v>942.516784373787-14608.8698057488j</v>
      </c>
      <c r="AN208" s="91" t="str">
        <f t="shared" si="148"/>
        <v>10942.5167843738-14608.8698057488j</v>
      </c>
      <c r="AO208" s="91" t="str">
        <f t="shared" si="149"/>
        <v>8415.10906117821-3708.11419265571j</v>
      </c>
      <c r="AP208" s="91" t="str">
        <f t="shared" si="150"/>
        <v>0.242424464664784+0.00041031911358756j</v>
      </c>
      <c r="AQ208" s="91" t="str">
        <f t="shared" si="133"/>
        <v>1+65.2027579213007j</v>
      </c>
      <c r="AR208" s="91">
        <f t="shared" si="134"/>
        <v>-3.0077482752512752E-6</v>
      </c>
      <c r="AS208" s="91" t="str">
        <f t="shared" si="135"/>
        <v>0.00362894337869913j</v>
      </c>
      <c r="AT208" s="91" t="str">
        <f t="shared" si="136"/>
        <v>-3.00774827525128E-06+0.00362894337869913j</v>
      </c>
      <c r="AU208" s="91" t="str">
        <f t="shared" si="137"/>
        <v>5.39015444758374-0.0871361701588221j</v>
      </c>
      <c r="AW208" s="91" t="str">
        <f t="shared" si="151"/>
        <v>1.17585739635527-0.41033189970694j</v>
      </c>
      <c r="AX208" s="91">
        <f t="shared" si="138"/>
        <v>1.9061540557346417</v>
      </c>
      <c r="AY208" s="91">
        <f t="shared" si="139"/>
        <v>160.76285144512616</v>
      </c>
      <c r="AZ208" s="91" t="str">
        <f t="shared" si="140"/>
        <v>-0.613991241591462+0.125922588378958j</v>
      </c>
      <c r="BA208" s="91">
        <f t="shared" si="141"/>
        <v>-4.0578237068676613</v>
      </c>
      <c r="BB208" s="91">
        <f t="shared" si="142"/>
        <v>-11.589996401570801</v>
      </c>
      <c r="BD208" s="91" t="str">
        <f t="shared" si="143"/>
        <v>-0.496822894660925-0.267270881874472j</v>
      </c>
      <c r="BE208" s="91">
        <f t="shared" si="144"/>
        <v>-4.9720878121863912</v>
      </c>
      <c r="BF208" s="91">
        <f t="shared" si="145"/>
        <v>28.278477433362781</v>
      </c>
      <c r="BH208" s="91">
        <f t="shared" si="152"/>
        <v>5.9720878121863912</v>
      </c>
      <c r="BI208" s="112">
        <f t="shared" si="153"/>
        <v>-28.278477433362781</v>
      </c>
      <c r="BJ208" s="95"/>
      <c r="BK208" s="95"/>
      <c r="BL208" s="95"/>
      <c r="BM208" s="95"/>
      <c r="BN208" s="46"/>
      <c r="BO208" s="46"/>
      <c r="BP208" s="46"/>
    </row>
    <row r="209" spans="1:68" s="91" customFormat="1">
      <c r="A209" s="91">
        <v>145</v>
      </c>
      <c r="B209" s="91">
        <f t="shared" si="103"/>
        <v>79432.823472428208</v>
      </c>
      <c r="C209" s="91" t="str">
        <f t="shared" si="104"/>
        <v>499091.149349751j</v>
      </c>
      <c r="D209" s="91">
        <f t="shared" si="105"/>
        <v>0.97914190596759687</v>
      </c>
      <c r="E209" s="91" t="str">
        <f t="shared" si="106"/>
        <v>-0.226859613340796j</v>
      </c>
      <c r="F209" s="91" t="str">
        <f t="shared" si="107"/>
        <v>0.979141905967597-0.226859613340796j</v>
      </c>
      <c r="G209" s="91">
        <f t="shared" si="108"/>
        <v>4.4005527186781482E-2</v>
      </c>
      <c r="H209" s="91">
        <f t="shared" si="109"/>
        <v>-13.044818993075637</v>
      </c>
      <c r="J209" s="91">
        <f t="shared" si="110"/>
        <v>7.1641791044776131</v>
      </c>
      <c r="K209" s="91" t="str">
        <f t="shared" si="111"/>
        <v>1+12.3899377826076j</v>
      </c>
      <c r="L209" s="91">
        <f t="shared" si="112"/>
        <v>-24.104009767400498</v>
      </c>
      <c r="M209" s="91" t="str">
        <f t="shared" si="113"/>
        <v>2.2479586805227j</v>
      </c>
      <c r="N209" s="91" t="str">
        <f t="shared" si="114"/>
        <v>-24.1040097674005+2.2479586805227j</v>
      </c>
      <c r="O209" s="91" t="str">
        <f t="shared" si="115"/>
        <v>0.00639538636636082-0.513423340669542j</v>
      </c>
      <c r="P209" s="91" t="str">
        <f t="shared" si="116"/>
        <v>0.0458176933709432-3.67825676897582j</v>
      </c>
      <c r="R209" s="91">
        <f t="shared" si="117"/>
        <v>11.82089552238806</v>
      </c>
      <c r="S209" s="91" t="str">
        <f t="shared" si="118"/>
        <v>1+0.0374318362012313j</v>
      </c>
      <c r="T209" s="91" t="str">
        <f t="shared" si="119"/>
        <v>-24.1040097674005+2.2479586805227j</v>
      </c>
      <c r="U209" s="91" t="str">
        <f t="shared" si="120"/>
        <v>-0.0409855709114278-0.00537527603739131j</v>
      </c>
      <c r="V209" s="91" t="str">
        <f t="shared" si="121"/>
        <v>-0.484486151669415-0.0635405764419988j</v>
      </c>
      <c r="X209" s="91" t="str">
        <f t="shared" si="122"/>
        <v>-0.147818190733539-0.676188490868116j</v>
      </c>
      <c r="Y209" s="91">
        <f t="shared" si="123"/>
        <v>-3.1959096857118396</v>
      </c>
      <c r="Z209" s="91">
        <f t="shared" si="124"/>
        <v>77.668840998758455</v>
      </c>
      <c r="AB209" s="91" t="str">
        <f t="shared" si="125"/>
        <v>-0.453502701588032-0.0594770830448206j</v>
      </c>
      <c r="AC209" s="91">
        <f t="shared" si="126"/>
        <v>-6.7943370336373103</v>
      </c>
      <c r="AD209" s="91">
        <f t="shared" si="127"/>
        <v>7.4717229898120081</v>
      </c>
      <c r="AF209" s="91" t="str">
        <f t="shared" si="128"/>
        <v>-0.292577279222587-0.301947858011815j</v>
      </c>
      <c r="AG209" s="91">
        <f t="shared" si="129"/>
        <v>-7.5258167651194121</v>
      </c>
      <c r="AH209" s="91">
        <f t="shared" si="130"/>
        <v>45.902989848822813</v>
      </c>
      <c r="AJ209" s="91" t="str">
        <f t="shared" si="131"/>
        <v>46874.7434445753-109.662982412005j</v>
      </c>
      <c r="AK209" s="91" t="str">
        <f t="shared" si="132"/>
        <v>15000-0.000112295508603694j</v>
      </c>
      <c r="AL209" s="91" t="str">
        <f t="shared" si="146"/>
        <v>10000-44525.3782824536j</v>
      </c>
      <c r="AM209" s="91" t="str">
        <f t="shared" si="147"/>
        <v>940.573792973721-13963.9066565701j</v>
      </c>
      <c r="AN209" s="91" t="str">
        <f t="shared" si="148"/>
        <v>10940.5737929737-13963.9066565701j</v>
      </c>
      <c r="AO209" s="91" t="str">
        <f t="shared" si="149"/>
        <v>8275.02956488399-3620.07642825997j</v>
      </c>
      <c r="AP209" s="91" t="str">
        <f t="shared" si="150"/>
        <v>0.242424486106144+0.000429656845487908j</v>
      </c>
      <c r="AQ209" s="91" t="str">
        <f t="shared" si="133"/>
        <v>1+68.2756692310459j</v>
      </c>
      <c r="AR209" s="91">
        <f t="shared" si="134"/>
        <v>-3.3075782229146087E-6</v>
      </c>
      <c r="AS209" s="91" t="str">
        <f t="shared" si="135"/>
        <v>0.00379997021109615j</v>
      </c>
      <c r="AT209" s="91" t="str">
        <f t="shared" si="136"/>
        <v>-3.30757822291461E-06+0.00379997021109615j</v>
      </c>
      <c r="AU209" s="91" t="str">
        <f t="shared" si="137"/>
        <v>5.3901538661184-0.0836396966001612j</v>
      </c>
      <c r="AW209" s="91" t="str">
        <f t="shared" si="151"/>
        <v>1.16506463756807-0.424235719732184j</v>
      </c>
      <c r="AX209" s="91">
        <f t="shared" si="138"/>
        <v>1.8677319163927295</v>
      </c>
      <c r="AY209" s="91">
        <f t="shared" si="139"/>
        <v>159.991885477349</v>
      </c>
      <c r="AZ209" s="91" t="str">
        <f t="shared" si="140"/>
        <v>-0.553592263794892+0.123097398807469j</v>
      </c>
      <c r="BA209" s="91">
        <f t="shared" si="141"/>
        <v>-4.9266051172445726</v>
      </c>
      <c r="BB209" s="91">
        <f t="shared" si="142"/>
        <v>-12.536391532838991</v>
      </c>
      <c r="BD209" s="91" t="str">
        <f t="shared" si="143"/>
        <v>-0.468968508643349-0.227667039130712j</v>
      </c>
      <c r="BE209" s="91">
        <f t="shared" si="144"/>
        <v>-5.6580848487266833</v>
      </c>
      <c r="BF209" s="91">
        <f t="shared" si="145"/>
        <v>25.894875326171814</v>
      </c>
      <c r="BH209" s="91">
        <f t="shared" si="152"/>
        <v>6.6580848487266833</v>
      </c>
      <c r="BI209" s="112">
        <f t="shared" si="153"/>
        <v>-25.894875326171814</v>
      </c>
      <c r="BJ209" s="95"/>
      <c r="BK209" s="95"/>
      <c r="BL209" s="95"/>
      <c r="BM209" s="95"/>
      <c r="BN209" s="46"/>
      <c r="BO209" s="46"/>
      <c r="BP209" s="46"/>
    </row>
    <row r="210" spans="1:68" s="91" customFormat="1">
      <c r="A210" s="91">
        <v>146</v>
      </c>
      <c r="B210" s="91">
        <f t="shared" si="103"/>
        <v>83176.377110267145</v>
      </c>
      <c r="C210" s="91" t="str">
        <f t="shared" si="104"/>
        <v>522612.590563659j</v>
      </c>
      <c r="D210" s="91">
        <f t="shared" si="105"/>
        <v>0.97712955468036566</v>
      </c>
      <c r="E210" s="91" t="str">
        <f t="shared" si="106"/>
        <v>-0.237551177528936j</v>
      </c>
      <c r="F210" s="91" t="str">
        <f t="shared" si="107"/>
        <v>0.977129554680366-0.237551177528936j</v>
      </c>
      <c r="G210" s="91">
        <f t="shared" si="108"/>
        <v>4.8425276265964365E-2</v>
      </c>
      <c r="H210" s="91">
        <f t="shared" si="109"/>
        <v>-13.664166176330063</v>
      </c>
      <c r="J210" s="91">
        <f t="shared" si="110"/>
        <v>7.1641791044776131</v>
      </c>
      <c r="K210" s="91" t="str">
        <f t="shared" si="111"/>
        <v>1+12.9738575607428j</v>
      </c>
      <c r="L210" s="91">
        <f t="shared" si="112"/>
        <v>-26.525999345720233</v>
      </c>
      <c r="M210" s="91" t="str">
        <f t="shared" si="113"/>
        <v>2.35390170921415j</v>
      </c>
      <c r="N210" s="91" t="str">
        <f t="shared" si="114"/>
        <v>-26.5259993457202+2.35390170921415j</v>
      </c>
      <c r="O210" s="91" t="str">
        <f t="shared" si="115"/>
        <v>0.00565899432008645-0.488597495439184j</v>
      </c>
      <c r="P210" s="91" t="str">
        <f t="shared" si="116"/>
        <v>0.0405420488603208-3.5003999673255j</v>
      </c>
      <c r="R210" s="91">
        <f t="shared" si="117"/>
        <v>11.82089552238806</v>
      </c>
      <c r="S210" s="91" t="str">
        <f t="shared" si="118"/>
        <v>1+0.0391959442922744j</v>
      </c>
      <c r="T210" s="91" t="str">
        <f t="shared" si="119"/>
        <v>-26.5259993457202+2.35390170921415j</v>
      </c>
      <c r="U210" s="91" t="str">
        <f t="shared" si="120"/>
        <v>-0.0372742146253579-0.00478533457511374j</v>
      </c>
      <c r="V210" s="91" t="str">
        <f t="shared" si="121"/>
        <v>-0.440614596765425-0.0565669400520908j</v>
      </c>
      <c r="X210" s="91" t="str">
        <f t="shared" si="122"/>
        <v>-0.148253156745623-0.642124839481679j</v>
      </c>
      <c r="Y210" s="91">
        <f t="shared" si="123"/>
        <v>-3.6220686272798446</v>
      </c>
      <c r="Z210" s="91">
        <f t="shared" si="124"/>
        <v>76.999410687522428</v>
      </c>
      <c r="AB210" s="91" t="str">
        <f t="shared" si="125"/>
        <v>-0.412436783391463-0.0529494187724394j</v>
      </c>
      <c r="AC210" s="91">
        <f t="shared" si="126"/>
        <v>-7.6218556251729099</v>
      </c>
      <c r="AD210" s="91">
        <f t="shared" si="127"/>
        <v>7.3157239285794162</v>
      </c>
      <c r="AF210" s="91" t="str">
        <f t="shared" si="128"/>
        <v>-0.278864852699564-0.272399562600946j</v>
      </c>
      <c r="AG210" s="91">
        <f t="shared" si="129"/>
        <v>-8.1825034474791796</v>
      </c>
      <c r="AH210" s="91">
        <f t="shared" si="130"/>
        <v>44.328059561105533</v>
      </c>
      <c r="AJ210" s="91" t="str">
        <f t="shared" si="131"/>
        <v>46874.7186927193-114.831178912241j</v>
      </c>
      <c r="AK210" s="91" t="str">
        <f t="shared" si="132"/>
        <v>15000-0.000117587832876823j</v>
      </c>
      <c r="AL210" s="91" t="str">
        <f t="shared" si="146"/>
        <v>10000-42521.406149543j</v>
      </c>
      <c r="AM210" s="91" t="str">
        <f t="shared" si="147"/>
        <v>938.452532029939-13348.5061836501j</v>
      </c>
      <c r="AN210" s="91" t="str">
        <f t="shared" si="148"/>
        <v>10938.4525320299-13348.5061836501j</v>
      </c>
      <c r="AO210" s="91" t="str">
        <f t="shared" si="149"/>
        <v>8141.8939010741-3529.3343689427j</v>
      </c>
      <c r="AP210" s="91" t="str">
        <f t="shared" si="150"/>
        <v>0.242424509616126+0.000449905934813682j</v>
      </c>
      <c r="AQ210" s="91" t="str">
        <f t="shared" si="133"/>
        <v>1+71.4934023891085j</v>
      </c>
      <c r="AR210" s="91">
        <f t="shared" si="134"/>
        <v>-3.6363352230782152E-6</v>
      </c>
      <c r="AS210" s="91" t="str">
        <f t="shared" si="135"/>
        <v>0.00397905728978178j</v>
      </c>
      <c r="AT210" s="91" t="str">
        <f t="shared" si="136"/>
        <v>-3.63633522307822E-06+0.00397905728978178j</v>
      </c>
      <c r="AU210" s="91" t="str">
        <f t="shared" si="137"/>
        <v>5.39015326546311-0.08032063398477j</v>
      </c>
      <c r="AW210" s="91" t="str">
        <f t="shared" si="151"/>
        <v>1.15344615307034-0.43842078648677j</v>
      </c>
      <c r="AX210" s="91">
        <f t="shared" si="138"/>
        <v>1.8260031901835974</v>
      </c>
      <c r="AY210" s="91">
        <f t="shared" si="139"/>
        <v>159.18838032302222</v>
      </c>
      <c r="AZ210" s="91" t="str">
        <f t="shared" si="140"/>
        <v>-0.498937747009818+0.119746555560178j</v>
      </c>
      <c r="BA210" s="91">
        <f t="shared" si="141"/>
        <v>-5.7958524349893175</v>
      </c>
      <c r="BB210" s="91">
        <f t="shared" si="142"/>
        <v>-13.49589574839834</v>
      </c>
      <c r="BD210" s="91" t="str">
        <f t="shared" si="143"/>
        <v>-0.441081222046998-0.191938079536045j</v>
      </c>
      <c r="BE210" s="91">
        <f t="shared" si="144"/>
        <v>-6.3565002572955756</v>
      </c>
      <c r="BF210" s="91">
        <f t="shared" si="145"/>
        <v>23.516439884127834</v>
      </c>
      <c r="BH210" s="91">
        <f t="shared" si="152"/>
        <v>7.3565002572955756</v>
      </c>
      <c r="BI210" s="112">
        <f t="shared" si="153"/>
        <v>-23.516439884127834</v>
      </c>
      <c r="BJ210" s="95"/>
      <c r="BK210" s="95"/>
      <c r="BL210" s="95"/>
      <c r="BM210" s="95"/>
      <c r="BN210" s="46"/>
      <c r="BO210" s="46"/>
      <c r="BP210" s="46"/>
    </row>
    <row r="211" spans="1:68" s="91" customFormat="1">
      <c r="A211" s="91">
        <v>147</v>
      </c>
      <c r="B211" s="91">
        <f t="shared" si="103"/>
        <v>87096.358995608098</v>
      </c>
      <c r="C211" s="91" t="str">
        <f t="shared" si="104"/>
        <v>547242.563150043j</v>
      </c>
      <c r="D211" s="91">
        <f t="shared" si="105"/>
        <v>0.97492305537093604</v>
      </c>
      <c r="E211" s="91" t="str">
        <f t="shared" si="106"/>
        <v>-0.248746619613656j</v>
      </c>
      <c r="F211" s="91" t="str">
        <f t="shared" si="107"/>
        <v>0.974923055370936-0.248746619613656j</v>
      </c>
      <c r="G211" s="91">
        <f t="shared" si="108"/>
        <v>5.3306205580645027E-2</v>
      </c>
      <c r="H211" s="91">
        <f t="shared" si="109"/>
        <v>-14.313345420388323</v>
      </c>
      <c r="J211" s="91">
        <f t="shared" si="110"/>
        <v>7.1641791044776131</v>
      </c>
      <c r="K211" s="91" t="str">
        <f t="shared" si="111"/>
        <v>1+13.5852966301998j</v>
      </c>
      <c r="L211" s="91">
        <f t="shared" si="112"/>
        <v>-29.181658109633741</v>
      </c>
      <c r="M211" s="91" t="str">
        <f t="shared" si="113"/>
        <v>2.46483767902394j</v>
      </c>
      <c r="N211" s="91" t="str">
        <f t="shared" si="114"/>
        <v>-29.1816581096337+2.46483767902394j</v>
      </c>
      <c r="O211" s="91" t="str">
        <f t="shared" si="115"/>
        <v>0.00501827089127256-0.465118443785161j</v>
      </c>
      <c r="P211" s="91" t="str">
        <f t="shared" si="116"/>
        <v>0.0359517914598631-3.3321918360728j</v>
      </c>
      <c r="R211" s="91">
        <f t="shared" si="117"/>
        <v>11.82089552238806</v>
      </c>
      <c r="S211" s="91" t="str">
        <f t="shared" si="118"/>
        <v>1+0.0410431922362532j</v>
      </c>
      <c r="T211" s="91" t="str">
        <f t="shared" si="119"/>
        <v>-29.1816581096337+2.46483767902394j</v>
      </c>
      <c r="U211" s="91" t="str">
        <f t="shared" si="120"/>
        <v>-0.0339073941337371-0.00427047066436103j</v>
      </c>
      <c r="V211" s="91" t="str">
        <f t="shared" si="121"/>
        <v>-0.40081576349134-0.0504807875548349j</v>
      </c>
      <c r="X211" s="91" t="str">
        <f t="shared" si="122"/>
        <v>-0.148611087752305-0.609849587039943j</v>
      </c>
      <c r="Y211" s="91">
        <f t="shared" si="123"/>
        <v>-4.0450182251361708</v>
      </c>
      <c r="Z211" s="91">
        <f t="shared" si="124"/>
        <v>76.304808063790873</v>
      </c>
      <c r="AB211" s="91" t="str">
        <f t="shared" si="125"/>
        <v>-0.37518313156332-0.0472524827707152j</v>
      </c>
      <c r="AC211" s="91">
        <f t="shared" si="126"/>
        <v>-8.4467860325063171</v>
      </c>
      <c r="AD211" s="91">
        <f t="shared" si="127"/>
        <v>7.1783281570136808</v>
      </c>
      <c r="AF211" s="91" t="str">
        <f t="shared" si="128"/>
        <v>-0.264966499661884-0.245295880842028j</v>
      </c>
      <c r="AG211" s="91">
        <f t="shared" si="129"/>
        <v>-8.8479796675929698</v>
      </c>
      <c r="AH211" s="91">
        <f t="shared" si="130"/>
        <v>42.792340415056543</v>
      </c>
      <c r="AJ211" s="91" t="str">
        <f t="shared" si="131"/>
        <v>46874.6915528788-120.242936026243j</v>
      </c>
      <c r="AK211" s="91" t="str">
        <f t="shared" si="132"/>
        <v>15000-0.00012312957670876j</v>
      </c>
      <c r="AL211" s="91" t="str">
        <f t="shared" si="146"/>
        <v>10000-40607.6276200201j</v>
      </c>
      <c r="AM211" s="91" t="str">
        <f t="shared" si="147"/>
        <v>936.137585818714-12761.3550885345j</v>
      </c>
      <c r="AN211" s="91" t="str">
        <f t="shared" si="148"/>
        <v>10936.1375858187-12761.3550885345j</v>
      </c>
      <c r="AO211" s="91" t="str">
        <f t="shared" si="149"/>
        <v>8015.69883658294-3436.48499150298j</v>
      </c>
      <c r="AP211" s="91" t="str">
        <f t="shared" si="150"/>
        <v>0.242424535394307+0.000471109332250189j</v>
      </c>
      <c r="AQ211" s="91" t="str">
        <f t="shared" si="133"/>
        <v>1+74.8627826389259j</v>
      </c>
      <c r="AR211" s="91">
        <f t="shared" si="134"/>
        <v>-3.9968101055870372E-6</v>
      </c>
      <c r="AS211" s="91" t="str">
        <f t="shared" si="135"/>
        <v>0.00416658448246054j</v>
      </c>
      <c r="AT211" s="91" t="str">
        <f t="shared" si="136"/>
        <v>-3.99681010558704E-06+0.00416658448246054j</v>
      </c>
      <c r="AU211" s="91" t="str">
        <f t="shared" si="137"/>
        <v>5.39015264051886-0.0771719421261795j</v>
      </c>
      <c r="AW211" s="91" t="str">
        <f t="shared" si="151"/>
        <v>1.14095852338116-0.452845680746961j</v>
      </c>
      <c r="AX211" s="91">
        <f t="shared" si="138"/>
        <v>1.7807162567128119</v>
      </c>
      <c r="AY211" s="91">
        <f t="shared" si="139"/>
        <v>158.35190488143266</v>
      </c>
      <c r="AZ211" s="91" t="str">
        <f t="shared" si="140"/>
        <v>-0.449466474513293+0.115986937649399j</v>
      </c>
      <c r="BA211" s="91">
        <f t="shared" si="141"/>
        <v>-6.6660697757935194</v>
      </c>
      <c r="BB211" s="91">
        <f t="shared" si="142"/>
        <v>-14.469766961553631</v>
      </c>
      <c r="BD211" s="91" t="str">
        <f t="shared" si="143"/>
        <v>-0.41339696634403-0.159883491082476j</v>
      </c>
      <c r="BE211" s="91">
        <f t="shared" si="144"/>
        <v>-7.0672634108801837</v>
      </c>
      <c r="BF211" s="91">
        <f t="shared" si="145"/>
        <v>21.14424529648926</v>
      </c>
      <c r="BH211" s="91">
        <f t="shared" si="152"/>
        <v>8.0672634108801837</v>
      </c>
      <c r="BI211" s="112">
        <f t="shared" si="153"/>
        <v>-21.14424529648926</v>
      </c>
      <c r="BJ211" s="95"/>
      <c r="BK211" s="95"/>
      <c r="BL211" s="95"/>
      <c r="BM211" s="95"/>
      <c r="BN211" s="46"/>
      <c r="BO211" s="46"/>
      <c r="BP211" s="46"/>
    </row>
    <row r="212" spans="1:68" s="91" customFormat="1">
      <c r="A212" s="91">
        <v>148</v>
      </c>
      <c r="B212" s="91">
        <f t="shared" si="103"/>
        <v>91201.083935590985</v>
      </c>
      <c r="C212" s="91" t="str">
        <f t="shared" si="104"/>
        <v>573033.310582957j</v>
      </c>
      <c r="D212" s="91">
        <f t="shared" si="105"/>
        <v>0.9725036769883415</v>
      </c>
      <c r="E212" s="91" t="str">
        <f t="shared" si="106"/>
        <v>-0.260469686628617j</v>
      </c>
      <c r="F212" s="91" t="str">
        <f t="shared" si="107"/>
        <v>0.972503676988342-0.260469686628617j</v>
      </c>
      <c r="G212" s="91">
        <f t="shared" si="108"/>
        <v>5.8699693619704521E-2</v>
      </c>
      <c r="H212" s="91">
        <f t="shared" si="109"/>
        <v>-14.993849421950541</v>
      </c>
      <c r="J212" s="91">
        <f t="shared" si="110"/>
        <v>7.1641791044776131</v>
      </c>
      <c r="K212" s="91" t="str">
        <f t="shared" si="111"/>
        <v>1+14.2255519352219j</v>
      </c>
      <c r="L212" s="91">
        <f t="shared" si="112"/>
        <v>-32.093530040661527</v>
      </c>
      <c r="M212" s="91" t="str">
        <f t="shared" si="113"/>
        <v>2.58100190001749j</v>
      </c>
      <c r="N212" s="91" t="str">
        <f t="shared" si="114"/>
        <v>-32.0935300406615+2.58100190001749j</v>
      </c>
      <c r="O212" s="91" t="str">
        <f t="shared" si="115"/>
        <v>0.00445918941002234-0.442894338543418j</v>
      </c>
      <c r="P212" s="91" t="str">
        <f t="shared" si="116"/>
        <v>0.0319464315941899-3.17297436568419j</v>
      </c>
      <c r="R212" s="91">
        <f t="shared" si="117"/>
        <v>11.82089552238806</v>
      </c>
      <c r="S212" s="91" t="str">
        <f t="shared" si="118"/>
        <v>1+0.0429774982937218j</v>
      </c>
      <c r="T212" s="91" t="str">
        <f t="shared" si="119"/>
        <v>-32.0935300406615+2.58100190001749j</v>
      </c>
      <c r="U212" s="91" t="str">
        <f t="shared" si="120"/>
        <v>-0.030851697758995-0.00382026497780442j</v>
      </c>
      <c r="V212" s="91" t="str">
        <f t="shared" si="121"/>
        <v>-0.364694695897374-0.0451589531704642j</v>
      </c>
      <c r="X212" s="91" t="str">
        <f t="shared" si="122"/>
        <v>-0.148905829270637-0.579236443273091j</v>
      </c>
      <c r="Y212" s="91">
        <f t="shared" si="123"/>
        <v>-4.4649586860264225</v>
      </c>
      <c r="Z212" s="91">
        <f t="shared" si="124"/>
        <v>75.583001710233873</v>
      </c>
      <c r="AB212" s="91" t="str">
        <f t="shared" si="125"/>
        <v>-0.341372048043878-0.0422709858540335j</v>
      </c>
      <c r="AC212" s="91">
        <f t="shared" si="126"/>
        <v>-9.2693555723671555</v>
      </c>
      <c r="AD212" s="91">
        <f t="shared" si="127"/>
        <v>7.0588178429237303</v>
      </c>
      <c r="AF212" s="91" t="str">
        <f t="shared" si="128"/>
        <v>-0.251024486190699-0.220508520518662j</v>
      </c>
      <c r="AG212" s="91">
        <f t="shared" si="129"/>
        <v>-9.5219067454748636</v>
      </c>
      <c r="AH212" s="91">
        <f t="shared" si="130"/>
        <v>41.297181356243726</v>
      </c>
      <c r="AJ212" s="91" t="str">
        <f t="shared" si="131"/>
        <v>46874.6617946717-125.909731081205j</v>
      </c>
      <c r="AK212" s="91" t="str">
        <f t="shared" si="132"/>
        <v>15000-0.000128932494881165j</v>
      </c>
      <c r="AL212" s="91" t="str">
        <f t="shared" si="146"/>
        <v>10000-38779.9833130383j</v>
      </c>
      <c r="AM212" s="91" t="str">
        <f t="shared" si="147"/>
        <v>933.612389193362-12201.1989241714j</v>
      </c>
      <c r="AN212" s="91" t="str">
        <f t="shared" si="148"/>
        <v>10933.6123891934-12201.1989241714j</v>
      </c>
      <c r="AO212" s="91" t="str">
        <f t="shared" si="149"/>
        <v>7896.38417726668-3342.09630439972j</v>
      </c>
      <c r="AP212" s="91" t="str">
        <f t="shared" si="150"/>
        <v>0.242424563659518+0.000493312012646603j</v>
      </c>
      <c r="AQ212" s="91" t="str">
        <f t="shared" si="133"/>
        <v>1+78.3909568877485j</v>
      </c>
      <c r="AR212" s="91">
        <f t="shared" si="134"/>
        <v>-4.3920629545152433E-6</v>
      </c>
      <c r="AS212" s="91" t="str">
        <f t="shared" si="135"/>
        <v>0.00436294955945031j</v>
      </c>
      <c r="AT212" s="91" t="str">
        <f t="shared" si="136"/>
        <v>-4.39206295451524E-06+0.00436294955945031j</v>
      </c>
      <c r="AU212" s="91" t="str">
        <f t="shared" si="137"/>
        <v>5.39015198598051-0.0741869422156719j</v>
      </c>
      <c r="AW212" s="91" t="str">
        <f t="shared" si="151"/>
        <v>1.12755951278845-0.4674631180183j</v>
      </c>
      <c r="AX212" s="91">
        <f t="shared" si="138"/>
        <v>1.7316068263825033</v>
      </c>
      <c r="AY212" s="91">
        <f t="shared" si="139"/>
        <v>157.48210357579131</v>
      </c>
      <c r="AZ212" s="91" t="str">
        <f t="shared" si="140"/>
        <v>-0.404677427020984+0.111915789768223j</v>
      </c>
      <c r="BA212" s="91">
        <f t="shared" si="141"/>
        <v>-7.5377487459846568</v>
      </c>
      <c r="BB212" s="91">
        <f t="shared" si="142"/>
        <v>-15.459078581285013</v>
      </c>
      <c r="BD212" s="91" t="str">
        <f t="shared" si="143"/>
        <v>-0.386124647898411-0.131291790948078j</v>
      </c>
      <c r="BE212" s="91">
        <f t="shared" si="144"/>
        <v>-7.7902999190923774</v>
      </c>
      <c r="BF212" s="91">
        <f t="shared" si="145"/>
        <v>18.779284932034955</v>
      </c>
      <c r="BH212" s="91">
        <f t="shared" si="152"/>
        <v>8.7902999190923765</v>
      </c>
      <c r="BI212" s="112">
        <f t="shared" si="153"/>
        <v>-18.779284932034955</v>
      </c>
      <c r="BJ212" s="95"/>
      <c r="BK212" s="95"/>
      <c r="BL212" s="95"/>
      <c r="BM212" s="95"/>
      <c r="BN212" s="46"/>
      <c r="BO212" s="46"/>
      <c r="BP212" s="46"/>
    </row>
    <row r="213" spans="1:68" s="91" customFormat="1">
      <c r="A213" s="91">
        <v>149</v>
      </c>
      <c r="B213" s="91">
        <f t="shared" si="103"/>
        <v>95499.258602143673</v>
      </c>
      <c r="C213" s="91" t="str">
        <f t="shared" si="104"/>
        <v>600039.538495533j</v>
      </c>
      <c r="D213" s="91">
        <f t="shared" si="105"/>
        <v>0.9698508813436062</v>
      </c>
      <c r="E213" s="91" t="str">
        <f t="shared" si="106"/>
        <v>-0.272745244770697j</v>
      </c>
      <c r="F213" s="91" t="str">
        <f t="shared" si="107"/>
        <v>0.969850881343606-0.272745244770697j</v>
      </c>
      <c r="G213" s="91">
        <f t="shared" si="108"/>
        <v>6.4663420141539404E-2</v>
      </c>
      <c r="H213" s="91">
        <f t="shared" si="109"/>
        <v>-15.70725188193159</v>
      </c>
      <c r="J213" s="91">
        <f t="shared" si="110"/>
        <v>7.1641791044776131</v>
      </c>
      <c r="K213" s="91" t="str">
        <f t="shared" si="111"/>
        <v>1+14.8959815431516j</v>
      </c>
      <c r="L213" s="91">
        <f t="shared" si="112"/>
        <v>-35.286334122994923</v>
      </c>
      <c r="M213" s="91" t="str">
        <f t="shared" si="113"/>
        <v>2.70264077208193j</v>
      </c>
      <c r="N213" s="91" t="str">
        <f t="shared" si="114"/>
        <v>-35.2863341229949+2.70264077208193j</v>
      </c>
      <c r="O213" s="91" t="str">
        <f t="shared" si="115"/>
        <v>0.00397000579119619-0.42184183802575j</v>
      </c>
      <c r="P213" s="91" t="str">
        <f t="shared" si="116"/>
        <v>0.0284418325339429-3.02215048137851j</v>
      </c>
      <c r="R213" s="91">
        <f t="shared" si="117"/>
        <v>11.82089552238806</v>
      </c>
      <c r="S213" s="91" t="str">
        <f t="shared" si="118"/>
        <v>1+0.045002965387165j</v>
      </c>
      <c r="T213" s="91" t="str">
        <f t="shared" si="119"/>
        <v>-35.2863341229949+2.70264077208193j</v>
      </c>
      <c r="U213" s="91" t="str">
        <f t="shared" si="120"/>
        <v>-0.0280771917775223-0.00342584549104191j</v>
      </c>
      <c r="V213" s="91" t="str">
        <f t="shared" si="121"/>
        <v>-0.331897550564144-0.0404965616254506j</v>
      </c>
      <c r="X213" s="91" t="str">
        <f t="shared" si="122"/>
        <v>-0.149148681509553-0.550170697893395j</v>
      </c>
      <c r="Y213" s="91">
        <f t="shared" si="123"/>
        <v>-4.8820601129940471</v>
      </c>
      <c r="Z213" s="91">
        <f t="shared" si="124"/>
        <v>74.831949877769588</v>
      </c>
      <c r="AB213" s="91" t="str">
        <f t="shared" si="125"/>
        <v>-0.310672318109917-0.0379067596439774j</v>
      </c>
      <c r="AC213" s="91">
        <f t="shared" si="126"/>
        <v>-10.089768862216097</v>
      </c>
      <c r="AD213" s="91">
        <f t="shared" si="127"/>
        <v>6.956572188814647</v>
      </c>
      <c r="AF213" s="91" t="str">
        <f t="shared" si="128"/>
        <v>-0.237163726269596-0.197904485521003j</v>
      </c>
      <c r="AG213" s="91">
        <f t="shared" si="129"/>
        <v>-10.203932751176348</v>
      </c>
      <c r="AH213" s="91">
        <f t="shared" si="130"/>
        <v>39.84376697277213</v>
      </c>
      <c r="AJ213" s="91" t="str">
        <f t="shared" si="131"/>
        <v>46874.6291654898-131.843582116921j</v>
      </c>
      <c r="AK213" s="91" t="str">
        <f t="shared" si="132"/>
        <v>15000-0.000135008896161495j</v>
      </c>
      <c r="AL213" s="91" t="str">
        <f t="shared" si="146"/>
        <v>10000-37034.5965499866j</v>
      </c>
      <c r="AM213" s="91" t="str">
        <f t="shared" si="147"/>
        <v>930.859178149239-11666.8393018906j</v>
      </c>
      <c r="AN213" s="91" t="str">
        <f t="shared" si="148"/>
        <v>10930.8591781492-11666.8393018906j</v>
      </c>
      <c r="AO213" s="91" t="str">
        <f t="shared" si="149"/>
        <v>7783.83940184593-3246.70254547974j</v>
      </c>
      <c r="AP213" s="91" t="str">
        <f t="shared" si="150"/>
        <v>0.242424594651704+0.000516561070406068j</v>
      </c>
      <c r="AQ213" s="91" t="str">
        <f t="shared" si="133"/>
        <v>1+82.0854088661889j</v>
      </c>
      <c r="AR213" s="91">
        <f t="shared" si="134"/>
        <v>-4.8254490853285095E-6</v>
      </c>
      <c r="AS213" s="91" t="str">
        <f t="shared" si="135"/>
        <v>0.00456856903740652j</v>
      </c>
      <c r="AT213" s="91" t="str">
        <f t="shared" si="136"/>
        <v>-4.82544908532851E-06+0.00456856903740652j</v>
      </c>
      <c r="AU213" s="91" t="str">
        <f t="shared" si="137"/>
        <v>5.3901512962917-0.0713593026554202j</v>
      </c>
      <c r="AW213" s="91" t="str">
        <f t="shared" si="151"/>
        <v>1.11320878833008-0.482219687988526j</v>
      </c>
      <c r="AX213" s="91">
        <f t="shared" si="138"/>
        <v>1.678398381564681</v>
      </c>
      <c r="AY213" s="91">
        <f t="shared" si="139"/>
        <v>156.57870818114321</v>
      </c>
      <c r="AZ213" s="91" t="str">
        <f t="shared" si="140"/>
        <v>-0.364122540619013+0.107614170332845j</v>
      </c>
      <c r="BA213" s="91">
        <f t="shared" si="141"/>
        <v>-8.4113704806514082</v>
      </c>
      <c r="BB213" s="91">
        <f t="shared" si="142"/>
        <v>-16.464719630042197</v>
      </c>
      <c r="BD213" s="91" t="str">
        <f t="shared" si="143"/>
        <v>-0.359446183615892-0.105943994448003j</v>
      </c>
      <c r="BE213" s="91">
        <f t="shared" si="144"/>
        <v>-8.525534369611659</v>
      </c>
      <c r="BF213" s="91">
        <f t="shared" si="145"/>
        <v>16.422475153915371</v>
      </c>
      <c r="BH213" s="91">
        <f t="shared" si="152"/>
        <v>9.525534369611659</v>
      </c>
      <c r="BI213" s="112">
        <f t="shared" si="153"/>
        <v>-16.422475153915371</v>
      </c>
      <c r="BJ213" s="95"/>
      <c r="BK213" s="95"/>
      <c r="BL213" s="95"/>
      <c r="BM213" s="95"/>
      <c r="BN213" s="46"/>
      <c r="BO213" s="46"/>
      <c r="BP213" s="46"/>
    </row>
    <row r="214" spans="1:68" s="91" customFormat="1">
      <c r="A214" s="91">
        <v>150</v>
      </c>
      <c r="B214" s="91">
        <f t="shared" si="103"/>
        <v>100000</v>
      </c>
      <c r="C214" s="91" t="str">
        <f t="shared" si="104"/>
        <v>628318.530717959j</v>
      </c>
      <c r="D214" s="91">
        <f t="shared" si="105"/>
        <v>0.96694214876033047</v>
      </c>
      <c r="E214" s="91" t="str">
        <f t="shared" si="106"/>
        <v>-0.285599332144527j</v>
      </c>
      <c r="F214" s="91" t="str">
        <f t="shared" si="107"/>
        <v>0.96694214876033-0.285599332144527j</v>
      </c>
      <c r="G214" s="91">
        <f t="shared" si="108"/>
        <v>7.1262230293438811E-2</v>
      </c>
      <c r="H214" s="91">
        <f t="shared" si="109"/>
        <v>-16.455212337585035</v>
      </c>
      <c r="J214" s="91">
        <f t="shared" si="110"/>
        <v>7.1641791044776131</v>
      </c>
      <c r="K214" s="91" t="str">
        <f t="shared" si="111"/>
        <v>1+15.5980075250733j</v>
      </c>
      <c r="L214" s="91">
        <f t="shared" si="112"/>
        <v>-38.787174183830381</v>
      </c>
      <c r="M214" s="91" t="str">
        <f t="shared" si="113"/>
        <v>2.83001230757332j</v>
      </c>
      <c r="N214" s="91" t="str">
        <f t="shared" si="114"/>
        <v>-38.7871741838304+2.83001230757332j</v>
      </c>
      <c r="O214" s="91" t="str">
        <f t="shared" si="115"/>
        <v>0.00354085454099451-0.401885086788335j</v>
      </c>
      <c r="P214" s="91" t="str">
        <f t="shared" si="116"/>
        <v>0.0253673161145875-2.87917674117016j</v>
      </c>
      <c r="R214" s="91">
        <f t="shared" si="117"/>
        <v>11.82089552238806</v>
      </c>
      <c r="S214" s="91" t="str">
        <f t="shared" si="118"/>
        <v>1+0.0471238898038469j</v>
      </c>
      <c r="T214" s="91" t="str">
        <f t="shared" si="119"/>
        <v>-38.7871741838304+2.83001230757332j</v>
      </c>
      <c r="U214" s="91" t="str">
        <f t="shared" si="120"/>
        <v>-0.0255570197890985-0.00307964096032774j</v>
      </c>
      <c r="V214" s="91" t="str">
        <f t="shared" si="121"/>
        <v>-0.302106860790538-0.036404114038501j</v>
      </c>
      <c r="X214" s="91" t="str">
        <f t="shared" si="122"/>
        <v>-0.149348881918338-0.522547812452536j</v>
      </c>
      <c r="Y214" s="91">
        <f t="shared" si="123"/>
        <v>-5.2964640205022517</v>
      </c>
      <c r="Z214" s="91">
        <f t="shared" si="124"/>
        <v>74.049585621919093</v>
      </c>
      <c r="AB214" s="91" t="str">
        <f t="shared" si="125"/>
        <v>-0.282786777423256-0.0340760288162871j</v>
      </c>
      <c r="AC214" s="91">
        <f t="shared" si="126"/>
        <v>-10.908210012939792</v>
      </c>
      <c r="AD214" s="91">
        <f t="shared" si="127"/>
        <v>6.8710573195065479</v>
      </c>
      <c r="AF214" s="91" t="str">
        <f t="shared" si="128"/>
        <v>-0.223492206664812-0.177348138740344j</v>
      </c>
      <c r="AG214" s="91">
        <f t="shared" si="129"/>
        <v>-10.893695728935633</v>
      </c>
      <c r="AH214" s="91">
        <f t="shared" si="130"/>
        <v>38.433112828789177</v>
      </c>
      <c r="AJ214" s="91" t="str">
        <f t="shared" si="131"/>
        <v>46874.5933883556-138.057073339562j</v>
      </c>
      <c r="AK214" s="91" t="str">
        <f t="shared" si="132"/>
        <v>15000-0.000141371669411541j</v>
      </c>
      <c r="AL214" s="91" t="str">
        <f t="shared" si="146"/>
        <v>10000-35367.7651315322j</v>
      </c>
      <c r="AM214" s="91" t="str">
        <f t="shared" si="147"/>
        <v>927.858946029806-11157.1312038254j</v>
      </c>
      <c r="AN214" s="91" t="str">
        <f t="shared" si="148"/>
        <v>10927.8589460298-11157.1312038254j</v>
      </c>
      <c r="AO214" s="91" t="str">
        <f t="shared" si="149"/>
        <v>7677.91044728668-3150.8006293648j</v>
      </c>
      <c r="AP214" s="91" t="str">
        <f t="shared" si="150"/>
        <v>0.242424628633956+0.000540905819370405j</v>
      </c>
      <c r="AQ214" s="91" t="str">
        <f t="shared" si="133"/>
        <v>1+85.9539750022168j</v>
      </c>
      <c r="AR214" s="91">
        <f t="shared" si="134"/>
        <v>-5.3006475282761066E-6</v>
      </c>
      <c r="AS214" s="91" t="str">
        <f t="shared" si="135"/>
        <v>0.00478387906280978j</v>
      </c>
      <c r="AT214" s="91" t="str">
        <f t="shared" si="136"/>
        <v>-5.30064752827611E-06+0.00478387906280978j</v>
      </c>
      <c r="AU214" s="91" t="str">
        <f t="shared" si="137"/>
        <v>5.39015056559766-0.0686830256280741j</v>
      </c>
      <c r="AW214" s="91" t="str">
        <f t="shared" si="151"/>
        <v>1.09786872650947-0.497055672074982j</v>
      </c>
      <c r="AX214" s="91">
        <f t="shared" si="138"/>
        <v>1.6208028428639807</v>
      </c>
      <c r="AY214" s="91">
        <f t="shared" si="139"/>
        <v>155.6415500650084</v>
      </c>
      <c r="AZ214" s="91" t="str">
        <f t="shared" si="140"/>
        <v>-0.327400442608313+0.103149765344998j</v>
      </c>
      <c r="BA214" s="91">
        <f t="shared" si="141"/>
        <v>-9.2874071700758094</v>
      </c>
      <c r="BB214" s="91">
        <f t="shared" si="142"/>
        <v>-17.487392615485106</v>
      </c>
      <c r="BD214" s="91" t="str">
        <f t="shared" si="143"/>
        <v>-0.333517002608718-0.0836169062403864j</v>
      </c>
      <c r="BE214" s="91">
        <f t="shared" si="144"/>
        <v>-9.272892886071638</v>
      </c>
      <c r="BF214" s="91">
        <f t="shared" si="145"/>
        <v>14.074662893797381</v>
      </c>
      <c r="BH214" s="91">
        <f t="shared" si="152"/>
        <v>10.272892886071638</v>
      </c>
      <c r="BI214" s="112">
        <f t="shared" si="153"/>
        <v>-14.074662893797381</v>
      </c>
      <c r="BJ214" s="95"/>
      <c r="BK214" s="95"/>
      <c r="BL214" s="95"/>
      <c r="BM214" s="95"/>
      <c r="BN214" s="46"/>
      <c r="BO214" s="46"/>
      <c r="BP214" s="46"/>
    </row>
    <row r="215" spans="1:68" s="91" customFormat="1">
      <c r="A215" s="91">
        <v>151</v>
      </c>
      <c r="B215" s="91">
        <f t="shared" si="103"/>
        <v>104712.85480509</v>
      </c>
      <c r="C215" s="91" t="str">
        <f t="shared" si="104"/>
        <v>657930.270784171j</v>
      </c>
      <c r="D215" s="91">
        <f t="shared" si="105"/>
        <v>0.96375278690435739</v>
      </c>
      <c r="E215" s="91" t="str">
        <f t="shared" si="106"/>
        <v>-0.299059213992805j</v>
      </c>
      <c r="F215" s="91" t="str">
        <f t="shared" si="107"/>
        <v>0.963752786904357-0.299059213992805j</v>
      </c>
      <c r="G215" s="91">
        <f t="shared" si="108"/>
        <v>7.856912874295284E-2</v>
      </c>
      <c r="H215" s="91">
        <f t="shared" si="109"/>
        <v>-17.239481228887637</v>
      </c>
      <c r="J215" s="91">
        <f t="shared" si="110"/>
        <v>7.1641791044776131</v>
      </c>
      <c r="K215" s="91" t="str">
        <f t="shared" si="111"/>
        <v>1+16.333118972217j</v>
      </c>
      <c r="L215" s="91">
        <f t="shared" si="112"/>
        <v>-42.625768978721062</v>
      </c>
      <c r="M215" s="91" t="str">
        <f t="shared" si="113"/>
        <v>2.96338667859542j</v>
      </c>
      <c r="N215" s="91" t="str">
        <f t="shared" si="114"/>
        <v>-42.6257689787211+2.96338667859542j</v>
      </c>
      <c r="O215" s="91" t="str">
        <f t="shared" si="115"/>
        <v>0.00316342142434386-0.382954839816689j</v>
      </c>
      <c r="P215" s="91" t="str">
        <f t="shared" si="116"/>
        <v>0.0226633176669411-2.74355706137329j</v>
      </c>
      <c r="R215" s="91">
        <f t="shared" si="117"/>
        <v>11.82089552238806</v>
      </c>
      <c r="S215" s="91" t="str">
        <f t="shared" si="118"/>
        <v>1+0.0493447703088128j</v>
      </c>
      <c r="T215" s="91" t="str">
        <f t="shared" si="119"/>
        <v>-42.6257689787211+2.96338667859542j</v>
      </c>
      <c r="U215" s="91" t="str">
        <f t="shared" si="120"/>
        <v>-0.0232670542150274-0.00277517688604833j</v>
      </c>
      <c r="V215" s="91" t="str">
        <f t="shared" si="121"/>
        <v>-0.275037416989578-0.0328050760261235j</v>
      </c>
      <c r="X215" s="91" t="str">
        <f t="shared" si="122"/>
        <v>-0.149513992604215-0.49627221089916j</v>
      </c>
      <c r="Y215" s="91">
        <f t="shared" si="123"/>
        <v>-5.7082844612681685</v>
      </c>
      <c r="Z215" s="91">
        <f t="shared" si="124"/>
        <v>73.23380322949069</v>
      </c>
      <c r="AB215" s="91" t="str">
        <f t="shared" si="125"/>
        <v>-0.257448455880069-0.030707153449866j</v>
      </c>
      <c r="AC215" s="91">
        <f t="shared" si="126"/>
        <v>-11.724844569768065</v>
      </c>
      <c r="AD215" s="91">
        <f t="shared" si="127"/>
        <v>6.8018177024795534</v>
      </c>
      <c r="AF215" s="91" t="str">
        <f t="shared" si="128"/>
        <v>-0.210101654665903-0.158703100287073j</v>
      </c>
      <c r="AG215" s="91">
        <f t="shared" si="129"/>
        <v>-11.590826877716756</v>
      </c>
      <c r="AH215" s="91">
        <f t="shared" si="130"/>
        <v>37.066063990828241</v>
      </c>
      <c r="AJ215" s="91" t="str">
        <f t="shared" si="131"/>
        <v>46874.5541595707-144.563381770751j</v>
      </c>
      <c r="AK215" s="91" t="str">
        <f t="shared" si="132"/>
        <v>15000-0.000148034310926439j</v>
      </c>
      <c r="AL215" s="91" t="str">
        <f t="shared" si="146"/>
        <v>10000-33775.9534847608j</v>
      </c>
      <c r="AM215" s="91" t="str">
        <f t="shared" si="147"/>
        <v>924.59140744975-10670.9803944297j</v>
      </c>
      <c r="AN215" s="91" t="str">
        <f t="shared" si="148"/>
        <v>10924.5914074498-10670.9803944297j</v>
      </c>
      <c r="AO215" s="91" t="str">
        <f t="shared" si="149"/>
        <v>7578.4064404311-3054.84775517726j</v>
      </c>
      <c r="AP215" s="91" t="str">
        <f t="shared" si="150"/>
        <v>0.242424665894752+0.000566397897411378j</v>
      </c>
      <c r="AQ215" s="91" t="str">
        <f t="shared" si="133"/>
        <v>1+90.0048610432746j</v>
      </c>
      <c r="AR215" s="91">
        <f t="shared" si="134"/>
        <v>-5.8216922598093405E-6</v>
      </c>
      <c r="AS215" s="91" t="str">
        <f t="shared" si="135"/>
        <v>0.00500933633709111j</v>
      </c>
      <c r="AT215" s="91" t="str">
        <f t="shared" si="136"/>
        <v>-5.82169225980934E-06+0.00500933633709111j</v>
      </c>
      <c r="AU215" s="91" t="str">
        <f t="shared" si="137"/>
        <v>5.39014978769553-0.0661524343743048j</v>
      </c>
      <c r="AW215" s="91" t="str">
        <f t="shared" si="151"/>
        <v>1.08150530262605-0.511904959790923j</v>
      </c>
      <c r="AX215" s="91">
        <f t="shared" si="138"/>
        <v>1.5585214856097298</v>
      </c>
      <c r="AY215" s="91">
        <f t="shared" si="139"/>
        <v>154.67057266899997</v>
      </c>
      <c r="AZ215" s="91" t="str">
        <f t="shared" si="140"/>
        <v>-0.294151014339231+0.09857919217094j</v>
      </c>
      <c r="BA215" s="91">
        <f t="shared" si="141"/>
        <v>-10.166323084158325</v>
      </c>
      <c r="BB215" s="91">
        <f t="shared" si="142"/>
        <v>-18.527609628520452</v>
      </c>
      <c r="BD215" s="91" t="str">
        <f t="shared" si="143"/>
        <v>-0.308466957782831-0.064086165419908j</v>
      </c>
      <c r="BE215" s="91">
        <f t="shared" si="144"/>
        <v>-10.032305392107002</v>
      </c>
      <c r="BF215" s="91">
        <f t="shared" si="145"/>
        <v>11.736636659828207</v>
      </c>
      <c r="BH215" s="91">
        <f t="shared" si="152"/>
        <v>11.032305392107002</v>
      </c>
      <c r="BI215" s="112">
        <f t="shared" si="153"/>
        <v>-11.736636659828207</v>
      </c>
      <c r="BJ215" s="95"/>
      <c r="BK215" s="95"/>
      <c r="BL215" s="95"/>
      <c r="BM215" s="95"/>
      <c r="BN215" s="46"/>
      <c r="BO215" s="46"/>
      <c r="BP215" s="46"/>
    </row>
    <row r="216" spans="1:68" s="91" customFormat="1">
      <c r="A216" s="91">
        <v>152</v>
      </c>
      <c r="B216" s="91">
        <f t="shared" si="103"/>
        <v>109647.81961431864</v>
      </c>
      <c r="C216" s="91" t="str">
        <f t="shared" si="104"/>
        <v>688937.569164964j</v>
      </c>
      <c r="D216" s="91">
        <f t="shared" si="105"/>
        <v>0.96025572116967228</v>
      </c>
      <c r="E216" s="91" t="str">
        <f t="shared" si="106"/>
        <v>-0.313153440529529j</v>
      </c>
      <c r="F216" s="91" t="str">
        <f t="shared" si="107"/>
        <v>0.960255721169672-0.313153440529529j</v>
      </c>
      <c r="G216" s="91">
        <f t="shared" si="108"/>
        <v>8.6666424087335187E-2</v>
      </c>
      <c r="H216" s="91">
        <f t="shared" si="109"/>
        <v>-18.061905175066695</v>
      </c>
      <c r="J216" s="91">
        <f t="shared" si="110"/>
        <v>7.1641791044776131</v>
      </c>
      <c r="K216" s="91" t="str">
        <f t="shared" si="111"/>
        <v>1+17.1028751545202j</v>
      </c>
      <c r="L216" s="91">
        <f t="shared" si="112"/>
        <v>-46.834704475147369</v>
      </c>
      <c r="M216" s="91" t="str">
        <f t="shared" si="113"/>
        <v>3.103046790071j</v>
      </c>
      <c r="N216" s="91" t="str">
        <f t="shared" si="114"/>
        <v>-46.8347044751474+3.103046790071j</v>
      </c>
      <c r="O216" s="91" t="str">
        <f t="shared" si="115"/>
        <v>0.00283067730419158-0.364987707768469j</v>
      </c>
      <c r="P216" s="91" t="str">
        <f t="shared" si="116"/>
        <v>0.0202794791942083-2.61483730938605j</v>
      </c>
      <c r="R216" s="91">
        <f t="shared" si="117"/>
        <v>11.82089552238806</v>
      </c>
      <c r="S216" s="91" t="str">
        <f t="shared" si="118"/>
        <v>1+0.0516703176873723j</v>
      </c>
      <c r="T216" s="91" t="str">
        <f t="shared" si="119"/>
        <v>-46.8347044751474+3.103046790071j</v>
      </c>
      <c r="U216" s="91" t="str">
        <f t="shared" si="120"/>
        <v>-0.0211855922759385-0.00250690600294659j</v>
      </c>
      <c r="V216" s="91" t="str">
        <f t="shared" si="121"/>
        <v>-0.250432672873781-0.0296338739452791j</v>
      </c>
      <c r="X216" s="91" t="str">
        <f t="shared" si="122"/>
        <v>-0.149650212269748-0.47125623762948j</v>
      </c>
      <c r="Y216" s="91">
        <f t="shared" si="123"/>
        <v>-6.1176087757003241</v>
      </c>
      <c r="Z216" s="91">
        <f t="shared" si="124"/>
        <v>72.382445710230897</v>
      </c>
      <c r="AB216" s="91" t="str">
        <f t="shared" si="125"/>
        <v>-0.234417213624852-0.0277387534120341j</v>
      </c>
      <c r="AC216" s="91">
        <f t="shared" si="126"/>
        <v>-12.539821231331501</v>
      </c>
      <c r="AD216" s="91">
        <f t="shared" si="127"/>
        <v>6.7484688547299641</v>
      </c>
      <c r="AF216" s="91" t="str">
        <f t="shared" si="128"/>
        <v>-0.197068408639137-0.141833951114247j</v>
      </c>
      <c r="AG216" s="91">
        <f t="shared" si="129"/>
        <v>-12.294953613455402</v>
      </c>
      <c r="AH216" s="91">
        <f t="shared" si="130"/>
        <v>35.743296503841208</v>
      </c>
      <c r="AJ216" s="91" t="str">
        <f t="shared" si="131"/>
        <v>46874.5111461389-151.376305147579j</v>
      </c>
      <c r="AK216" s="91" t="str">
        <f t="shared" si="132"/>
        <v>15000-0.000155010953062118j</v>
      </c>
      <c r="AL216" s="91" t="str">
        <f t="shared" si="146"/>
        <v>10000-32255.7851637514j</v>
      </c>
      <c r="AM216" s="91" t="str">
        <f t="shared" si="147"/>
        <v>921.034972367857-10207.3409251232j</v>
      </c>
      <c r="AN216" s="91" t="str">
        <f t="shared" si="148"/>
        <v>10921.0349723679-10207.3409251232j</v>
      </c>
      <c r="AO216" s="91" t="str">
        <f t="shared" si="149"/>
        <v>7485.10620738613-2959.26005931779j</v>
      </c>
      <c r="AP216" s="91" t="str">
        <f t="shared" si="150"/>
        <v>0.242424706750398+0.000593091375949923j</v>
      </c>
      <c r="AQ216" s="91" t="str">
        <f t="shared" si="133"/>
        <v>1+94.2466594617671j</v>
      </c>
      <c r="AR216" s="91">
        <f t="shared" si="134"/>
        <v>-6.393006447150803E-6</v>
      </c>
      <c r="AS216" s="91" t="str">
        <f t="shared" si="135"/>
        <v>0.00524541908535682j</v>
      </c>
      <c r="AT216" s="91" t="str">
        <f t="shared" si="136"/>
        <v>-0.0000063930064471508+0.00524541908535682j</v>
      </c>
      <c r="AU216" s="91" t="str">
        <f t="shared" si="137"/>
        <v>5.39014895598174-0.0637621611513129j</v>
      </c>
      <c r="AW216" s="91" t="str">
        <f t="shared" si="151"/>
        <v>1.06408905322121-0.526695085624218j</v>
      </c>
      <c r="AX216" s="91">
        <f t="shared" si="138"/>
        <v>1.4912461295705577</v>
      </c>
      <c r="AY216" s="91">
        <f t="shared" si="139"/>
        <v>153.66584401822195</v>
      </c>
      <c r="AZ216" s="91" t="str">
        <f t="shared" si="140"/>
        <v>-0.264050656008283+0.093949890546184j</v>
      </c>
      <c r="BA216" s="91">
        <f t="shared" si="141"/>
        <v>-11.048575101760953</v>
      </c>
      <c r="BB216" s="91">
        <f t="shared" si="142"/>
        <v>-19.585687127048089</v>
      </c>
      <c r="BD216" s="91" t="str">
        <f t="shared" si="143"/>
        <v>-0.284401581395169-0.0471289923937635j</v>
      </c>
      <c r="BE216" s="91">
        <f t="shared" si="144"/>
        <v>-10.803707483884855</v>
      </c>
      <c r="BF216" s="91">
        <f t="shared" si="145"/>
        <v>9.4091405220631259</v>
      </c>
      <c r="BH216" s="91">
        <f t="shared" si="152"/>
        <v>11.803707483884855</v>
      </c>
      <c r="BI216" s="112">
        <f t="shared" si="153"/>
        <v>-9.4091405220631259</v>
      </c>
      <c r="BJ216" s="95"/>
      <c r="BK216" s="95"/>
      <c r="BL216" s="95"/>
      <c r="BM216" s="95"/>
      <c r="BN216" s="46"/>
      <c r="BO216" s="46"/>
      <c r="BP216" s="46"/>
    </row>
    <row r="217" spans="1:68" s="91" customFormat="1">
      <c r="A217" s="91">
        <v>153</v>
      </c>
      <c r="B217" s="91">
        <f t="shared" si="103"/>
        <v>114815.3621496884</v>
      </c>
      <c r="C217" s="91" t="str">
        <f t="shared" si="104"/>
        <v>721406.196497425j</v>
      </c>
      <c r="D217" s="91">
        <f t="shared" si="105"/>
        <v>0.95642126484111045</v>
      </c>
      <c r="E217" s="91" t="str">
        <f t="shared" si="106"/>
        <v>-0.32791190749883j</v>
      </c>
      <c r="F217" s="91" t="str">
        <f t="shared" si="107"/>
        <v>0.95642126484111-0.32791190749883j</v>
      </c>
      <c r="G217" s="91">
        <f t="shared" si="108"/>
        <v>9.5647046755504173E-2</v>
      </c>
      <c r="H217" s="91">
        <f t="shared" si="109"/>
        <v>-18.924432421985941</v>
      </c>
      <c r="J217" s="91">
        <f t="shared" si="110"/>
        <v>7.1641791044776131</v>
      </c>
      <c r="K217" s="91" t="str">
        <f t="shared" si="111"/>
        <v>1+17.9089088280486j</v>
      </c>
      <c r="L217" s="91">
        <f t="shared" si="112"/>
        <v>-51.449710475951846</v>
      </c>
      <c r="M217" s="91" t="str">
        <f t="shared" si="113"/>
        <v>3.24928887982105j</v>
      </c>
      <c r="N217" s="91" t="str">
        <f t="shared" si="114"/>
        <v>-51.4497104759518+3.24928887982105j</v>
      </c>
      <c r="O217" s="91" t="str">
        <f t="shared" si="115"/>
        <v>0.00253666098800522-0.347925504694052j</v>
      </c>
      <c r="P217" s="91" t="str">
        <f t="shared" si="116"/>
        <v>0.0181730936454105-2.49260063064395j</v>
      </c>
      <c r="R217" s="91">
        <f t="shared" si="117"/>
        <v>11.82089552238806</v>
      </c>
      <c r="S217" s="91" t="str">
        <f t="shared" si="118"/>
        <v>1+0.0541054647373069j</v>
      </c>
      <c r="T217" s="91" t="str">
        <f t="shared" si="119"/>
        <v>-51.4497104759518+3.24928887982105j</v>
      </c>
      <c r="U217" s="91" t="str">
        <f t="shared" si="120"/>
        <v>-0.0192930900388005-0.00227006695620491j</v>
      </c>
      <c r="V217" s="91" t="str">
        <f t="shared" si="121"/>
        <v>-0.228061601652687-0.0268342243181237j</v>
      </c>
      <c r="X217" s="91" t="str">
        <f t="shared" si="122"/>
        <v>-0.149762628043269-0.447419257136767j</v>
      </c>
      <c r="Y217" s="91">
        <f t="shared" si="123"/>
        <v>-6.5244979676871235</v>
      </c>
      <c r="Z217" s="91">
        <f t="shared" si="124"/>
        <v>71.493293187544893</v>
      </c>
      <c r="AB217" s="91" t="str">
        <f t="shared" si="125"/>
        <v>-0.213476798297755-0.0251181446184907j</v>
      </c>
      <c r="AC217" s="91">
        <f t="shared" si="126"/>
        <v>-13.35327337259714</v>
      </c>
      <c r="AD217" s="91">
        <f t="shared" si="127"/>
        <v>6.7106911334826123</v>
      </c>
      <c r="AF217" s="91" t="str">
        <f t="shared" si="128"/>
        <v>-0.184454448289652-0.126607722029534j</v>
      </c>
      <c r="AG217" s="91">
        <f t="shared" si="129"/>
        <v>-13.005702450560028</v>
      </c>
      <c r="AH217" s="91">
        <f t="shared" si="130"/>
        <v>34.46532150586998</v>
      </c>
      <c r="AJ217" s="91" t="str">
        <f t="shared" si="131"/>
        <v>46874.4639829395-158.510291131819j</v>
      </c>
      <c r="AK217" s="91" t="str">
        <f t="shared" si="132"/>
        <v>15000-0.000162316394211921j</v>
      </c>
      <c r="AL217" s="91" t="str">
        <f t="shared" si="146"/>
        <v>10000-30804.0356876829j</v>
      </c>
      <c r="AM217" s="91" t="str">
        <f t="shared" si="147"/>
        <v>917.166733125317-9765.21272653885j</v>
      </c>
      <c r="AN217" s="91" t="str">
        <f t="shared" si="148"/>
        <v>10917.1667331253-9765.21272653885j</v>
      </c>
      <c r="AO217" s="91" t="str">
        <f t="shared" si="149"/>
        <v>7397.76442947255-2864.41218205512j</v>
      </c>
      <c r="AP217" s="91" t="str">
        <f t="shared" si="150"/>
        <v>0.242424751547718+0.000621042874635653j</v>
      </c>
      <c r="AQ217" s="91" t="str">
        <f t="shared" si="133"/>
        <v>1+98.6883676808477j</v>
      </c>
      <c r="AR217" s="91">
        <f t="shared" si="134"/>
        <v>-7.0194399967179721E-6</v>
      </c>
      <c r="AS217" s="91" t="str">
        <f t="shared" si="135"/>
        <v>0.00549262807076817j</v>
      </c>
      <c r="AT217" s="91" t="str">
        <f t="shared" si="136"/>
        <v>-7.01943999671797E-06+0.00549262807076817j</v>
      </c>
      <c r="AU217" s="91" t="str">
        <f t="shared" si="137"/>
        <v>5.39014806339588-0.0615071358467541j</v>
      </c>
      <c r="AW217" s="91" t="str">
        <f t="shared" si="151"/>
        <v>1.04559609710951-0.541347408240038j</v>
      </c>
      <c r="AX217" s="91">
        <f t="shared" si="138"/>
        <v>1.418660621356655</v>
      </c>
      <c r="AY217" s="91">
        <f t="shared" si="139"/>
        <v>152.62756900270222</v>
      </c>
      <c r="AZ217" s="91" t="str">
        <f t="shared" si="140"/>
        <v>-0.236808149612585+0.0893016774981449j</v>
      </c>
      <c r="BA217" s="91">
        <f t="shared" si="141"/>
        <v>-11.93461275124049</v>
      </c>
      <c r="BB217" s="91">
        <f t="shared" si="142"/>
        <v>-20.661739863815171</v>
      </c>
      <c r="BD217" s="91" t="str">
        <f t="shared" si="143"/>
        <v>-0.261403613410012-0.0325266024980569j</v>
      </c>
      <c r="BE217" s="91">
        <f t="shared" si="144"/>
        <v>-11.587041829203358</v>
      </c>
      <c r="BF217" s="91">
        <f t="shared" si="145"/>
        <v>7.0928905085721112</v>
      </c>
      <c r="BH217" s="91">
        <f t="shared" si="152"/>
        <v>12.587041829203358</v>
      </c>
      <c r="BI217" s="112">
        <f t="shared" si="153"/>
        <v>-7.0928905085721112</v>
      </c>
      <c r="BJ217" s="95"/>
      <c r="BK217" s="95"/>
      <c r="BL217" s="95"/>
      <c r="BM217" s="95"/>
      <c r="BN217" s="46"/>
      <c r="BO217" s="46"/>
      <c r="BP217" s="46"/>
    </row>
    <row r="218" spans="1:68" s="91" customFormat="1">
      <c r="A218" s="91">
        <v>154</v>
      </c>
      <c r="B218" s="91">
        <f t="shared" si="103"/>
        <v>120226.44346174138</v>
      </c>
      <c r="C218" s="91" t="str">
        <f t="shared" si="104"/>
        <v>755405.023093271j</v>
      </c>
      <c r="D218" s="91">
        <f t="shared" si="105"/>
        <v>0.95221686708277919</v>
      </c>
      <c r="E218" s="91" t="str">
        <f t="shared" si="106"/>
        <v>-0.34336591958785j</v>
      </c>
      <c r="F218" s="91" t="str">
        <f t="shared" si="107"/>
        <v>0.952216867082779-0.34336591958785j</v>
      </c>
      <c r="G218" s="91">
        <f t="shared" si="108"/>
        <v>0.10561606686243451</v>
      </c>
      <c r="H218" s="91">
        <f t="shared" si="109"/>
        <v>-19.829118401113544</v>
      </c>
      <c r="J218" s="91">
        <f t="shared" si="110"/>
        <v>7.1641791044776131</v>
      </c>
      <c r="K218" s="91" t="str">
        <f t="shared" si="111"/>
        <v>1+18.7529296982904j</v>
      </c>
      <c r="L218" s="91">
        <f t="shared" si="112"/>
        <v>-56.509963930904078</v>
      </c>
      <c r="M218" s="91" t="str">
        <f t="shared" si="113"/>
        <v>3.40242314692495j</v>
      </c>
      <c r="N218" s="91" t="str">
        <f t="shared" si="114"/>
        <v>-56.5099639309041+3.40242314692495j</v>
      </c>
      <c r="O218" s="91" t="str">
        <f t="shared" si="115"/>
        <v>0.0022763014839898-0.331714682747843j</v>
      </c>
      <c r="P218" s="91" t="str">
        <f t="shared" si="116"/>
        <v>0.0163078315270911-2.37646339879052j</v>
      </c>
      <c r="R218" s="91">
        <f t="shared" si="117"/>
        <v>11.82089552238806</v>
      </c>
      <c r="S218" s="91" t="str">
        <f t="shared" si="118"/>
        <v>1+0.0566553767319953j</v>
      </c>
      <c r="T218" s="91" t="str">
        <f t="shared" si="119"/>
        <v>-56.5099639309041+3.40242314692495j</v>
      </c>
      <c r="U218" s="91" t="str">
        <f t="shared" si="120"/>
        <v>-0.0175719291462913-0.00206056608597094j</v>
      </c>
      <c r="V218" s="91" t="str">
        <f t="shared" si="121"/>
        <v>-0.207715938565115-0.0243577364192386j</v>
      </c>
      <c r="X218" s="91" t="str">
        <f t="shared" si="122"/>
        <v>-0.149855419282082-0.424686873705658j</v>
      </c>
      <c r="Y218" s="91">
        <f t="shared" si="123"/>
        <v>-6.9289867036618773</v>
      </c>
      <c r="Z218" s="91">
        <f t="shared" si="124"/>
        <v>70.564052078120199</v>
      </c>
      <c r="AB218" s="91" t="str">
        <f t="shared" si="125"/>
        <v>-0.194432263910094-0.0228000309867087j</v>
      </c>
      <c r="AC218" s="91">
        <f t="shared" si="126"/>
        <v>-14.165320393852991</v>
      </c>
      <c r="AD218" s="91">
        <f t="shared" si="127"/>
        <v>6.6882244431496929</v>
      </c>
      <c r="AF218" s="91" t="str">
        <f t="shared" si="128"/>
        <v>-0.172308540955782-0.112895157758876j</v>
      </c>
      <c r="AG218" s="91">
        <f t="shared" si="129"/>
        <v>-13.722701653322586</v>
      </c>
      <c r="AH218" s="91">
        <f t="shared" si="130"/>
        <v>33.232491624310114</v>
      </c>
      <c r="AJ218" s="91" t="str">
        <f t="shared" si="131"/>
        <v>46874.4122696288-165.980467889168j</v>
      </c>
      <c r="AK218" s="91" t="str">
        <f t="shared" si="132"/>
        <v>15000-0.000169966130195986j</v>
      </c>
      <c r="AL218" s="91" t="str">
        <f t="shared" si="146"/>
        <v>10000-29417.6257012768j</v>
      </c>
      <c r="AM218" s="91" t="str">
        <f t="shared" si="147"/>
        <v>912.962467670588-9343.6392833537j</v>
      </c>
      <c r="AN218" s="91" t="str">
        <f t="shared" si="148"/>
        <v>10912.9624676706-9343.6392833537j</v>
      </c>
      <c r="AO218" s="91" t="str">
        <f t="shared" si="149"/>
        <v>7316.11735024097-2770.63760949304j</v>
      </c>
      <c r="AP218" s="91" t="str">
        <f t="shared" si="150"/>
        <v>0.242424800666996+0.00065031168142945j</v>
      </c>
      <c r="AQ218" s="91" t="str">
        <f t="shared" si="133"/>
        <v>1+103.339407159159j</v>
      </c>
      <c r="AR218" s="91">
        <f t="shared" si="134"/>
        <v>-7.7063107251509744E-6</v>
      </c>
      <c r="AS218" s="91" t="str">
        <f t="shared" si="135"/>
        <v>0.00575148765672708j</v>
      </c>
      <c r="AT218" s="91" t="str">
        <f t="shared" si="136"/>
        <v>-7.70631072515097E-06+0.00575148765672708j</v>
      </c>
      <c r="AU218" s="91" t="str">
        <f t="shared" si="137"/>
        <v>5.39014710236079-0.0593825752239237j</v>
      </c>
      <c r="AW218" s="91" t="str">
        <f t="shared" si="151"/>
        <v>1.02600919491895-0.555777452832367j</v>
      </c>
      <c r="AX218" s="91">
        <f t="shared" si="138"/>
        <v>1.3404426238637237</v>
      </c>
      <c r="AY218" s="91">
        <f t="shared" si="139"/>
        <v>151.55610113337244</v>
      </c>
      <c r="AZ218" s="91" t="str">
        <f t="shared" si="140"/>
        <v>-0.212161033706956+0.0846680269475824j</v>
      </c>
      <c r="BA218" s="91">
        <f t="shared" si="141"/>
        <v>-12.824877769989286</v>
      </c>
      <c r="BB218" s="91">
        <f t="shared" si="142"/>
        <v>-21.755674423477871</v>
      </c>
      <c r="BD218" s="91" t="str">
        <f t="shared" si="143"/>
        <v>-0.239534730600037-0.0200662679287663j</v>
      </c>
      <c r="BE218" s="91">
        <f t="shared" si="144"/>
        <v>-12.382259029458869</v>
      </c>
      <c r="BF218" s="91">
        <f t="shared" si="145"/>
        <v>4.7885927576825793</v>
      </c>
      <c r="BH218" s="91">
        <f t="shared" si="152"/>
        <v>13.382259029458869</v>
      </c>
      <c r="BI218" s="112">
        <f t="shared" si="153"/>
        <v>-4.7885927576825793</v>
      </c>
      <c r="BJ218" s="95"/>
      <c r="BK218" s="95"/>
      <c r="BL218" s="95"/>
      <c r="BM218" s="95"/>
      <c r="BN218" s="46"/>
      <c r="BO218" s="46"/>
      <c r="BP218" s="46"/>
    </row>
    <row r="219" spans="1:68" s="91" customFormat="1">
      <c r="A219" s="91">
        <v>155</v>
      </c>
      <c r="B219" s="91">
        <f t="shared" si="103"/>
        <v>125892.5411794168</v>
      </c>
      <c r="C219" s="91" t="str">
        <f t="shared" si="104"/>
        <v>791006.165022013j</v>
      </c>
      <c r="D219" s="91">
        <f t="shared" si="105"/>
        <v>0.94760683661285561</v>
      </c>
      <c r="E219" s="91" t="str">
        <f t="shared" si="106"/>
        <v>-0.359548256828188j</v>
      </c>
      <c r="F219" s="91" t="str">
        <f t="shared" si="107"/>
        <v>0.947606836612856-0.359548256828188j</v>
      </c>
      <c r="G219" s="91">
        <f t="shared" si="108"/>
        <v>0.11669244198748872</v>
      </c>
      <c r="H219" s="91">
        <f t="shared" si="109"/>
        <v>-20.778131314744144</v>
      </c>
      <c r="J219" s="91">
        <f t="shared" si="110"/>
        <v>7.1641791044776131</v>
      </c>
      <c r="K219" s="91" t="str">
        <f t="shared" si="111"/>
        <v>1+19.6367280466715j</v>
      </c>
      <c r="L219" s="91">
        <f t="shared" si="112"/>
        <v>-62.058421511217347</v>
      </c>
      <c r="M219" s="91" t="str">
        <f t="shared" si="113"/>
        <v>3.5627744096943j</v>
      </c>
      <c r="N219" s="91" t="str">
        <f t="shared" si="114"/>
        <v>-62.0584215112173+3.5627744096943j</v>
      </c>
      <c r="O219" s="91" t="str">
        <f t="shared" si="115"/>
        <v>0.00204527206232552-0.3163058409431j</v>
      </c>
      <c r="P219" s="91" t="str">
        <f t="shared" si="116"/>
        <v>0.0146526953718843-2.26607169630878j</v>
      </c>
      <c r="R219" s="91">
        <f t="shared" si="117"/>
        <v>11.82089552238806</v>
      </c>
      <c r="S219" s="91" t="str">
        <f t="shared" si="118"/>
        <v>1+0.059325462376651j</v>
      </c>
      <c r="T219" s="91" t="str">
        <f t="shared" si="119"/>
        <v>-62.0584215112173+3.5627744096943j</v>
      </c>
      <c r="U219" s="91" t="str">
        <f t="shared" si="120"/>
        <v>-0.0160062116891602-0.00187487823482442j</v>
      </c>
      <c r="V219" s="91" t="str">
        <f t="shared" si="121"/>
        <v>-0.189207756086789-0.0221627397310588j</v>
      </c>
      <c r="X219" s="91" t="str">
        <f t="shared" si="122"/>
        <v>-0.149932022879597-0.40299025315401j</v>
      </c>
      <c r="Y219" s="91">
        <f t="shared" si="123"/>
        <v>-7.3310829253029164</v>
      </c>
      <c r="Z219" s="91">
        <f t="shared" si="124"/>
        <v>69.592345005312708</v>
      </c>
      <c r="AB219" s="91" t="str">
        <f t="shared" si="125"/>
        <v>-0.177107701120253-0.0207454068769456j</v>
      </c>
      <c r="AC219" s="91">
        <f t="shared" si="126"/>
        <v>-14.97606891486415</v>
      </c>
      <c r="AD219" s="91">
        <f t="shared" si="127"/>
        <v>6.68086371923863</v>
      </c>
      <c r="AF219" s="91" t="str">
        <f t="shared" si="128"/>
        <v>-0.160667461834335-0.100571754608123j</v>
      </c>
      <c r="AG219" s="91">
        <f t="shared" si="129"/>
        <v>-14.445583621081465</v>
      </c>
      <c r="AH219" s="91">
        <f t="shared" si="130"/>
        <v>32.045009271529523</v>
      </c>
      <c r="AJ219" s="91" t="str">
        <f t="shared" si="131"/>
        <v>46874.3555672424-173.802676102137j</v>
      </c>
      <c r="AK219" s="91" t="str">
        <f t="shared" si="132"/>
        <v>15000-0.000177976387129953j</v>
      </c>
      <c r="AL219" s="91" t="str">
        <f t="shared" si="146"/>
        <v>10000-28093.614443073j</v>
      </c>
      <c r="AM219" s="91" t="str">
        <f t="shared" si="147"/>
        <v>908.396662607176-8941.70538728712j</v>
      </c>
      <c r="AN219" s="91" t="str">
        <f t="shared" si="148"/>
        <v>10908.3966626072-8941.70538728712j</v>
      </c>
      <c r="AO219" s="91" t="str">
        <f t="shared" si="149"/>
        <v>7239.88797066638-2678.22965253958j</v>
      </c>
      <c r="AP219" s="91" t="str">
        <f t="shared" si="150"/>
        <v>0.242424854525206+0.000680959878343708j</v>
      </c>
      <c r="AQ219" s="91" t="str">
        <f t="shared" si="133"/>
        <v>1+108.209643375011j</v>
      </c>
      <c r="AR219" s="91">
        <f t="shared" si="134"/>
        <v>-8.4594495024467422E-6</v>
      </c>
      <c r="AS219" s="91" t="str">
        <f t="shared" si="135"/>
        <v>0.0060225469191213j</v>
      </c>
      <c r="AT219" s="91" t="str">
        <f t="shared" si="136"/>
        <v>-8.45944950244674E-06+0.0060225469191213j</v>
      </c>
      <c r="AU219" s="91" t="str">
        <f t="shared" si="137"/>
        <v>5.39014606471836-0.0573839727753786j</v>
      </c>
      <c r="AW219" s="91" t="str">
        <f t="shared" si="151"/>
        <v>1.00531882123252-0.56989543511729j</v>
      </c>
      <c r="AX219" s="91">
        <f t="shared" si="138"/>
        <v>1.2562657203324856</v>
      </c>
      <c r="AY219" s="91">
        <f t="shared" si="139"/>
        <v>150.45195343656715</v>
      </c>
      <c r="AZ219" s="91" t="str">
        <f t="shared" si="140"/>
        <v>-0.189872418000236+0.0800771224050295j</v>
      </c>
      <c r="BA219" s="91">
        <f t="shared" si="141"/>
        <v>-13.719803194531682</v>
      </c>
      <c r="BB219" s="91">
        <f t="shared" si="142"/>
        <v>-22.867182844194247</v>
      </c>
      <c r="BD219" s="91" t="str">
        <f t="shared" si="143"/>
        <v>-0.21883740719462-0.00954302472065523j</v>
      </c>
      <c r="BE219" s="91">
        <f t="shared" si="144"/>
        <v>-13.189317900748986</v>
      </c>
      <c r="BF219" s="91">
        <f t="shared" si="145"/>
        <v>2.4969627080966177</v>
      </c>
      <c r="BH219" s="91">
        <f t="shared" si="152"/>
        <v>14.189317900748986</v>
      </c>
      <c r="BI219" s="112">
        <f t="shared" si="153"/>
        <v>-2.4969627080966177</v>
      </c>
      <c r="BJ219" s="95"/>
      <c r="BK219" s="95"/>
      <c r="BL219" s="95"/>
      <c r="BM219" s="95"/>
      <c r="BN219" s="46"/>
      <c r="BO219" s="46"/>
      <c r="BP219" s="46"/>
    </row>
    <row r="220" spans="1:68" s="91" customFormat="1">
      <c r="A220" s="91">
        <v>156</v>
      </c>
      <c r="B220" s="91">
        <f t="shared" si="103"/>
        <v>131825.6738556409</v>
      </c>
      <c r="C220" s="91" t="str">
        <f t="shared" si="104"/>
        <v>828285.137078811j</v>
      </c>
      <c r="D220" s="91">
        <f t="shared" si="105"/>
        <v>0.94255203871902871</v>
      </c>
      <c r="E220" s="91" t="str">
        <f t="shared" si="106"/>
        <v>-0.376493244126732j</v>
      </c>
      <c r="F220" s="91" t="str">
        <f t="shared" si="107"/>
        <v>0.942552038719029-0.376493244126732j</v>
      </c>
      <c r="G220" s="91">
        <f t="shared" si="108"/>
        <v>0.12901102856098062</v>
      </c>
      <c r="H220" s="91">
        <f t="shared" si="109"/>
        <v>-21.773757628533463</v>
      </c>
      <c r="J220" s="91">
        <f t="shared" si="110"/>
        <v>7.1641791044776131</v>
      </c>
      <c r="K220" s="91" t="str">
        <f t="shared" si="111"/>
        <v>1+20.5621785279815j</v>
      </c>
      <c r="L220" s="91">
        <f t="shared" si="112"/>
        <v>-68.142184270256294</v>
      </c>
      <c r="M220" s="91" t="str">
        <f t="shared" si="113"/>
        <v>3.73068279465609j</v>
      </c>
      <c r="N220" s="91" t="str">
        <f t="shared" si="114"/>
        <v>-68.1421842702563+3.73068279465609j</v>
      </c>
      <c r="O220" s="91" t="str">
        <f t="shared" si="115"/>
        <v>0.00183987007116659-0.301653297094776j</v>
      </c>
      <c r="P220" s="91" t="str">
        <f t="shared" si="116"/>
        <v>0.0131811587188054-2.16109824784317j</v>
      </c>
      <c r="R220" s="91">
        <f t="shared" si="117"/>
        <v>11.82089552238806</v>
      </c>
      <c r="S220" s="91" t="str">
        <f t="shared" si="118"/>
        <v>1+0.0621213852809108j</v>
      </c>
      <c r="T220" s="91" t="str">
        <f t="shared" si="119"/>
        <v>-68.1421842702563+3.73068279465609j</v>
      </c>
      <c r="U220" s="91" t="str">
        <f t="shared" si="120"/>
        <v>-0.0145815793853618-0.00170996327547505j</v>
      </c>
      <c r="V220" s="91" t="str">
        <f t="shared" si="121"/>
        <v>-0.172367326465769-0.020213297226511j</v>
      </c>
      <c r="X220" s="91" t="str">
        <f t="shared" si="122"/>
        <v>-0.149995267625779-0.382265531549327j</v>
      </c>
      <c r="Y220" s="91">
        <f t="shared" si="123"/>
        <v>-7.7307670599007619</v>
      </c>
      <c r="Z220" s="91">
        <f t="shared" si="124"/>
        <v>68.575701448362906</v>
      </c>
      <c r="AB220" s="91" t="str">
        <f t="shared" si="125"/>
        <v>-0.16134423646245-0.0189206334765983j</v>
      </c>
      <c r="AC220" s="91">
        <f t="shared" si="126"/>
        <v>-15.785613830715571</v>
      </c>
      <c r="AD220" s="91">
        <f t="shared" si="127"/>
        <v>6.6884550728677254</v>
      </c>
      <c r="AF220" s="91" t="str">
        <f t="shared" si="128"/>
        <v>-0.149557249319566-0.089518577940455j</v>
      </c>
      <c r="AG220" s="91">
        <f t="shared" si="129"/>
        <v>-15.17398698357967</v>
      </c>
      <c r="AH220" s="91">
        <f t="shared" si="130"/>
        <v>30.902936451077807</v>
      </c>
      <c r="AJ220" s="91" t="str">
        <f t="shared" si="131"/>
        <v>46874.2933944696-181.993502483019j</v>
      </c>
      <c r="AK220" s="91" t="str">
        <f t="shared" si="132"/>
        <v>15000-0.000186364155842733j</v>
      </c>
      <c r="AL220" s="91" t="str">
        <f t="shared" si="146"/>
        <v>10000-26829.1935076795j</v>
      </c>
      <c r="AM220" s="91" t="str">
        <f t="shared" si="147"/>
        <v>903.442560112972-8558.53496454583j</v>
      </c>
      <c r="AN220" s="91" t="str">
        <f t="shared" si="148"/>
        <v>10903.442560113-8558.53496454583j</v>
      </c>
      <c r="AO220" s="91" t="str">
        <f t="shared" si="149"/>
        <v>7168.79069818358-2587.44293021046j</v>
      </c>
      <c r="AP220" s="91" t="str">
        <f t="shared" si="150"/>
        <v>0.242424913579551+0.000713052473106509j</v>
      </c>
      <c r="AQ220" s="91" t="str">
        <f t="shared" si="133"/>
        <v>1+113.309406752381j</v>
      </c>
      <c r="AR220" s="91">
        <f t="shared" si="134"/>
        <v>-9.285249750421497E-6</v>
      </c>
      <c r="AS220" s="91" t="str">
        <f t="shared" si="135"/>
        <v>0.00630638081098791j</v>
      </c>
      <c r="AT220" s="91" t="str">
        <f t="shared" si="136"/>
        <v>-0.0000092852497504215+0.00630638081098791j</v>
      </c>
      <c r="AU220" s="91" t="str">
        <f t="shared" si="137"/>
        <v>5.39014494166005-0.0555070891634673j</v>
      </c>
      <c r="AW220" s="91" t="str">
        <f t="shared" si="151"/>
        <v>0.983524217618962-0.583606981577873j</v>
      </c>
      <c r="AX220" s="91">
        <f t="shared" si="138"/>
        <v>1.1658018320741472</v>
      </c>
      <c r="AY220" s="91">
        <f t="shared" si="139"/>
        <v>149.31580811849187</v>
      </c>
      <c r="AZ220" s="91" t="str">
        <f t="shared" si="140"/>
        <v>-0.169728177726879+0.0755527215999107j</v>
      </c>
      <c r="BA220" s="91">
        <f t="shared" si="141"/>
        <v>-14.61981199864141</v>
      </c>
      <c r="BB220" s="91">
        <f t="shared" si="142"/>
        <v>-23.99573680864043</v>
      </c>
      <c r="BD220" s="91" t="str">
        <f t="shared" si="143"/>
        <v>-0.199336843693243-0.000761034482766935j</v>
      </c>
      <c r="BE220" s="91">
        <f t="shared" si="144"/>
        <v>-14.00818515150551</v>
      </c>
      <c r="BF220" s="91">
        <f t="shared" si="145"/>
        <v>0.21874456956973631</v>
      </c>
      <c r="BH220" s="91">
        <f t="shared" si="152"/>
        <v>15.00818515150551</v>
      </c>
      <c r="BI220" s="112">
        <f t="shared" si="153"/>
        <v>-0.21874456956973631</v>
      </c>
      <c r="BJ220" s="95"/>
      <c r="BK220" s="95"/>
      <c r="BL220" s="95"/>
      <c r="BM220" s="95"/>
      <c r="BN220" s="46"/>
      <c r="BO220" s="46"/>
      <c r="BP220" s="46"/>
    </row>
    <row r="221" spans="1:68" s="91" customFormat="1">
      <c r="A221" s="91">
        <v>157</v>
      </c>
      <c r="B221" s="91">
        <f t="shared" si="103"/>
        <v>138038.42646028864</v>
      </c>
      <c r="C221" s="91" t="str">
        <f t="shared" si="104"/>
        <v>867321.012961475j</v>
      </c>
      <c r="D221" s="91">
        <f t="shared" si="105"/>
        <v>0.93700956304253724</v>
      </c>
      <c r="E221" s="91" t="str">
        <f t="shared" si="106"/>
        <v>-0.394236824073398j</v>
      </c>
      <c r="F221" s="91" t="str">
        <f t="shared" si="107"/>
        <v>0.937009563042537-0.394236824073398j</v>
      </c>
      <c r="G221" s="91">
        <f t="shared" si="108"/>
        <v>0.14272489434328789</v>
      </c>
      <c r="H221" s="91">
        <f t="shared" si="109"/>
        <v>-22.818407309460753</v>
      </c>
      <c r="J221" s="91">
        <f t="shared" si="110"/>
        <v>7.1641791044776131</v>
      </c>
      <c r="K221" s="91" t="str">
        <f t="shared" si="111"/>
        <v>1+21.5312441467686j</v>
      </c>
      <c r="L221" s="91">
        <f t="shared" si="112"/>
        <v>-74.812897486050176</v>
      </c>
      <c r="M221" s="91" t="str">
        <f t="shared" si="113"/>
        <v>3.9065044580067j</v>
      </c>
      <c r="N221" s="91" t="str">
        <f t="shared" si="114"/>
        <v>-74.8128974860502+3.9065044580067j</v>
      </c>
      <c r="O221" s="91" t="str">
        <f t="shared" si="115"/>
        <v>0.00165691767529223-0.287714713823203j</v>
      </c>
      <c r="P221" s="91" t="str">
        <f t="shared" si="116"/>
        <v>0.0118704549871682-2.06123974082295j</v>
      </c>
      <c r="R221" s="91">
        <f t="shared" si="117"/>
        <v>11.82089552238806</v>
      </c>
      <c r="S221" s="91" t="str">
        <f t="shared" si="118"/>
        <v>1+0.0650490759721106j</v>
      </c>
      <c r="T221" s="91" t="str">
        <f t="shared" si="119"/>
        <v>-74.8128974860502+3.9065044580067j</v>
      </c>
      <c r="U221" s="91" t="str">
        <f t="shared" si="120"/>
        <v>-0.0132850538144837-0.0015631956768558j</v>
      </c>
      <c r="V221" s="91" t="str">
        <f t="shared" si="121"/>
        <v>-0.157041233150315-0.0184783727771611j</v>
      </c>
      <c r="X221" s="91" t="str">
        <f t="shared" si="122"/>
        <v>-0.150047483622395-0.362453298238916j</v>
      </c>
      <c r="Y221" s="91">
        <f t="shared" si="123"/>
        <v>-8.1279908063805735</v>
      </c>
      <c r="Z221" s="91">
        <f t="shared" si="124"/>
        <v>67.511549191755677</v>
      </c>
      <c r="AB221" s="91" t="str">
        <f t="shared" si="125"/>
        <v>-0.146998264550974-0.0172966594535633j</v>
      </c>
      <c r="AC221" s="91">
        <f t="shared" si="126"/>
        <v>-16.594039243612514</v>
      </c>
      <c r="AD221" s="91">
        <f t="shared" si="127"/>
        <v>6.7108924982186409</v>
      </c>
      <c r="AF221" s="91" t="str">
        <f t="shared" si="128"/>
        <v>-0.138994461147855-0.0796228719010913j</v>
      </c>
      <c r="AG221" s="91">
        <f t="shared" si="129"/>
        <v>-15.907558394458945</v>
      </c>
      <c r="AH221" s="91">
        <f t="shared" si="130"/>
        <v>29.806205694988961</v>
      </c>
      <c r="AJ221" s="91" t="str">
        <f t="shared" si="131"/>
        <v>46874.2252235694-190.570314856362j</v>
      </c>
      <c r="AK221" s="91" t="str">
        <f t="shared" si="132"/>
        <v>15000-0.000195147227916331j</v>
      </c>
      <c r="AL221" s="91" t="str">
        <f t="shared" si="146"/>
        <v>10000-25621.6808887683j</v>
      </c>
      <c r="AM221" s="91" t="str">
        <f t="shared" si="147"/>
        <v>898.072233167619-8193.28897481953j</v>
      </c>
      <c r="AN221" s="91" t="str">
        <f t="shared" si="148"/>
        <v>10898.0722331676-8193.28897481953j</v>
      </c>
      <c r="AO221" s="91" t="str">
        <f t="shared" si="149"/>
        <v>7102.53543923939-2498.49523442628j</v>
      </c>
      <c r="AP221" s="91" t="str">
        <f t="shared" si="150"/>
        <v>0.242424978331342+0.000746657537028631j</v>
      </c>
      <c r="AQ221" s="91" t="str">
        <f t="shared" si="133"/>
        <v>1+118.64951457313j</v>
      </c>
      <c r="AR221" s="91">
        <f t="shared" si="134"/>
        <v>-1.019072171669542E-5</v>
      </c>
      <c r="AS221" s="91" t="str">
        <f t="shared" si="135"/>
        <v>0.00660359138206582j</v>
      </c>
      <c r="AT221" s="91" t="str">
        <f t="shared" si="136"/>
        <v>-0.0000101907217166954+0.00660359138206582j</v>
      </c>
      <c r="AU221" s="91" t="str">
        <f t="shared" si="137"/>
        <v>5.39014372365234-0.0537479432274774j</v>
      </c>
      <c r="AW221" s="91" t="str">
        <f t="shared" si="151"/>
        <v>0.960634389475542-0.596814055004065j</v>
      </c>
      <c r="AX221" s="91">
        <f t="shared" si="138"/>
        <v>1.0687239387428444</v>
      </c>
      <c r="AY221" s="91">
        <f t="shared" si="139"/>
        <v>148.14852460778306</v>
      </c>
      <c r="AZ221" s="91" t="str">
        <f t="shared" si="140"/>
        <v>-0.151534477587395+0.0711148644510868j</v>
      </c>
      <c r="BA221" s="91">
        <f t="shared" si="141"/>
        <v>-15.525315304869654</v>
      </c>
      <c r="BB221" s="91">
        <f t="shared" si="142"/>
        <v>-25.140582893998186</v>
      </c>
      <c r="BD221" s="91" t="str">
        <f t="shared" si="143"/>
        <v>-0.181042908375612+0.00646537904376196j</v>
      </c>
      <c r="BE221" s="91">
        <f t="shared" si="144"/>
        <v>-14.838834455716059</v>
      </c>
      <c r="BF221" s="91">
        <f t="shared" si="145"/>
        <v>-2.0452696972278943</v>
      </c>
      <c r="BH221" s="91">
        <f t="shared" si="152"/>
        <v>15.838834455716059</v>
      </c>
      <c r="BI221" s="112">
        <f t="shared" si="153"/>
        <v>2.0452696972278943</v>
      </c>
      <c r="BJ221" s="95"/>
      <c r="BK221" s="95"/>
      <c r="BL221" s="95"/>
      <c r="BM221" s="95"/>
      <c r="BN221" s="46"/>
      <c r="BO221" s="46"/>
      <c r="BP221" s="46"/>
    </row>
    <row r="222" spans="1:68" s="91" customFormat="1">
      <c r="A222" s="91">
        <v>158</v>
      </c>
      <c r="B222" s="91">
        <f t="shared" si="103"/>
        <v>144543.9770745929</v>
      </c>
      <c r="C222" s="91" t="str">
        <f t="shared" si="104"/>
        <v>908196.592996385j</v>
      </c>
      <c r="D222" s="91">
        <f t="shared" si="105"/>
        <v>0.93093235931061014</v>
      </c>
      <c r="E222" s="91" t="str">
        <f t="shared" si="106"/>
        <v>-0.412816633180175j</v>
      </c>
      <c r="F222" s="91" t="str">
        <f t="shared" si="107"/>
        <v>0.93093235931061-0.412816633180175j</v>
      </c>
      <c r="G222" s="91">
        <f t="shared" si="108"/>
        <v>0.15800797318264614</v>
      </c>
      <c r="H222" s="91">
        <f t="shared" si="109"/>
        <v>-23.914618592970154</v>
      </c>
      <c r="J222" s="91">
        <f t="shared" si="110"/>
        <v>7.1641791044776131</v>
      </c>
      <c r="K222" s="91" t="str">
        <f t="shared" si="111"/>
        <v>1+22.5459804211353j</v>
      </c>
      <c r="L222" s="91">
        <f t="shared" si="112"/>
        <v>-82.127189079892517</v>
      </c>
      <c r="M222" s="91" t="str">
        <f t="shared" si="113"/>
        <v>4.09061234106693j</v>
      </c>
      <c r="N222" s="91" t="str">
        <f t="shared" si="114"/>
        <v>-82.1271890798925+4.09061234106693j</v>
      </c>
      <c r="O222" s="91" t="str">
        <f t="shared" si="115"/>
        <v>0.00149367964408623-0.274450770923415j</v>
      </c>
      <c r="P222" s="91" t="str">
        <f t="shared" si="116"/>
        <v>0.0107009884949461-1.9662144782573j</v>
      </c>
      <c r="R222" s="91">
        <f t="shared" si="117"/>
        <v>11.82089552238806</v>
      </c>
      <c r="S222" s="91" t="str">
        <f t="shared" si="118"/>
        <v>1+0.0681147444747289j</v>
      </c>
      <c r="T222" s="91" t="str">
        <f t="shared" si="119"/>
        <v>-82.1271890798925+4.09061234106693j</v>
      </c>
      <c r="U222" s="91" t="str">
        <f t="shared" si="120"/>
        <v>-0.0121048949434319-0.00143230492161639j</v>
      </c>
      <c r="V222" s="91" t="str">
        <f t="shared" si="121"/>
        <v>-0.143090698435792-0.0169311268346296j</v>
      </c>
      <c r="X222" s="91" t="str">
        <f t="shared" si="122"/>
        <v>-0.150090591540118-0.343498142528529j</v>
      </c>
      <c r="Y222" s="91">
        <f t="shared" si="123"/>
        <v>-8.5226754693435964</v>
      </c>
      <c r="Z222" s="91">
        <f t="shared" si="124"/>
        <v>66.397206709253837</v>
      </c>
      <c r="AB222" s="91" t="str">
        <f t="shared" si="125"/>
        <v>-0.133939882676004-0.0158483616796407j</v>
      </c>
      <c r="AC222" s="91">
        <f t="shared" si="126"/>
        <v>-17.401419282985838</v>
      </c>
      <c r="AD222" s="91">
        <f t="shared" si="127"/>
        <v>6.7481150604738218</v>
      </c>
      <c r="AF222" s="91" t="str">
        <f t="shared" si="128"/>
        <v>-0.128987402298473-0.0707784784824933j</v>
      </c>
      <c r="AG222" s="91">
        <f t="shared" si="129"/>
        <v>-16.645954020888492</v>
      </c>
      <c r="AH222" s="91">
        <f t="shared" si="130"/>
        <v>28.754631774417788</v>
      </c>
      <c r="AJ222" s="91" t="str">
        <f t="shared" si="131"/>
        <v>46874.1504758917-199.551298883459j</v>
      </c>
      <c r="AK222" s="91" t="str">
        <f t="shared" si="132"/>
        <v>15000-0.000204344233424187j</v>
      </c>
      <c r="AL222" s="91" t="str">
        <f t="shared" si="146"/>
        <v>10000-24468.5152901809j</v>
      </c>
      <c r="AM222" s="91" t="str">
        <f t="shared" si="147"/>
        <v>892.256693862327-7845.16337988359j</v>
      </c>
      <c r="AN222" s="91" t="str">
        <f t="shared" si="148"/>
        <v>10892.2566938623-7845.16337988359j</v>
      </c>
      <c r="AO222" s="91" t="str">
        <f t="shared" si="149"/>
        <v>7040.83114441524-2411.56966599833j</v>
      </c>
      <c r="AP222" s="91" t="str">
        <f t="shared" si="150"/>
        <v>0.242425049330255+0.000781846349365482j</v>
      </c>
      <c r="AQ222" s="91" t="str">
        <f t="shared" si="133"/>
        <v>1+124.241293921905j</v>
      </c>
      <c r="AR222" s="91">
        <f t="shared" si="134"/>
        <v>-1.1183551984933696E-5</v>
      </c>
      <c r="AS222" s="91" t="str">
        <f t="shared" si="135"/>
        <v>0.00691480905582402j</v>
      </c>
      <c r="AT222" s="91" t="str">
        <f t="shared" si="136"/>
        <v>-0.0000111835519849337+0.00691480905582402j</v>
      </c>
      <c r="AU222" s="91" t="str">
        <f t="shared" si="137"/>
        <v>5.39014240035555-0.0521028035383167j</v>
      </c>
      <c r="AW222" s="91" t="str">
        <f t="shared" si="151"/>
        <v>0.936669005160991-0.609416087092936j</v>
      </c>
      <c r="AX222" s="91">
        <f t="shared" si="138"/>
        <v>0.9647090783897343</v>
      </c>
      <c r="AY222" s="91">
        <f t="shared" si="139"/>
        <v>146.9511455734644</v>
      </c>
      <c r="AZ222" s="91" t="str">
        <f t="shared" si="140"/>
        <v>-0.135115583219153+0.0667804500381966j</v>
      </c>
      <c r="BA222" s="91">
        <f t="shared" si="141"/>
        <v>-16.4367102045961</v>
      </c>
      <c r="BB222" s="91">
        <f t="shared" si="142"/>
        <v>-26.30073936606172</v>
      </c>
      <c r="BD222" s="91" t="str">
        <f t="shared" si="143"/>
        <v>-0.163952045196404+0.0123109909660122j</v>
      </c>
      <c r="BE222" s="91">
        <f t="shared" si="144"/>
        <v>-15.681244942498754</v>
      </c>
      <c r="BF222" s="91">
        <f t="shared" si="145"/>
        <v>-4.2942226521177815</v>
      </c>
      <c r="BH222" s="91">
        <f t="shared" si="152"/>
        <v>16.681244942498754</v>
      </c>
      <c r="BI222" s="112">
        <f t="shared" si="153"/>
        <v>4.2942226521177815</v>
      </c>
      <c r="BJ222" s="95"/>
      <c r="BK222" s="95"/>
      <c r="BL222" s="95"/>
      <c r="BM222" s="95"/>
      <c r="BN222" s="46"/>
      <c r="BO222" s="46"/>
      <c r="BP222" s="46"/>
    </row>
    <row r="223" spans="1:68" s="91" customFormat="1">
      <c r="A223" s="91">
        <v>159</v>
      </c>
      <c r="B223" s="91">
        <f t="shared" si="103"/>
        <v>151356.12484362093</v>
      </c>
      <c r="C223" s="91" t="str">
        <f t="shared" si="104"/>
        <v>950998.579769078j</v>
      </c>
      <c r="D223" s="91">
        <f t="shared" si="105"/>
        <v>0.92426883792503223</v>
      </c>
      <c r="E223" s="91" t="str">
        <f t="shared" si="106"/>
        <v>-0.432272081713217j</v>
      </c>
      <c r="F223" s="91" t="str">
        <f t="shared" si="107"/>
        <v>0.924268837925032-0.432272081713217j</v>
      </c>
      <c r="G223" s="91">
        <f t="shared" si="108"/>
        <v>0.17505810656252535</v>
      </c>
      <c r="H223" s="91">
        <f t="shared" si="109"/>
        <v>-25.065061994898599</v>
      </c>
      <c r="J223" s="91">
        <f t="shared" si="110"/>
        <v>7.1641791044776131</v>
      </c>
      <c r="K223" s="91" t="str">
        <f t="shared" si="111"/>
        <v>1+23.6085397427674j</v>
      </c>
      <c r="L223" s="91">
        <f t="shared" si="112"/>
        <v>-90.147150332773947</v>
      </c>
      <c r="M223" s="91" t="str">
        <f t="shared" si="113"/>
        <v>4.2833969613405j</v>
      </c>
      <c r="N223" s="91" t="str">
        <f t="shared" si="114"/>
        <v>-90.1471503327739+4.2833969613405j</v>
      </c>
      <c r="O223" s="91" t="str">
        <f t="shared" si="115"/>
        <v>0.00134779507335111-0.261824877595323j</v>
      </c>
      <c r="P223" s="91" t="str">
        <f t="shared" si="116"/>
        <v>0.00965584530161989-1.87576031710082j</v>
      </c>
      <c r="R223" s="91">
        <f t="shared" si="117"/>
        <v>11.82089552238806</v>
      </c>
      <c r="S223" s="91" t="str">
        <f t="shared" si="118"/>
        <v>1+0.0713248934826808j</v>
      </c>
      <c r="T223" s="91" t="str">
        <f t="shared" si="119"/>
        <v>-90.1471503327739+4.2833969613405j</v>
      </c>
      <c r="U223" s="91" t="str">
        <f t="shared" si="120"/>
        <v>-0.0110304755867331-0.00131532498426548j</v>
      </c>
      <c r="V223" s="91" t="str">
        <f t="shared" si="121"/>
        <v>-0.130390099473024-0.015548319216989j</v>
      </c>
      <c r="X223" s="91" t="str">
        <f t="shared" si="122"/>
        <v>-0.150126175548145-0.325348255000903j</v>
      </c>
      <c r="Y223" s="91">
        <f t="shared" si="123"/>
        <v>-8.9147098085044725</v>
      </c>
      <c r="Z223" s="91">
        <f t="shared" si="124"/>
        <v>65.229876698348363</v>
      </c>
      <c r="AB223" s="91" t="str">
        <f t="shared" si="125"/>
        <v>-0.122051501714949-0.0145539862094324j</v>
      </c>
      <c r="AC223" s="91">
        <f t="shared" si="126"/>
        <v>-18.207818824580414</v>
      </c>
      <c r="AD223" s="91">
        <f t="shared" si="127"/>
        <v>6.8001044942134286</v>
      </c>
      <c r="AF223" s="91" t="str">
        <f t="shared" si="128"/>
        <v>-0.119537301178011-0.0628860861665983j</v>
      </c>
      <c r="AG223" s="91">
        <f t="shared" si="129"/>
        <v>-17.388840735729058</v>
      </c>
      <c r="AH223" s="91">
        <f t="shared" si="130"/>
        <v>27.747923856806977</v>
      </c>
      <c r="AJ223" s="91" t="str">
        <f t="shared" si="131"/>
        <v>46874.0685169668-208.955496504534j</v>
      </c>
      <c r="AK223" s="91" t="str">
        <f t="shared" si="132"/>
        <v>15000-0.000213974680448043j</v>
      </c>
      <c r="AL223" s="91" t="str">
        <f t="shared" si="146"/>
        <v>10000-23367.2506930749j</v>
      </c>
      <c r="AM223" s="91" t="str">
        <f t="shared" si="147"/>
        <v>885.96603982119-7513.38718096609j</v>
      </c>
      <c r="AN223" s="91" t="str">
        <f t="shared" si="148"/>
        <v>10885.9660398212-7513.38718096609j</v>
      </c>
      <c r="AO223" s="91" t="str">
        <f t="shared" si="149"/>
        <v>6983.38883009815-2326.81694556524j</v>
      </c>
      <c r="AP223" s="91" t="str">
        <f t="shared" si="150"/>
        <v>0.242425127179001+0.000818693548479537j</v>
      </c>
      <c r="AQ223" s="91" t="str">
        <f t="shared" si="133"/>
        <v>1+130.09660571241j</v>
      </c>
      <c r="AR223" s="91">
        <f t="shared" si="134"/>
        <v>-1.2272168726527945E-5</v>
      </c>
      <c r="AS223" s="91" t="str">
        <f t="shared" si="135"/>
        <v>0.00724069396667421j</v>
      </c>
      <c r="AT223" s="91" t="str">
        <f t="shared" si="136"/>
        <v>-0.0000122721687265279+0.00724069396667421j</v>
      </c>
      <c r="AU223" s="91" t="str">
        <f t="shared" si="137"/>
        <v>5.39014096053648-0.050568180482796j</v>
      </c>
      <c r="AW223" s="91" t="str">
        <f t="shared" si="151"/>
        <v>0.911659152911496-0.621311311001759j</v>
      </c>
      <c r="AX223" s="91">
        <f t="shared" si="138"/>
        <v>0.85344159179190449</v>
      </c>
      <c r="AY223" s="91">
        <f t="shared" si="139"/>
        <v>145.72490052055247</v>
      </c>
      <c r="AZ223" s="91" t="str">
        <f t="shared" si="140"/>
        <v>-0.12031192491711+0.0625637038010717j</v>
      </c>
      <c r="BA223" s="91">
        <f t="shared" si="141"/>
        <v>-17.354377232788533</v>
      </c>
      <c r="BB223" s="91">
        <f t="shared" si="142"/>
        <v>-27.47499498523419</v>
      </c>
      <c r="BD223" s="91" t="str">
        <f t="shared" si="143"/>
        <v>-0.148049111373211+0.0169392012639622j</v>
      </c>
      <c r="BE223" s="91">
        <f t="shared" si="144"/>
        <v>-16.535399143937127</v>
      </c>
      <c r="BF223" s="91">
        <f t="shared" si="145"/>
        <v>-6.5271756226406694</v>
      </c>
      <c r="BH223" s="91">
        <f t="shared" si="152"/>
        <v>17.535399143937127</v>
      </c>
      <c r="BI223" s="112">
        <f t="shared" si="153"/>
        <v>6.5271756226406694</v>
      </c>
      <c r="BJ223" s="95"/>
      <c r="BK223" s="95"/>
      <c r="BL223" s="95"/>
      <c r="BM223" s="95"/>
      <c r="BN223" s="46"/>
      <c r="BO223" s="46"/>
      <c r="BP223" s="46"/>
    </row>
    <row r="224" spans="1:68" s="91" customFormat="1">
      <c r="A224" s="91">
        <v>160</v>
      </c>
      <c r="B224" s="91">
        <f t="shared" si="103"/>
        <v>158489.31924611155</v>
      </c>
      <c r="C224" s="91" t="str">
        <f t="shared" si="104"/>
        <v>995817.762032063j</v>
      </c>
      <c r="D224" s="91">
        <f t="shared" si="105"/>
        <v>0.91696243201621208</v>
      </c>
      <c r="E224" s="91" t="str">
        <f t="shared" si="106"/>
        <v>-0.452644437287301j</v>
      </c>
      <c r="F224" s="91" t="str">
        <f t="shared" si="107"/>
        <v>0.916962432016212-0.452644437287301j</v>
      </c>
      <c r="G224" s="91">
        <f t="shared" si="108"/>
        <v>0.19410051898460767</v>
      </c>
      <c r="H224" s="91">
        <f t="shared" si="109"/>
        <v>-26.272543199240985</v>
      </c>
      <c r="J224" s="91">
        <f t="shared" si="110"/>
        <v>7.1641791044776131</v>
      </c>
      <c r="K224" s="91" t="str">
        <f t="shared" si="111"/>
        <v>1+24.721175942446j</v>
      </c>
      <c r="L224" s="91">
        <f t="shared" si="112"/>
        <v>-98.940862980471834</v>
      </c>
      <c r="M224" s="91" t="str">
        <f t="shared" si="113"/>
        <v>4.48526724085412j</v>
      </c>
      <c r="N224" s="91" t="str">
        <f t="shared" si="114"/>
        <v>-98.9408629804718+4.48526724085412j</v>
      </c>
      <c r="O224" s="91" t="str">
        <f t="shared" si="115"/>
        <v>0.00121722052680644-0.249802919022148j</v>
      </c>
      <c r="P224" s="91" t="str">
        <f t="shared" si="116"/>
        <v>0.00872038586368793-1.78963285269599j</v>
      </c>
      <c r="R224" s="91">
        <f t="shared" si="117"/>
        <v>11.82089552238806</v>
      </c>
      <c r="S224" s="91" t="str">
        <f t="shared" si="118"/>
        <v>1+0.0746863321524047j</v>
      </c>
      <c r="T224" s="91" t="str">
        <f t="shared" si="119"/>
        <v>-98.9408629804718+4.48526724085412j</v>
      </c>
      <c r="U224" s="91" t="str">
        <f t="shared" si="120"/>
        <v>-0.0100521697861861-0.00121055139793483j</v>
      </c>
      <c r="V224" s="91" t="str">
        <f t="shared" si="121"/>
        <v>-0.118825648815812-0.0143098015994684j</v>
      </c>
      <c r="X224" s="91" t="str">
        <f t="shared" si="122"/>
        <v>-0.150155542990585-0.307955075844475j</v>
      </c>
      <c r="Y224" s="91">
        <f t="shared" si="123"/>
        <v>-9.3039473669377681</v>
      </c>
      <c r="Z224" s="91">
        <f t="shared" si="124"/>
        <v>64.006641076248059</v>
      </c>
      <c r="AB224" s="91" t="str">
        <f t="shared" si="125"/>
        <v>-0.111226611060477-0.0133946732268536j</v>
      </c>
      <c r="AC224" s="91">
        <f t="shared" si="126"/>
        <v>-19.013294117768918</v>
      </c>
      <c r="AD224" s="91">
        <f t="shared" si="127"/>
        <v>6.8668831523969232</v>
      </c>
      <c r="AF224" s="91" t="str">
        <f t="shared" si="128"/>
        <v>-0.110639416151547-0.0558533301331702j</v>
      </c>
      <c r="AG224" s="91">
        <f t="shared" si="129"/>
        <v>-18.135897025332987</v>
      </c>
      <c r="AH224" s="91">
        <f t="shared" si="130"/>
        <v>26.785697819699408</v>
      </c>
      <c r="AJ224" s="91" t="str">
        <f t="shared" si="131"/>
        <v>46873.9786511221-218.802846177652j</v>
      </c>
      <c r="AK224" s="91" t="str">
        <f t="shared" si="132"/>
        <v>15000-0.000224058996457213j</v>
      </c>
      <c r="AL224" s="91" t="str">
        <f t="shared" si="146"/>
        <v>10000-22315.5511675908j</v>
      </c>
      <c r="AM224" s="91" t="str">
        <f t="shared" si="147"/>
        <v>879.169643893186-7197.22052528865j</v>
      </c>
      <c r="AN224" s="91" t="str">
        <f t="shared" si="148"/>
        <v>10879.1696438932-7197.22052528865j</v>
      </c>
      <c r="AO224" s="91" t="str">
        <f t="shared" si="149"/>
        <v>6929.92411152527-2244.35781786135j</v>
      </c>
      <c r="AP224" s="91" t="str">
        <f t="shared" si="150"/>
        <v>0.242425212538435+0.000857277290123368j</v>
      </c>
      <c r="AQ224" s="91" t="str">
        <f t="shared" si="133"/>
        <v>1+136.227869845986j</v>
      </c>
      <c r="AR224" s="91">
        <f t="shared" si="134"/>
        <v>-1.3465813247642511E-5</v>
      </c>
      <c r="AS224" s="91" t="str">
        <f t="shared" si="135"/>
        <v>0.00758193736020448j</v>
      </c>
      <c r="AT224" s="91" t="str">
        <f t="shared" si="136"/>
        <v>-0.0000134658132476425+0.00758193736020448j</v>
      </c>
      <c r="AU224" s="91" t="str">
        <f t="shared" si="137"/>
        <v>5.3901393919725-0.0491408188607106j</v>
      </c>
      <c r="AW224" s="91" t="str">
        <f t="shared" si="151"/>
        <v>0.88564791004494-0.632398276562761j</v>
      </c>
      <c r="AX224" s="91">
        <f t="shared" si="138"/>
        <v>0.73461656218948423</v>
      </c>
      <c r="AY224" s="91">
        <f t="shared" si="139"/>
        <v>144.47120658912706</v>
      </c>
      <c r="AZ224" s="91" t="str">
        <f t="shared" si="140"/>
        <v>-0.106978383890877+0.0584765527934646j</v>
      </c>
      <c r="BA224" s="91">
        <f t="shared" si="141"/>
        <v>-18.278677555579392</v>
      </c>
      <c r="BB224" s="91">
        <f t="shared" si="142"/>
        <v>-28.661910258475956</v>
      </c>
      <c r="BD224" s="91" t="str">
        <f t="shared" si="143"/>
        <v>-0.133309117399718+0.0205017909926561j</v>
      </c>
      <c r="BE224" s="91">
        <f t="shared" si="144"/>
        <v>-17.401280463143483</v>
      </c>
      <c r="BF224" s="91">
        <f t="shared" si="145"/>
        <v>-8.7430955911734713</v>
      </c>
      <c r="BH224" s="91">
        <f t="shared" si="152"/>
        <v>18.401280463143483</v>
      </c>
      <c r="BI224" s="112">
        <f t="shared" si="153"/>
        <v>8.7430955911734713</v>
      </c>
      <c r="BJ224" s="95"/>
      <c r="BK224" s="95"/>
      <c r="BL224" s="95"/>
      <c r="BM224" s="95"/>
      <c r="BN224" s="46"/>
      <c r="BO224" s="46"/>
      <c r="BP224" s="46"/>
    </row>
    <row r="225" spans="1:68" s="91" customFormat="1">
      <c r="A225" s="91">
        <v>161</v>
      </c>
      <c r="B225" s="91">
        <f t="shared" si="103"/>
        <v>165958.69074375625</v>
      </c>
      <c r="C225" s="91" t="str">
        <f t="shared" si="104"/>
        <v>1042749.20727993j</v>
      </c>
      <c r="D225" s="91">
        <f t="shared" si="105"/>
        <v>0.90895111724501931</v>
      </c>
      <c r="E225" s="91" t="str">
        <f t="shared" si="106"/>
        <v>-0.473976912399968j</v>
      </c>
      <c r="F225" s="91" t="str">
        <f t="shared" si="107"/>
        <v>0.908951117245019-0.473976912399968j</v>
      </c>
      <c r="G225" s="91">
        <f t="shared" si="108"/>
        <v>0.21539177539621535</v>
      </c>
      <c r="H225" s="91">
        <f t="shared" si="109"/>
        <v>-27.540004349073598</v>
      </c>
      <c r="J225" s="91">
        <f t="shared" si="110"/>
        <v>7.1641791044776131</v>
      </c>
      <c r="K225" s="91" t="str">
        <f t="shared" si="111"/>
        <v>1+25.8862490707243j</v>
      </c>
      <c r="L225" s="91">
        <f t="shared" si="112"/>
        <v>-108.58297716182072</v>
      </c>
      <c r="M225" s="91" t="str">
        <f t="shared" si="113"/>
        <v>4.69665137353583j</v>
      </c>
      <c r="N225" s="91" t="str">
        <f t="shared" si="114"/>
        <v>-108.582977161821+4.69665137353583j</v>
      </c>
      <c r="O225" s="91" t="str">
        <f t="shared" si="115"/>
        <v>0.00110018256208989-0.238353032614057j</v>
      </c>
      <c r="P225" s="91" t="str">
        <f t="shared" si="116"/>
        <v>0.00788190492243503-1.7076038157425j</v>
      </c>
      <c r="R225" s="91">
        <f t="shared" si="117"/>
        <v>11.82089552238806</v>
      </c>
      <c r="S225" s="91" t="str">
        <f t="shared" si="118"/>
        <v>1+0.0782061905459947j</v>
      </c>
      <c r="T225" s="91" t="str">
        <f t="shared" si="119"/>
        <v>-108.582977161821+4.69665137353583j</v>
      </c>
      <c r="U225" s="91" t="str">
        <f t="shared" si="120"/>
        <v>-0.00916125338143111-0.0011165046952298j</v>
      </c>
      <c r="V225" s="91" t="str">
        <f t="shared" si="121"/>
        <v>-0.108294219076021-0.0131980853525672j</v>
      </c>
      <c r="X225" s="91" t="str">
        <f t="shared" si="122"/>
        <v>-0.150179773283782-0.291272983714076j</v>
      </c>
      <c r="Y225" s="91">
        <f t="shared" si="123"/>
        <v>-9.690203239142301</v>
      </c>
      <c r="Z225" s="91">
        <f t="shared" si="124"/>
        <v>62.72445786124473</v>
      </c>
      <c r="AB225" s="91" t="str">
        <f t="shared" si="125"/>
        <v>-0.101368678440272-0.0123540525204996j</v>
      </c>
      <c r="AC225" s="91">
        <f t="shared" si="126"/>
        <v>-19.81789332907956</v>
      </c>
      <c r="AD225" s="91">
        <f t="shared" si="127"/>
        <v>6.948512254331348</v>
      </c>
      <c r="AF225" s="91" t="str">
        <f t="shared" si="128"/>
        <v>-0.102284059699279-0.0495947665759331j</v>
      </c>
      <c r="AG225" s="91">
        <f t="shared" si="129"/>
        <v>-18.886813631104207</v>
      </c>
      <c r="AH225" s="91">
        <f t="shared" si="130"/>
        <v>25.867488471433916</v>
      </c>
      <c r="AJ225" s="91" t="str">
        <f t="shared" si="131"/>
        <v>46873.8801155789-229.114224996817j</v>
      </c>
      <c r="AK225" s="91" t="str">
        <f t="shared" si="132"/>
        <v>15000-0.000234618571637985j</v>
      </c>
      <c r="AL225" s="91" t="str">
        <f t="shared" si="146"/>
        <v>10000-21311.1859180312j</v>
      </c>
      <c r="AM225" s="91" t="str">
        <f t="shared" si="147"/>
        <v>871.836392232633-6895.95288359263j</v>
      </c>
      <c r="AN225" s="91" t="str">
        <f t="shared" si="148"/>
        <v>10871.8363922326-6895.95288359263j</v>
      </c>
      <c r="AO225" s="91" t="str">
        <f t="shared" si="149"/>
        <v>6880.1592892821-2164.2854821361j</v>
      </c>
      <c r="AP225" s="91" t="str">
        <f t="shared" si="150"/>
        <v>0.242425306133171+0.000897679413178425j</v>
      </c>
      <c r="AQ225" s="91" t="str">
        <f t="shared" si="133"/>
        <v>1+142.648091555894j</v>
      </c>
      <c r="AR225" s="91">
        <f t="shared" si="134"/>
        <v>-1.4774618438990346E-5</v>
      </c>
      <c r="AS225" s="91" t="str">
        <f t="shared" si="135"/>
        <v>0.00793926305940379j</v>
      </c>
      <c r="AT225" s="91" t="str">
        <f t="shared" si="136"/>
        <v>-0.0000147746184389903+0.00793926305940379j</v>
      </c>
      <c r="AU225" s="91" t="str">
        <f t="shared" si="137"/>
        <v>5.39013768134835-0.0478176909789981j</v>
      </c>
      <c r="AW225" s="91" t="str">
        <f t="shared" si="151"/>
        <v>0.858690680466246-0.642577519848288j</v>
      </c>
      <c r="AX225" s="91">
        <f t="shared" si="138"/>
        <v>0.60794338828979455</v>
      </c>
      <c r="AY225" s="91">
        <f t="shared" si="139"/>
        <v>143.19166622699112</v>
      </c>
      <c r="AZ225" s="91" t="str">
        <f t="shared" si="140"/>
        <v>-0.0949827758965393+0.0545289242171051j</v>
      </c>
      <c r="BA225" s="91">
        <f t="shared" si="141"/>
        <v>-19.20994994078977</v>
      </c>
      <c r="BB225" s="91">
        <f t="shared" si="142"/>
        <v>-29.859821518677592</v>
      </c>
      <c r="BD225" s="91" t="str">
        <f t="shared" si="143"/>
        <v>-0.119698850927842+0.0231388735429246j</v>
      </c>
      <c r="BE225" s="91">
        <f t="shared" si="144"/>
        <v>-18.278870242814399</v>
      </c>
      <c r="BF225" s="91">
        <f t="shared" si="145"/>
        <v>-10.940845301575109</v>
      </c>
      <c r="BH225" s="91">
        <f t="shared" si="152"/>
        <v>19.278870242814399</v>
      </c>
      <c r="BI225" s="112">
        <f t="shared" si="153"/>
        <v>10.940845301575109</v>
      </c>
      <c r="BJ225" s="95"/>
      <c r="BK225" s="95"/>
      <c r="BL225" s="95"/>
      <c r="BM225" s="95"/>
      <c r="BN225" s="46"/>
      <c r="BO225" s="46"/>
      <c r="BP225" s="46"/>
    </row>
    <row r="226" spans="1:68" s="91" customFormat="1">
      <c r="A226" s="91">
        <v>162</v>
      </c>
      <c r="B226" s="91">
        <f t="shared" si="103"/>
        <v>173780.08287493771</v>
      </c>
      <c r="C226" s="91" t="str">
        <f t="shared" si="104"/>
        <v>1091892.46340026j</v>
      </c>
      <c r="D226" s="91">
        <f t="shared" si="105"/>
        <v>0.900166885275966</v>
      </c>
      <c r="E226" s="91" t="str">
        <f t="shared" si="106"/>
        <v>-0.496314756091027j</v>
      </c>
      <c r="F226" s="91" t="str">
        <f t="shared" si="107"/>
        <v>0.900166885275966-0.496314756091027j</v>
      </c>
      <c r="G226" s="91">
        <f t="shared" si="108"/>
        <v>0.2392242678534108</v>
      </c>
      <c r="H226" s="91">
        <f t="shared" si="109"/>
        <v>-28.870523142335252</v>
      </c>
      <c r="J226" s="91">
        <f t="shared" si="110"/>
        <v>7.1641791044776131</v>
      </c>
      <c r="K226" s="91" t="str">
        <f t="shared" si="111"/>
        <v>1+27.1062304039115j</v>
      </c>
      <c r="L226" s="91">
        <f t="shared" si="112"/>
        <v>-119.15534512639357</v>
      </c>
      <c r="M226" s="91" t="str">
        <f t="shared" si="113"/>
        <v>4.91799773347184j</v>
      </c>
      <c r="N226" s="91" t="str">
        <f t="shared" si="114"/>
        <v>-119.155345126394+4.91799773347184j</v>
      </c>
      <c r="O226" s="91" t="str">
        <f t="shared" si="115"/>
        <v>0.000995137988941981-0.227445409929279j</v>
      </c>
      <c r="P226" s="91" t="str">
        <f t="shared" si="116"/>
        <v>0.00712934678645001-1.62945965322469j</v>
      </c>
      <c r="R226" s="91">
        <f t="shared" si="117"/>
        <v>11.82089552238806</v>
      </c>
      <c r="S226" s="91" t="str">
        <f t="shared" si="118"/>
        <v>1+0.0818919347550195j</v>
      </c>
      <c r="T226" s="91" t="str">
        <f t="shared" si="119"/>
        <v>-119.155345126394+4.91799773347184j</v>
      </c>
      <c r="U226" s="91" t="str">
        <f t="shared" si="120"/>
        <v>-0.00834981528467455-0.00103189921752592j</v>
      </c>
      <c r="V226" s="91" t="str">
        <f t="shared" si="121"/>
        <v>-0.0987022941113768-0.0121979728400079j</v>
      </c>
      <c r="X226" s="91" t="str">
        <f t="shared" si="122"/>
        <v>-0.150199758030813-0.27525901960939j</v>
      </c>
      <c r="Y226" s="91">
        <f t="shared" si="123"/>
        <v>-10.073250239876916</v>
      </c>
      <c r="Z226" s="91">
        <f t="shared" si="124"/>
        <v>61.380160496401302</v>
      </c>
      <c r="AB226" s="91" t="str">
        <f t="shared" si="125"/>
        <v>-0.0923901681775803-0.0114178983605203j</v>
      </c>
      <c r="AC226" s="91">
        <f t="shared" si="126"/>
        <v>-20.621657008839335</v>
      </c>
      <c r="AD226" s="91">
        <f t="shared" si="127"/>
        <v>7.0450903877635938</v>
      </c>
      <c r="AF226" s="91" t="str">
        <f t="shared" si="128"/>
        <v>-0.0944575321780377-0.0440317432434034j</v>
      </c>
      <c r="AG226" s="91">
        <f t="shared" si="129"/>
        <v>-19.641293946417083</v>
      </c>
      <c r="AH226" s="91">
        <f t="shared" si="130"/>
        <v>24.992761469843259</v>
      </c>
      <c r="AJ226" s="91" t="str">
        <f t="shared" si="131"/>
        <v>46873.7720739804-239.911492775254j</v>
      </c>
      <c r="AK226" s="91" t="str">
        <f t="shared" si="132"/>
        <v>15000-0.000245675804265058j</v>
      </c>
      <c r="AL226" s="91" t="str">
        <f t="shared" si="146"/>
        <v>10000-20352.0245510442j</v>
      </c>
      <c r="AM226" s="91" t="str">
        <f t="shared" si="147"/>
        <v>863.934975616543-6608.90130200311j</v>
      </c>
      <c r="AN226" s="91" t="str">
        <f t="shared" si="148"/>
        <v>10863.9349756165-6608.90130200311j</v>
      </c>
      <c r="AO226" s="91" t="str">
        <f t="shared" si="149"/>
        <v>6833.8250355407-2086.66799525985j</v>
      </c>
      <c r="AP226" s="91" t="str">
        <f t="shared" si="150"/>
        <v>0.242425408757732+0.000939985613200226j</v>
      </c>
      <c r="AQ226" s="91" t="str">
        <f t="shared" si="133"/>
        <v>1+149.370888993156j</v>
      </c>
      <c r="AR226" s="91">
        <f t="shared" si="134"/>
        <v>-1.620969479430237E-5</v>
      </c>
      <c r="AS226" s="91" t="str">
        <f t="shared" si="135"/>
        <v>0.00831342899998763j</v>
      </c>
      <c r="AT226" s="91" t="str">
        <f t="shared" si="136"/>
        <v>-0.0000162096947943024+0.00831342899998763j</v>
      </c>
      <c r="AU226" s="91" t="str">
        <f t="shared" si="137"/>
        <v>5.39013581414277-0.0465959902283004j</v>
      </c>
      <c r="AW226" s="91" t="str">
        <f t="shared" si="151"/>
        <v>0.830855260862598-0.651753347570432j</v>
      </c>
      <c r="AX226" s="91">
        <f t="shared" si="138"/>
        <v>0.47314941596018889</v>
      </c>
      <c r="AY226" s="91">
        <f t="shared" si="139"/>
        <v>141.88806147211051</v>
      </c>
      <c r="AZ226" s="91" t="str">
        <f t="shared" si="140"/>
        <v>-0.0842045107610109+0.0507289804715004j</v>
      </c>
      <c r="BA226" s="91">
        <f t="shared" si="141"/>
        <v>-20.148507592879142</v>
      </c>
      <c r="BB226" s="91">
        <f t="shared" si="142"/>
        <v>-31.066848140125842</v>
      </c>
      <c r="BD226" s="91" t="str">
        <f t="shared" si="143"/>
        <v>-0.107178373596471+0.0249790072815449j</v>
      </c>
      <c r="BE226" s="91">
        <f t="shared" si="144"/>
        <v>-19.168144530456871</v>
      </c>
      <c r="BF226" s="91">
        <f t="shared" si="145"/>
        <v>-13.119177058046148</v>
      </c>
      <c r="BH226" s="91">
        <f t="shared" si="152"/>
        <v>20.168144530456871</v>
      </c>
      <c r="BI226" s="112">
        <f t="shared" si="153"/>
        <v>13.119177058046148</v>
      </c>
      <c r="BJ226" s="95"/>
      <c r="BK226" s="95"/>
      <c r="BL226" s="95"/>
      <c r="BM226" s="95"/>
      <c r="BN226" s="46"/>
      <c r="BO226" s="46"/>
      <c r="BP226" s="46"/>
    </row>
    <row r="227" spans="1:68" s="91" customFormat="1">
      <c r="A227" s="91">
        <v>163</v>
      </c>
      <c r="B227" s="91">
        <f t="shared" si="103"/>
        <v>181970.08586099852</v>
      </c>
      <c r="C227" s="91" t="str">
        <f t="shared" si="104"/>
        <v>1143351.76982803j</v>
      </c>
      <c r="D227" s="91">
        <f t="shared" si="105"/>
        <v>0.89053516645203634</v>
      </c>
      <c r="E227" s="91" t="str">
        <f t="shared" si="106"/>
        <v>-0.519705349921832j</v>
      </c>
      <c r="F227" s="91" t="str">
        <f t="shared" si="107"/>
        <v>0.890535166452036-0.519705349921832j</v>
      </c>
      <c r="G227" s="91">
        <f t="shared" si="108"/>
        <v>0.26593127432130537</v>
      </c>
      <c r="H227" s="91">
        <f t="shared" si="109"/>
        <v>-30.267308984333685</v>
      </c>
      <c r="J227" s="91">
        <f t="shared" si="110"/>
        <v>7.1641791044776131</v>
      </c>
      <c r="K227" s="91" t="str">
        <f t="shared" si="111"/>
        <v>1+28.3837076859808j</v>
      </c>
      <c r="L227" s="91">
        <f t="shared" si="112"/>
        <v>-130.74771608114881</v>
      </c>
      <c r="M227" s="91" t="str">
        <f t="shared" si="113"/>
        <v>5.14977582596797j</v>
      </c>
      <c r="N227" s="91" t="str">
        <f t="shared" si="114"/>
        <v>-130.747716081149+5.14977582596797j</v>
      </c>
      <c r="O227" s="91" t="str">
        <f t="shared" si="115"/>
        <v>0.00090074051431735-0.217052120869485j</v>
      </c>
      <c r="P227" s="91" t="str">
        <f t="shared" si="116"/>
        <v>0.00645306637122878-1.55500026891571j</v>
      </c>
      <c r="R227" s="91">
        <f t="shared" si="117"/>
        <v>11.82089552238806</v>
      </c>
      <c r="S227" s="91" t="str">
        <f t="shared" si="118"/>
        <v>1+0.0857513827371022j</v>
      </c>
      <c r="T227" s="91" t="str">
        <f t="shared" si="119"/>
        <v>-130.747716081149+5.14977582596797j</v>
      </c>
      <c r="U227" s="91" t="str">
        <f t="shared" si="120"/>
        <v>-0.00761067817698681-0.000955616457228389j</v>
      </c>
      <c r="V227" s="91" t="str">
        <f t="shared" si="121"/>
        <v>-0.0899650315846799-0.0112962423003714j</v>
      </c>
      <c r="X227" s="91" t="str">
        <f t="shared" si="122"/>
        <v>-0.150216233967677-0.259872641066415j</v>
      </c>
      <c r="Y227" s="91">
        <f t="shared" si="123"/>
        <v>-10.452814438075604</v>
      </c>
      <c r="Z227" s="91">
        <f t="shared" si="124"/>
        <v>59.970460328601746</v>
      </c>
      <c r="AB227" s="91" t="str">
        <f t="shared" si="125"/>
        <v>-0.0842116637008525-0.0105738345324409j</v>
      </c>
      <c r="AC227" s="91">
        <f t="shared" si="126"/>
        <v>-21.424618486886608</v>
      </c>
      <c r="AD227" s="91">
        <f t="shared" si="127"/>
        <v>7.1567522256857501</v>
      </c>
      <c r="AF227" s="91" t="str">
        <f t="shared" si="128"/>
        <v>-0.0871429612345514-0.0390921871500525j</v>
      </c>
      <c r="AG227" s="91">
        <f t="shared" si="129"/>
        <v>-20.399054192598598</v>
      </c>
      <c r="AH227" s="91">
        <f t="shared" si="130"/>
        <v>24.160924769864891</v>
      </c>
      <c r="AJ227" s="91" t="str">
        <f t="shared" si="131"/>
        <v>46873.6536092958-251.217538183567j</v>
      </c>
      <c r="AK227" s="91" t="str">
        <f t="shared" si="132"/>
        <v>15000-0.000257254148211306j</v>
      </c>
      <c r="AL227" s="91" t="str">
        <f t="shared" si="146"/>
        <v>10000-19436.0325567735j</v>
      </c>
      <c r="AM227" s="91" t="str">
        <f t="shared" si="147"/>
        <v>855.434238290786-6335.40873323631j</v>
      </c>
      <c r="AN227" s="91" t="str">
        <f t="shared" si="148"/>
        <v>10855.4342382908-6335.40873323631j</v>
      </c>
      <c r="AO227" s="91" t="str">
        <f t="shared" si="149"/>
        <v>6790.66172800743-2011.55060668556j</v>
      </c>
      <c r="AP227" s="91" t="str">
        <f t="shared" si="150"/>
        <v>0.242425521283293+0.000984285624137278j</v>
      </c>
      <c r="AQ227" s="91" t="str">
        <f t="shared" si="133"/>
        <v>1+156.410522112474j</v>
      </c>
      <c r="AR227" s="91">
        <f t="shared" si="134"/>
        <v>-1.7783224727702415E-5</v>
      </c>
      <c r="AS227" s="91" t="str">
        <f t="shared" si="135"/>
        <v>0.00870522883808126j</v>
      </c>
      <c r="AT227" s="91" t="str">
        <f t="shared" si="136"/>
        <v>-0.0000177832247277024+0.00870522883808126j</v>
      </c>
      <c r="AU227" s="91" t="str">
        <f t="shared" si="137"/>
        <v>5.39013377450526-0.0454731251282829j</v>
      </c>
      <c r="AW227" s="91" t="str">
        <f t="shared" si="151"/>
        <v>0.802221603419665-0.659835686220645j</v>
      </c>
      <c r="AX227" s="91">
        <f t="shared" si="138"/>
        <v>0.32998354335457869</v>
      </c>
      <c r="AY227" s="91">
        <f t="shared" si="139"/>
        <v>140.56234466845666</v>
      </c>
      <c r="AZ227" s="91" t="str">
        <f t="shared" si="140"/>
        <v>-0.0745334092454322+0.0470833024129253j</v>
      </c>
      <c r="BA227" s="91">
        <f t="shared" si="141"/>
        <v>-21.094634943532022</v>
      </c>
      <c r="BB227" s="91">
        <f t="shared" si="142"/>
        <v>-32.280903105857618</v>
      </c>
      <c r="BD227" s="91" t="str">
        <f t="shared" si="143"/>
        <v>-0.0957023862223403+0.0261394385688026j</v>
      </c>
      <c r="BE227" s="91">
        <f t="shared" si="144"/>
        <v>-20.069070649244022</v>
      </c>
      <c r="BF227" s="91">
        <f t="shared" si="145"/>
        <v>-15.276730561678477</v>
      </c>
      <c r="BH227" s="91">
        <f t="shared" si="152"/>
        <v>21.069070649244022</v>
      </c>
      <c r="BI227" s="112">
        <f t="shared" si="153"/>
        <v>15.276730561678477</v>
      </c>
      <c r="BJ227" s="95"/>
      <c r="BK227" s="95"/>
      <c r="BL227" s="95"/>
      <c r="BM227" s="95"/>
      <c r="BN227" s="46"/>
      <c r="BO227" s="46"/>
      <c r="BP227" s="46"/>
    </row>
    <row r="228" spans="1:68" s="91" customFormat="1">
      <c r="A228" s="91">
        <v>164</v>
      </c>
      <c r="B228" s="91">
        <f t="shared" si="103"/>
        <v>190546.07179632501</v>
      </c>
      <c r="C228" s="91" t="str">
        <f t="shared" si="104"/>
        <v>1197236.27865146j</v>
      </c>
      <c r="D228" s="91">
        <f t="shared" si="105"/>
        <v>0.87997419677021294</v>
      </c>
      <c r="E228" s="91" t="str">
        <f t="shared" si="106"/>
        <v>-0.544198308477936j</v>
      </c>
      <c r="F228" s="91" t="str">
        <f t="shared" si="107"/>
        <v>0.879974196770213-0.544198308477936j</v>
      </c>
      <c r="G228" s="91">
        <f t="shared" si="108"/>
        <v>0.29589262351238116</v>
      </c>
      <c r="H228" s="91">
        <f t="shared" si="109"/>
        <v>-31.733695273421723</v>
      </c>
      <c r="J228" s="91">
        <f t="shared" si="110"/>
        <v>7.1641791044776131</v>
      </c>
      <c r="K228" s="91" t="str">
        <f t="shared" si="111"/>
        <v>1+29.7213906175225j</v>
      </c>
      <c r="L228" s="91">
        <f t="shared" si="112"/>
        <v>-143.45849807464484</v>
      </c>
      <c r="M228" s="91" t="str">
        <f t="shared" si="113"/>
        <v>5.3924772834335j</v>
      </c>
      <c r="N228" s="91" t="str">
        <f t="shared" si="114"/>
        <v>-143.458498074645+5.3924772834335j</v>
      </c>
      <c r="O228" s="91" t="str">
        <f t="shared" si="115"/>
        <v>0.000815812676229406-0.207146957238712j</v>
      </c>
      <c r="P228" s="91" t="str">
        <f t="shared" si="116"/>
        <v>0.00584462812821067-1.4840379026057j</v>
      </c>
      <c r="R228" s="91">
        <f t="shared" si="117"/>
        <v>11.82089552238806</v>
      </c>
      <c r="S228" s="91" t="str">
        <f t="shared" si="118"/>
        <v>1+0.0897927208988595j</v>
      </c>
      <c r="T228" s="91" t="str">
        <f t="shared" si="119"/>
        <v>-143.458498074645+5.3924772834335j</v>
      </c>
      <c r="U228" s="91" t="str">
        <f t="shared" si="120"/>
        <v>-0.00693732751658521-0.000886682236653537j</v>
      </c>
      <c r="V228" s="91" t="str">
        <f t="shared" si="121"/>
        <v>-0.0820054237781416-0.0104813780810388j</v>
      </c>
      <c r="X228" s="91" t="str">
        <f t="shared" si="122"/>
        <v>-0.150229810049841-0.245075502638498j</v>
      </c>
      <c r="Y228" s="91">
        <f t="shared" si="123"/>
        <v>-10.828570028336381</v>
      </c>
      <c r="Z228" s="91">
        <f t="shared" si="124"/>
        <v>58.491953136675747</v>
      </c>
      <c r="AB228" s="91" t="str">
        <f t="shared" si="125"/>
        <v>-0.0767610820249714-0.0098110818229539j</v>
      </c>
      <c r="AC228" s="91">
        <f t="shared" si="126"/>
        <v>-22.226804202476416</v>
      </c>
      <c r="AD228" s="91">
        <f t="shared" si="127"/>
        <v>7.2836674227937408</v>
      </c>
      <c r="AF228" s="91" t="str">
        <f t="shared" si="128"/>
        <v>-0.0803210462993008-0.0347103287053822j</v>
      </c>
      <c r="AG228" s="91">
        <f t="shared" si="129"/>
        <v>-21.159823398603386</v>
      </c>
      <c r="AH228" s="91">
        <f t="shared" si="130"/>
        <v>23.371339468186846</v>
      </c>
      <c r="AJ228" s="91" t="str">
        <f t="shared" si="131"/>
        <v>46873.5237160403-263.05632703628j</v>
      </c>
      <c r="AK228" s="91" t="str">
        <f t="shared" si="132"/>
        <v>15000-0.000269378162696578j</v>
      </c>
      <c r="AL228" s="91" t="str">
        <f t="shared" si="146"/>
        <v>10000-18561.2669933898j</v>
      </c>
      <c r="AM228" s="91" t="str">
        <f t="shared" si="147"/>
        <v>846.303587729868-6074.84245387435j</v>
      </c>
      <c r="AN228" s="91" t="str">
        <f t="shared" si="148"/>
        <v>10846.3035877299-6074.84245387435j</v>
      </c>
      <c r="AO228" s="91" t="str">
        <f t="shared" si="149"/>
        <v>6750.42047922464-1938.95799577899j</v>
      </c>
      <c r="AP228" s="91" t="str">
        <f t="shared" si="150"/>
        <v>0.242425644665079+0.00103067340860818j</v>
      </c>
      <c r="AQ228" s="91" t="str">
        <f t="shared" si="133"/>
        <v>1+163.78192291952j</v>
      </c>
      <c r="AR228" s="91">
        <f t="shared" si="134"/>
        <v>-1.9508565990654657E-5</v>
      </c>
      <c r="AS228" s="91" t="str">
        <f t="shared" si="135"/>
        <v>0.00911549363367091j</v>
      </c>
      <c r="AT228" s="91" t="str">
        <f t="shared" si="136"/>
        <v>-0.0000195085659906547+0.00911549363367091j</v>
      </c>
      <c r="AU228" s="91" t="str">
        <f t="shared" si="137"/>
        <v>5.39013154512177-0.0444467138290521j</v>
      </c>
      <c r="AW228" s="91" t="str">
        <f t="shared" si="151"/>
        <v>0.772881253341896-0.666741936806803j</v>
      </c>
      <c r="AX228" s="91">
        <f t="shared" si="138"/>
        <v>0.1782197061751967</v>
      </c>
      <c r="AY228" s="91">
        <f t="shared" si="139"/>
        <v>139.2166255455609</v>
      </c>
      <c r="AZ228" s="91" t="str">
        <f t="shared" si="140"/>
        <v>-0.0658686609801463+0.0435970312847508j</v>
      </c>
      <c r="BA228" s="91">
        <f t="shared" si="141"/>
        <v>-22.048584496301217</v>
      </c>
      <c r="BB228" s="91">
        <f t="shared" si="142"/>
        <v>-33.499707031645329</v>
      </c>
      <c r="BD228" s="91" t="str">
        <f t="shared" si="143"/>
        <v>-0.0852214627217634+0.0267264476222197j</v>
      </c>
      <c r="BE228" s="91">
        <f t="shared" si="144"/>
        <v>-20.981603692428187</v>
      </c>
      <c r="BF228" s="91">
        <f t="shared" si="145"/>
        <v>-17.412034986252223</v>
      </c>
      <c r="BH228" s="91">
        <f t="shared" si="152"/>
        <v>21.981603692428187</v>
      </c>
      <c r="BI228" s="112">
        <f t="shared" si="153"/>
        <v>17.412034986252223</v>
      </c>
      <c r="BJ228" s="95"/>
      <c r="BK228" s="95"/>
      <c r="BL228" s="95"/>
      <c r="BM228" s="95"/>
      <c r="BN228" s="46"/>
      <c r="BO228" s="46"/>
      <c r="BP228" s="46"/>
    </row>
    <row r="229" spans="1:68" s="91" customFormat="1">
      <c r="A229" s="91">
        <v>165</v>
      </c>
      <c r="B229" s="91">
        <f t="shared" si="103"/>
        <v>199526.23149688821</v>
      </c>
      <c r="C229" s="91" t="str">
        <f t="shared" si="104"/>
        <v>1253660.28613816j</v>
      </c>
      <c r="D229" s="91">
        <f t="shared" si="105"/>
        <v>0.86839432378396797</v>
      </c>
      <c r="E229" s="91" t="str">
        <f t="shared" si="106"/>
        <v>-0.569845584608255j</v>
      </c>
      <c r="F229" s="91" t="str">
        <f t="shared" si="107"/>
        <v>0.868394323783968-0.569845584608255j</v>
      </c>
      <c r="G229" s="91">
        <f t="shared" si="108"/>
        <v>0.32954098410241156</v>
      </c>
      <c r="H229" s="91">
        <f t="shared" si="109"/>
        <v>-33.27312669563608</v>
      </c>
      <c r="J229" s="91">
        <f t="shared" si="110"/>
        <v>7.1641791044776131</v>
      </c>
      <c r="K229" s="91" t="str">
        <f t="shared" si="111"/>
        <v>1+31.1221166033798j</v>
      </c>
      <c r="L229" s="91">
        <f t="shared" si="112"/>
        <v>-157.39559338643824</v>
      </c>
      <c r="M229" s="91" t="str">
        <f t="shared" si="113"/>
        <v>5.64661690819915j</v>
      </c>
      <c r="N229" s="91" t="str">
        <f t="shared" si="114"/>
        <v>-157.395593386438+5.64661690819915j</v>
      </c>
      <c r="O229" s="91" t="str">
        <f t="shared" si="115"/>
        <v>0.000739322167524278-0.197705293171247j</v>
      </c>
      <c r="P229" s="91" t="str">
        <f t="shared" si="116"/>
        <v>0.00529663642405453-1.41639613018207j</v>
      </c>
      <c r="R229" s="91">
        <f t="shared" si="117"/>
        <v>11.82089552238806</v>
      </c>
      <c r="S229" s="91" t="str">
        <f t="shared" si="118"/>
        <v>1+0.094024521460362j</v>
      </c>
      <c r="T229" s="91" t="str">
        <f t="shared" si="119"/>
        <v>-157.395593386438+5.64661690819915j</v>
      </c>
      <c r="U229" s="91" t="str">
        <f t="shared" si="120"/>
        <v>-0.00632384789649774-0.000824247141399222j</v>
      </c>
      <c r="V229" s="91" t="str">
        <f t="shared" si="121"/>
        <v>-0.0747535452839733-0.00974333934310722j</v>
      </c>
      <c r="X229" s="91" t="str">
        <f t="shared" si="122"/>
        <v>-0.15024098974209-0.230831259218527j</v>
      </c>
      <c r="Y229" s="91">
        <f t="shared" si="123"/>
        <v>-11.200133527326448</v>
      </c>
      <c r="Z229" s="91">
        <f t="shared" si="124"/>
        <v>56.941130807376609</v>
      </c>
      <c r="AB229" s="91" t="str">
        <f t="shared" si="125"/>
        <v>-0.0699729695528991-0.0091202415164244j</v>
      </c>
      <c r="AC229" s="91">
        <f t="shared" si="126"/>
        <v>-23.028233972776199</v>
      </c>
      <c r="AD229" s="91">
        <f t="shared" si="127"/>
        <v>7.4260396599976559</v>
      </c>
      <c r="AF229" s="91" t="str">
        <f t="shared" si="128"/>
        <v>-0.0739707102855648-0.0308263794802008j</v>
      </c>
      <c r="AG229" s="91">
        <f t="shared" si="129"/>
        <v>-21.923343208986967</v>
      </c>
      <c r="AH229" s="91">
        <f t="shared" si="130"/>
        <v>22.623329946800879</v>
      </c>
      <c r="AJ229" s="91" t="str">
        <f t="shared" si="131"/>
        <v>46873.3812917454-275.45295282409j</v>
      </c>
      <c r="AK229" s="91" t="str">
        <f t="shared" si="132"/>
        <v>15000-0.000282073564381086j</v>
      </c>
      <c r="AL229" s="91" t="str">
        <f t="shared" si="146"/>
        <v>10000-17725.8723658518j</v>
      </c>
      <c r="AM229" s="91" t="str">
        <f t="shared" si="147"/>
        <v>836.513467376074-5826.59257615475j</v>
      </c>
      <c r="AN229" s="91" t="str">
        <f t="shared" si="148"/>
        <v>10836.5134673761-5826.59257615475j</v>
      </c>
      <c r="AO229" s="91" t="str">
        <f t="shared" si="149"/>
        <v>6712.86390698008-1868.89639197321j</v>
      </c>
      <c r="AP229" s="91" t="str">
        <f t="shared" si="150"/>
        <v>0.24242577995047+0.00107924735713916j</v>
      </c>
      <c r="AQ229" s="91" t="str">
        <f t="shared" si="133"/>
        <v>1+171.5007271437j</v>
      </c>
      <c r="AR229" s="91">
        <f t="shared" si="134"/>
        <v>-2.1400365066387339E-5</v>
      </c>
      <c r="AS229" s="91" t="str">
        <f t="shared" si="135"/>
        <v>0.009545093613393j</v>
      </c>
      <c r="AT229" s="91" t="str">
        <f t="shared" si="136"/>
        <v>-0.0000214003650663873+0.009545093613393j</v>
      </c>
      <c r="AU229" s="91" t="str">
        <f t="shared" si="137"/>
        <v>5.39012910706737-0.0435145790569734j</v>
      </c>
      <c r="AW229" s="91" t="str">
        <f t="shared" si="151"/>
        <v>0.742936452579689-0.672398769449954j</v>
      </c>
      <c r="AX229" s="91">
        <f t="shared" si="138"/>
        <v>1.7660145218996517E-2</v>
      </c>
      <c r="AY229" s="91">
        <f t="shared" si="139"/>
        <v>137.85315471417738</v>
      </c>
      <c r="AZ229" s="91" t="str">
        <f t="shared" si="140"/>
        <v>-0.0581179089488276+0.0402739787432461j</v>
      </c>
      <c r="BA229" s="91">
        <f t="shared" si="141"/>
        <v>-23.010573827557202</v>
      </c>
      <c r="BB229" s="91">
        <f t="shared" si="142"/>
        <v>-34.720805625824966</v>
      </c>
      <c r="BD229" s="91" t="str">
        <f t="shared" si="143"/>
        <v>-0.0756831567234418+0.0268357735544571j</v>
      </c>
      <c r="BE229" s="91">
        <f t="shared" si="144"/>
        <v>-21.905683063767967</v>
      </c>
      <c r="BF229" s="91">
        <f t="shared" si="145"/>
        <v>-19.523515339021714</v>
      </c>
      <c r="BH229" s="91">
        <f t="shared" si="152"/>
        <v>22.905683063767967</v>
      </c>
      <c r="BI229" s="112">
        <f t="shared" si="153"/>
        <v>19.523515339021714</v>
      </c>
      <c r="BJ229" s="95"/>
      <c r="BK229" s="95"/>
      <c r="BL229" s="95"/>
      <c r="BM229" s="95"/>
      <c r="BN229" s="46"/>
      <c r="BO229" s="46"/>
      <c r="BP229" s="46"/>
    </row>
    <row r="230" spans="1:68" s="91" customFormat="1">
      <c r="A230" s="91">
        <v>166</v>
      </c>
      <c r="B230" s="91">
        <f t="shared" si="103"/>
        <v>208929.61308540421</v>
      </c>
      <c r="C230" s="91" t="str">
        <f t="shared" si="104"/>
        <v>1312743.47517293j</v>
      </c>
      <c r="D230" s="91">
        <f t="shared" si="105"/>
        <v>0.85569724554044013</v>
      </c>
      <c r="E230" s="91" t="str">
        <f t="shared" si="106"/>
        <v>-0.596701579624059j</v>
      </c>
      <c r="F230" s="91" t="str">
        <f t="shared" si="107"/>
        <v>0.85569724554044-0.596701579624059j</v>
      </c>
      <c r="G230" s="91">
        <f t="shared" si="108"/>
        <v>0.36736877223739922</v>
      </c>
      <c r="H230" s="91">
        <f t="shared" si="109"/>
        <v>-34.889140181530735</v>
      </c>
      <c r="J230" s="91">
        <f t="shared" si="110"/>
        <v>7.1641791044776131</v>
      </c>
      <c r="K230" s="91" t="str">
        <f t="shared" si="111"/>
        <v>1+32.588856771168j</v>
      </c>
      <c r="L230" s="91">
        <f t="shared" si="112"/>
        <v>-172.67731451339233</v>
      </c>
      <c r="M230" s="91" t="str">
        <f t="shared" si="113"/>
        <v>5.91273376448225j</v>
      </c>
      <c r="N230" s="91" t="str">
        <f t="shared" si="114"/>
        <v>-172.677314513392+5.91273376448225j</v>
      </c>
      <c r="O230" s="91" t="str">
        <f t="shared" si="115"/>
        <v>0.000670361812154596-0.188703960286108j</v>
      </c>
      <c r="P230" s="91" t="str">
        <f t="shared" si="116"/>
        <v>0.0048025920870777-1.35190896921391j</v>
      </c>
      <c r="R230" s="91">
        <f t="shared" si="117"/>
        <v>11.82089552238806</v>
      </c>
      <c r="S230" s="91" t="str">
        <f t="shared" si="118"/>
        <v>1+0.0984557606379697j</v>
      </c>
      <c r="T230" s="91" t="str">
        <f t="shared" si="119"/>
        <v>-172.677314513392+5.91273376448225j</v>
      </c>
      <c r="U230" s="91" t="str">
        <f t="shared" si="120"/>
        <v>-0.00576486591423039-0.000767569720146842j</v>
      </c>
      <c r="V230" s="91" t="str">
        <f t="shared" si="121"/>
        <v>-0.0681458776726936-0.00907336146800446j</v>
      </c>
      <c r="X230" s="91" t="str">
        <f t="shared" si="122"/>
        <v>-0.15025018937667-0.217105389240114j</v>
      </c>
      <c r="Y230" s="91">
        <f t="shared" si="123"/>
        <v>-11.567057306251982</v>
      </c>
      <c r="Z230" s="91">
        <f t="shared" si="124"/>
        <v>55.314399484270751</v>
      </c>
      <c r="AB230" s="91" t="str">
        <f t="shared" si="125"/>
        <v>-0.0637878699322276-0.00849310950178092j</v>
      </c>
      <c r="AC230" s="91">
        <f t="shared" si="126"/>
        <v>-23.828921203722849</v>
      </c>
      <c r="AD230" s="91">
        <f t="shared" si="127"/>
        <v>7.5841058080197286</v>
      </c>
      <c r="AF230" s="91" t="str">
        <f t="shared" si="128"/>
        <v>-0.0680696626658411-0.0273861786367696j</v>
      </c>
      <c r="AG230" s="91">
        <f t="shared" si="129"/>
        <v>-22.689367544014345</v>
      </c>
      <c r="AH230" s="91">
        <f t="shared" si="130"/>
        <v>21.916193246927492</v>
      </c>
      <c r="AJ230" s="91" t="str">
        <f t="shared" si="131"/>
        <v>46873.2251276061-288.433689593328j</v>
      </c>
      <c r="AK230" s="91" t="str">
        <f t="shared" si="132"/>
        <v>15000-0.00029536728191391j</v>
      </c>
      <c r="AL230" s="91" t="str">
        <f t="shared" si="146"/>
        <v>10000-16928.0766901507j</v>
      </c>
      <c r="AM230" s="91" t="str">
        <f t="shared" si="147"/>
        <v>826.035892639074-5590.07066435315j</v>
      </c>
      <c r="AN230" s="91" t="str">
        <f t="shared" si="148"/>
        <v>10826.0358926391-5590.07066435315j</v>
      </c>
      <c r="AO230" s="91" t="str">
        <f t="shared" si="149"/>
        <v>6677.76668851117-1801.35556672787j</v>
      </c>
      <c r="AP230" s="91" t="str">
        <f t="shared" si="150"/>
        <v>0.242425928287897+0.00113011049678374j</v>
      </c>
      <c r="AQ230" s="91" t="str">
        <f t="shared" si="133"/>
        <v>1+179.583307403657j</v>
      </c>
      <c r="AR230" s="91">
        <f t="shared" si="134"/>
        <v>-2.3474681504412493E-5</v>
      </c>
      <c r="AS230" s="91" t="str">
        <f t="shared" si="135"/>
        <v>0.00999494001640215j</v>
      </c>
      <c r="AT230" s="91" t="str">
        <f t="shared" si="136"/>
        <v>-0.0000234746815044125+0.00999494001640215j</v>
      </c>
      <c r="AU230" s="91" t="str">
        <f t="shared" si="137"/>
        <v>5.39012643964602-0.0426747434941326j</v>
      </c>
      <c r="AW230" s="91" t="str">
        <f t="shared" si="151"/>
        <v>0.712498916305582-0.676743788798648j</v>
      </c>
      <c r="AX230" s="91">
        <f t="shared" si="138"/>
        <v>-0.15186164199836019</v>
      </c>
      <c r="AY230" s="91">
        <f t="shared" si="139"/>
        <v>136.47430376228741</v>
      </c>
      <c r="AZ230" s="91" t="str">
        <f t="shared" si="140"/>
        <v>-0.0511964473030706+0.0371167134612475j</v>
      </c>
      <c r="BA230" s="91">
        <f t="shared" si="141"/>
        <v>-23.980782845721208</v>
      </c>
      <c r="BB230" s="91">
        <f t="shared" si="142"/>
        <v>-35.941590429692866</v>
      </c>
      <c r="BD230" s="91" t="str">
        <f t="shared" si="143"/>
        <v>-0.0670329871740624+0.0265530988142778j</v>
      </c>
      <c r="BE230" s="91">
        <f t="shared" si="144"/>
        <v>-22.841229186012697</v>
      </c>
      <c r="BF230" s="91">
        <f t="shared" si="145"/>
        <v>-21.609502990785131</v>
      </c>
      <c r="BH230" s="91">
        <f t="shared" si="152"/>
        <v>23.841229186012697</v>
      </c>
      <c r="BI230" s="112">
        <f t="shared" si="153"/>
        <v>21.609502990785131</v>
      </c>
      <c r="BJ230" s="95"/>
      <c r="BK230" s="95"/>
      <c r="BL230" s="95"/>
      <c r="BM230" s="95"/>
      <c r="BN230" s="46"/>
      <c r="BO230" s="46"/>
      <c r="BP230" s="46"/>
    </row>
    <row r="231" spans="1:68" s="91" customFormat="1">
      <c r="A231" s="91">
        <v>167</v>
      </c>
      <c r="B231" s="91">
        <f t="shared" si="103"/>
        <v>218776.16239495529</v>
      </c>
      <c r="C231" s="91" t="str">
        <f t="shared" si="104"/>
        <v>1374611.16912112j</v>
      </c>
      <c r="D231" s="91">
        <f t="shared" si="105"/>
        <v>0.8417751760916895</v>
      </c>
      <c r="E231" s="91" t="str">
        <f t="shared" si="106"/>
        <v>-0.624823258691418j</v>
      </c>
      <c r="F231" s="91" t="str">
        <f t="shared" si="107"/>
        <v>0.84177517609169-0.624823258691418j</v>
      </c>
      <c r="G231" s="91">
        <f t="shared" si="108"/>
        <v>0.40993563518391796</v>
      </c>
      <c r="H231" s="91">
        <f t="shared" si="109"/>
        <v>-36.585337941798102</v>
      </c>
      <c r="J231" s="91">
        <f t="shared" si="110"/>
        <v>7.1641791044776131</v>
      </c>
      <c r="K231" s="91" t="str">
        <f t="shared" si="111"/>
        <v>1+34.1247222734318j</v>
      </c>
      <c r="L231" s="91">
        <f t="shared" si="112"/>
        <v>-189.43338852863627</v>
      </c>
      <c r="M231" s="91" t="str">
        <f t="shared" si="113"/>
        <v>6.19139232181382j</v>
      </c>
      <c r="N231" s="91" t="str">
        <f t="shared" si="114"/>
        <v>-189.433388528636+6.19139232181382j</v>
      </c>
      <c r="O231" s="91" t="str">
        <f t="shared" si="115"/>
        <v>0.00060813258749406-0.180121135724925j</v>
      </c>
      <c r="P231" s="91" t="str">
        <f t="shared" si="116"/>
        <v>0.00435677077607685-1.29042007683528j</v>
      </c>
      <c r="R231" s="91">
        <f t="shared" si="117"/>
        <v>11.82089552238806</v>
      </c>
      <c r="S231" s="91" t="str">
        <f t="shared" si="118"/>
        <v>1+0.103095837684084j</v>
      </c>
      <c r="T231" s="91" t="str">
        <f t="shared" si="119"/>
        <v>-189.433388528636+6.19139232181382j</v>
      </c>
      <c r="U231" s="91" t="str">
        <f t="shared" si="120"/>
        <v>-0.00525549882307532-0.000716002040601574j</v>
      </c>
      <c r="V231" s="91" t="str">
        <f t="shared" si="121"/>
        <v>-0.0621247025056068-0.00846378531576786j</v>
      </c>
      <c r="X231" s="91" t="str">
        <f t="shared" si="122"/>
        <v>-0.150257753284897-0.203865035208129j</v>
      </c>
      <c r="Y231" s="91">
        <f t="shared" si="123"/>
        <v>-11.928822506048908</v>
      </c>
      <c r="Z231" s="91">
        <f t="shared" si="124"/>
        <v>53.608105754383899</v>
      </c>
      <c r="AB231" s="91" t="str">
        <f t="shared" si="125"/>
        <v>-0.0581517558852117-0.00792251644992509j</v>
      </c>
      <c r="AC231" s="91">
        <f t="shared" si="126"/>
        <v>-24.628873046450121</v>
      </c>
      <c r="AD231" s="91">
        <f t="shared" si="127"/>
        <v>7.7581351830912411</v>
      </c>
      <c r="AF231" s="91" t="str">
        <f t="shared" si="128"/>
        <v>-0.0625948795604687-0.0243408208257571j</v>
      </c>
      <c r="AG231" s="91">
        <f t="shared" si="129"/>
        <v>-23.457662134408093</v>
      </c>
      <c r="AH231" s="91">
        <f t="shared" si="130"/>
        <v>21.24920763006412</v>
      </c>
      <c r="AJ231" s="91" t="str">
        <f t="shared" si="131"/>
        <v>46873.0538982283-302.026047278067j</v>
      </c>
      <c r="AK231" s="91" t="str">
        <f t="shared" si="132"/>
        <v>15000-0.000309287513052252j</v>
      </c>
      <c r="AL231" s="91" t="str">
        <f t="shared" si="146"/>
        <v>10000-16166.1877346962j</v>
      </c>
      <c r="AM231" s="91" t="str">
        <f t="shared" si="147"/>
        <v>814.845048148208-5364.70846727081j</v>
      </c>
      <c r="AN231" s="91" t="str">
        <f t="shared" si="148"/>
        <v>10814.8450481482-5364.70846727081j</v>
      </c>
      <c r="AO231" s="91" t="str">
        <f t="shared" si="149"/>
        <v>6644.9159372757-1736.31069340774j</v>
      </c>
      <c r="AP231" s="91" t="str">
        <f t="shared" si="150"/>
        <v>0.242426090936585+0.001183370709565j</v>
      </c>
      <c r="AQ231" s="91" t="str">
        <f t="shared" si="133"/>
        <v>1+188.046807935769j</v>
      </c>
      <c r="AR231" s="91">
        <f t="shared" si="134"/>
        <v>-2.5749124250608212E-5</v>
      </c>
      <c r="AS231" s="91" t="str">
        <f t="shared" si="135"/>
        <v>0.010465987027231j</v>
      </c>
      <c r="AT231" s="91" t="str">
        <f t="shared" si="136"/>
        <v>-0.0000257491242506082+0.010465987027231j</v>
      </c>
      <c r="AU231" s="91" t="str">
        <f t="shared" si="137"/>
        <v>5.39012352021456-0.0419254255815966j</v>
      </c>
      <c r="AW231" s="91" t="str">
        <f t="shared" si="151"/>
        <v>0.681688304910735-0.679727001846924j</v>
      </c>
      <c r="AX231" s="91">
        <f t="shared" si="138"/>
        <v>-0.33047835946100995</v>
      </c>
      <c r="AY231" s="91">
        <f t="shared" si="139"/>
        <v>135.08254227024113</v>
      </c>
      <c r="AZ231" s="91" t="str">
        <f t="shared" si="140"/>
        <v>-0.0450265202505634+0.0341266318706124j</v>
      </c>
      <c r="BA231" s="91">
        <f t="shared" si="141"/>
        <v>-24.959351405911114</v>
      </c>
      <c r="BB231" s="91">
        <f t="shared" si="142"/>
        <v>-37.159322546667681</v>
      </c>
      <c r="BD231" s="91" t="str">
        <f t="shared" si="143"/>
        <v>-0.0592153105060527+0.0259545769257605j</v>
      </c>
      <c r="BE231" s="91">
        <f t="shared" si="144"/>
        <v>-23.788140493869086</v>
      </c>
      <c r="BF231" s="91">
        <f t="shared" si="145"/>
        <v>-23.668250099694774</v>
      </c>
      <c r="BH231" s="91">
        <f t="shared" si="152"/>
        <v>24.788140493869086</v>
      </c>
      <c r="BI231" s="112">
        <f t="shared" si="153"/>
        <v>23.668250099694774</v>
      </c>
      <c r="BJ231" s="95"/>
      <c r="BK231" s="95"/>
      <c r="BL231" s="95"/>
      <c r="BM231" s="95"/>
      <c r="BN231" s="46"/>
      <c r="BO231" s="46"/>
      <c r="BP231" s="46"/>
    </row>
    <row r="232" spans="1:68" s="91" customFormat="1">
      <c r="A232" s="91">
        <v>168</v>
      </c>
      <c r="B232" s="91">
        <f t="shared" si="103"/>
        <v>229086.7652767775</v>
      </c>
      <c r="C232" s="91" t="str">
        <f t="shared" si="104"/>
        <v>1439394.59765635j</v>
      </c>
      <c r="D232" s="91">
        <f t="shared" si="105"/>
        <v>0.82650993049594157</v>
      </c>
      <c r="E232" s="91" t="str">
        <f t="shared" si="106"/>
        <v>-0.654270271661977j</v>
      </c>
      <c r="F232" s="91" t="str">
        <f t="shared" si="107"/>
        <v>0.826509930495942-0.654270271661977j</v>
      </c>
      <c r="G232" s="91">
        <f t="shared" si="108"/>
        <v>0.45787641811251201</v>
      </c>
      <c r="H232" s="91">
        <f t="shared" si="109"/>
        <v>-38.365350762170152</v>
      </c>
      <c r="J232" s="91">
        <f t="shared" si="110"/>
        <v>7.1641791044776131</v>
      </c>
      <c r="K232" s="91" t="str">
        <f t="shared" si="111"/>
        <v>1+35.7329708868189j</v>
      </c>
      <c r="L232" s="91">
        <f t="shared" si="112"/>
        <v>-207.80605833931472</v>
      </c>
      <c r="M232" s="91" t="str">
        <f t="shared" si="113"/>
        <v>6.4831836523544j</v>
      </c>
      <c r="N232" s="91" t="str">
        <f t="shared" si="114"/>
        <v>-207.806058339315+6.4831836523544j</v>
      </c>
      <c r="O232" s="91" t="str">
        <f t="shared" si="115"/>
        <v>0.000551929192795985-0.171936241484155j</v>
      </c>
      <c r="P232" s="91" t="str">
        <f t="shared" si="116"/>
        <v>0.00395411959018019-1.2317820285432j</v>
      </c>
      <c r="R232" s="91">
        <f t="shared" si="117"/>
        <v>11.82089552238806</v>
      </c>
      <c r="S232" s="91" t="str">
        <f t="shared" si="118"/>
        <v>1+0.107954594824226j</v>
      </c>
      <c r="T232" s="91" t="str">
        <f t="shared" si="119"/>
        <v>-207.806058339315+6.4831836523544j</v>
      </c>
      <c r="U232" s="91" t="str">
        <f t="shared" si="120"/>
        <v>-0.00479130832637163-0.000668977255764863j</v>
      </c>
      <c r="V232" s="91" t="str">
        <f t="shared" si="121"/>
        <v>-0.056637555141587-0.00790791024725032j</v>
      </c>
      <c r="X232" s="91" t="str">
        <f t="shared" si="122"/>
        <v>-0.150263966277981-0.191078859359034j</v>
      </c>
      <c r="Y232" s="91">
        <f t="shared" si="123"/>
        <v>-12.284831432339157</v>
      </c>
      <c r="Z232" s="91">
        <f t="shared" si="124"/>
        <v>51.818572676211744</v>
      </c>
      <c r="AB232" s="91" t="str">
        <f t="shared" si="125"/>
        <v>-0.0530155179452415-0.00740219023533775j</v>
      </c>
      <c r="AC232" s="91">
        <f t="shared" si="126"/>
        <v>-25.428090502030429</v>
      </c>
      <c r="AD232" s="91">
        <f t="shared" si="127"/>
        <v>7.9484288691145366</v>
      </c>
      <c r="AF232" s="91" t="str">
        <f t="shared" si="128"/>
        <v>-0.0575230074283045-0.0216462761983525j</v>
      </c>
      <c r="AG232" s="91">
        <f t="shared" si="129"/>
        <v>-24.228003951553248</v>
      </c>
      <c r="AH232" s="91">
        <f t="shared" si="130"/>
        <v>20.621640303768146</v>
      </c>
      <c r="AJ232" s="91" t="str">
        <f t="shared" si="131"/>
        <v>46872.866150387-316.258829594701j</v>
      </c>
      <c r="AK232" s="91" t="str">
        <f t="shared" si="132"/>
        <v>15000-0.000323863784472679j</v>
      </c>
      <c r="AL232" s="91" t="str">
        <f t="shared" si="146"/>
        <v>10000-15438.5894308655j</v>
      </c>
      <c r="AM232" s="91" t="str">
        <f t="shared" si="147"/>
        <v>802.917941442137-5149.95677942235j</v>
      </c>
      <c r="AN232" s="91" t="str">
        <f t="shared" si="148"/>
        <v>10802.9179414421-5149.95677942235j</v>
      </c>
      <c r="AO232" s="91" t="str">
        <f t="shared" si="149"/>
        <v>6614.11143655656-1673.72407699774j</v>
      </c>
      <c r="AP232" s="91" t="str">
        <f t="shared" si="150"/>
        <v>0.242426269277244+0.00123914096120236j</v>
      </c>
      <c r="AQ232" s="91" t="str">
        <f t="shared" si="133"/>
        <v>1+196.909180959389j</v>
      </c>
      <c r="AR232" s="91">
        <f t="shared" si="134"/>
        <v>-2.8243001130188134E-5</v>
      </c>
      <c r="AS232" s="91" t="str">
        <f t="shared" si="135"/>
        <v>0.010959233799744j</v>
      </c>
      <c r="AT232" s="91" t="str">
        <f t="shared" si="136"/>
        <v>-0.0000282430011301881+0.010959233799744j</v>
      </c>
      <c r="AU232" s="91" t="str">
        <f t="shared" si="137"/>
        <v>5.39012032399068-0.041265035737524j</v>
      </c>
      <c r="AW232" s="91" t="str">
        <f t="shared" si="151"/>
        <v>0.650630430469186-0.681312024654937j</v>
      </c>
      <c r="AX232" s="91">
        <f t="shared" si="138"/>
        <v>-0.51828686552409919</v>
      </c>
      <c r="AY232" s="91">
        <f t="shared" si="139"/>
        <v>133.68041219301136</v>
      </c>
      <c r="AZ232" s="91" t="str">
        <f t="shared" si="140"/>
        <v>-0.0395367104783783+0.03130401965017j</v>
      </c>
      <c r="BA232" s="91">
        <f t="shared" si="141"/>
        <v>-25.946377367554533</v>
      </c>
      <c r="BB232" s="91">
        <f t="shared" si="142"/>
        <v>-38.371158937874071</v>
      </c>
      <c r="BD232" s="91" t="str">
        <f t="shared" si="143"/>
        <v>-0.0521740873478994+0.0251073906542301j</v>
      </c>
      <c r="BE232" s="91">
        <f t="shared" si="144"/>
        <v>-24.746290817077359</v>
      </c>
      <c r="BF232" s="91">
        <f t="shared" si="145"/>
        <v>-25.69794750322049</v>
      </c>
      <c r="BH232" s="91">
        <f t="shared" si="152"/>
        <v>25.746290817077359</v>
      </c>
      <c r="BI232" s="112">
        <f t="shared" si="153"/>
        <v>25.69794750322049</v>
      </c>
      <c r="BJ232" s="95"/>
      <c r="BK232" s="95"/>
      <c r="BL232" s="95"/>
      <c r="BM232" s="95"/>
      <c r="BN232" s="46"/>
      <c r="BO232" s="46"/>
      <c r="BP232" s="46"/>
    </row>
    <row r="233" spans="1:68" s="91" customFormat="1">
      <c r="A233" s="91">
        <v>169</v>
      </c>
      <c r="B233" s="91">
        <f t="shared" si="103"/>
        <v>239883.29190194918</v>
      </c>
      <c r="C233" s="91" t="str">
        <f t="shared" si="104"/>
        <v>1507231.1751162j</v>
      </c>
      <c r="D233" s="91">
        <f t="shared" si="105"/>
        <v>0.80977192154143529</v>
      </c>
      <c r="E233" s="91" t="str">
        <f t="shared" si="106"/>
        <v>-0.685105079598273j</v>
      </c>
      <c r="F233" s="91" t="str">
        <f t="shared" si="107"/>
        <v>0.809771921541435-0.685105079598273j</v>
      </c>
      <c r="G233" s="91">
        <f t="shared" si="108"/>
        <v>0.51190945196420512</v>
      </c>
      <c r="H233" s="91">
        <f t="shared" si="109"/>
        <v>-40.232789526395671</v>
      </c>
      <c r="J233" s="91">
        <f t="shared" si="110"/>
        <v>7.1641791044776131</v>
      </c>
      <c r="K233" s="91" t="str">
        <f t="shared" si="111"/>
        <v>1+37.4170139222597j</v>
      </c>
      <c r="L233" s="91">
        <f t="shared" si="112"/>
        <v>-227.9512901916591</v>
      </c>
      <c r="M233" s="91" t="str">
        <f t="shared" si="113"/>
        <v>6.78872668463718j</v>
      </c>
      <c r="N233" s="91" t="str">
        <f t="shared" si="114"/>
        <v>-227.951290191659+6.78872668463718j</v>
      </c>
      <c r="O233" s="91" t="str">
        <f t="shared" si="115"/>
        <v>0.000501127750825721-0.164129853669476j</v>
      </c>
      <c r="P233" s="91" t="str">
        <f t="shared" si="116"/>
        <v>0.00359016896113949-1.17585566807983j</v>
      </c>
      <c r="R233" s="91">
        <f t="shared" si="117"/>
        <v>11.82089552238806</v>
      </c>
      <c r="S233" s="91" t="str">
        <f t="shared" si="118"/>
        <v>1+0.113042338133715j</v>
      </c>
      <c r="T233" s="91" t="str">
        <f t="shared" si="119"/>
        <v>-227.951290191659+6.78872668463718j</v>
      </c>
      <c r="U233" s="91" t="str">
        <f t="shared" si="120"/>
        <v>-0.00436825895481731-0.00062599888838405j</v>
      </c>
      <c r="V233" s="91" t="str">
        <f t="shared" si="121"/>
        <v>-0.0516367327196315-0.00739986745671892j</v>
      </c>
      <c r="X233" s="91" t="str">
        <f t="shared" si="122"/>
        <v>-0.150269063947923-0.178716912549921j</v>
      </c>
      <c r="Y233" s="91">
        <f t="shared" si="123"/>
        <v>-12.634399595805997</v>
      </c>
      <c r="Z233" s="91">
        <f t="shared" si="124"/>
        <v>49.942147666661214</v>
      </c>
      <c r="AB233" s="91" t="str">
        <f t="shared" si="125"/>
        <v>-0.0483345039044804-0.00692663736920438j</v>
      </c>
      <c r="AC233" s="91">
        <f t="shared" si="126"/>
        <v>-26.226568476855579</v>
      </c>
      <c r="AD233" s="91">
        <f t="shared" si="127"/>
        <v>8.1553190814819629</v>
      </c>
      <c r="AF233" s="91" t="str">
        <f t="shared" si="128"/>
        <v>-0.0528306974802419-0.0192630111677244j</v>
      </c>
      <c r="AG233" s="91">
        <f t="shared" si="129"/>
        <v>-25.000180552040092</v>
      </c>
      <c r="AH233" s="91">
        <f t="shared" si="130"/>
        <v>20.032754306485771</v>
      </c>
      <c r="AJ233" s="91" t="str">
        <f t="shared" si="131"/>
        <v>46872.6602907012-331.162194613013j</v>
      </c>
      <c r="AK233" s="91" t="str">
        <f t="shared" si="132"/>
        <v>15000-0.000339127014401145j</v>
      </c>
      <c r="AL233" s="91" t="str">
        <f t="shared" si="146"/>
        <v>10000-14743.7384451055j</v>
      </c>
      <c r="AM233" s="91" t="str">
        <f t="shared" si="147"/>
        <v>790.235104975476-4945.28444410212j</v>
      </c>
      <c r="AN233" s="91" t="str">
        <f t="shared" si="148"/>
        <v>10790.2351049755-4945.28444410212j</v>
      </c>
      <c r="AO233" s="91" t="str">
        <f t="shared" si="149"/>
        <v>6585.16575929274-1613.54676011821j</v>
      </c>
      <c r="AP233" s="91" t="str">
        <f t="shared" si="150"/>
        <v>0.242426464823792+0.00129753954060604j</v>
      </c>
      <c r="AQ233" s="91" t="str">
        <f t="shared" si="133"/>
        <v>1+206.189224755896j</v>
      </c>
      <c r="AR233" s="91">
        <f t="shared" si="134"/>
        <v>-3.0977482752512748E-5</v>
      </c>
      <c r="AS233" s="91" t="str">
        <f t="shared" si="135"/>
        <v>0.0114757265764762j</v>
      </c>
      <c r="AT233" s="91" t="str">
        <f t="shared" si="136"/>
        <v>-0.0000309774827525127+0.0114757265764762j</v>
      </c>
      <c r="AU233" s="91" t="str">
        <f t="shared" si="137"/>
        <v>5.39011682384262-0.0406921729820442j</v>
      </c>
      <c r="AW233" s="91" t="str">
        <f t="shared" si="151"/>
        <v>0.619455251483716-0.681476973647085j</v>
      </c>
      <c r="AX233" s="91">
        <f t="shared" si="138"/>
        <v>-0.71534669153497943</v>
      </c>
      <c r="AY233" s="91">
        <f t="shared" si="139"/>
        <v>132.27050017299888</v>
      </c>
      <c r="AZ233" s="91" t="str">
        <f t="shared" si="140"/>
        <v>-0.0346614061434068+0.0286481095500815j</v>
      </c>
      <c r="BA233" s="91">
        <f t="shared" si="141"/>
        <v>-26.941915168390558</v>
      </c>
      <c r="BB233" s="91">
        <f t="shared" si="142"/>
        <v>-39.574180745519101</v>
      </c>
      <c r="BD233" s="91" t="str">
        <f t="shared" si="143"/>
        <v>-0.0458535515475942+0.0240703304072635j</v>
      </c>
      <c r="BE233" s="91">
        <f t="shared" si="144"/>
        <v>-25.715527243575078</v>
      </c>
      <c r="BF233" s="91">
        <f t="shared" si="145"/>
        <v>-27.696745520515236</v>
      </c>
      <c r="BH233" s="91">
        <f t="shared" si="152"/>
        <v>26.715527243575078</v>
      </c>
      <c r="BI233" s="112">
        <f t="shared" si="153"/>
        <v>27.696745520515236</v>
      </c>
      <c r="BJ233" s="95"/>
      <c r="BK233" s="95"/>
      <c r="BL233" s="95"/>
      <c r="BM233" s="95"/>
      <c r="BN233" s="46"/>
      <c r="BO233" s="46"/>
      <c r="BP233" s="46"/>
    </row>
    <row r="234" spans="1:68" s="91" customFormat="1">
      <c r="A234" s="91">
        <v>170</v>
      </c>
      <c r="B234" s="91">
        <f t="shared" si="103"/>
        <v>251188.64315095812</v>
      </c>
      <c r="C234" s="91" t="str">
        <f t="shared" si="104"/>
        <v>1578264.79197648j</v>
      </c>
      <c r="D234" s="91">
        <f t="shared" si="105"/>
        <v>0.79141905967596815</v>
      </c>
      <c r="E234" s="91" t="str">
        <f t="shared" si="106"/>
        <v>-0.717393087262036j</v>
      </c>
      <c r="F234" s="91" t="str">
        <f t="shared" si="107"/>
        <v>0.791419059675968-0.717393087262036j</v>
      </c>
      <c r="G234" s="91">
        <f t="shared" si="108"/>
        <v>0.57284490993627246</v>
      </c>
      <c r="H234" s="91">
        <f t="shared" si="109"/>
        <v>-42.191182785165061</v>
      </c>
      <c r="J234" s="91">
        <f t="shared" si="110"/>
        <v>7.1641791044776131</v>
      </c>
      <c r="K234" s="91" t="str">
        <f t="shared" si="111"/>
        <v>1+39.1804234608161j</v>
      </c>
      <c r="L234" s="91">
        <f t="shared" si="112"/>
        <v>-250.04009767400598</v>
      </c>
      <c r="M234" s="91" t="str">
        <f t="shared" si="113"/>
        <v>7.10866951639854j</v>
      </c>
      <c r="N234" s="91" t="str">
        <f t="shared" si="114"/>
        <v>-250.040097674006+7.10866951639854j</v>
      </c>
      <c r="O234" s="91" t="str">
        <f t="shared" si="115"/>
        <v>0.000455175300764484-0.156683620485179j</v>
      </c>
      <c r="P234" s="91" t="str">
        <f t="shared" si="116"/>
        <v>0.00326095737861123-1.12250951989382j</v>
      </c>
      <c r="R234" s="91">
        <f t="shared" si="117"/>
        <v>11.82089552238806</v>
      </c>
      <c r="S234" s="91" t="str">
        <f t="shared" si="118"/>
        <v>1+0.118369859398236j</v>
      </c>
      <c r="T234" s="91" t="str">
        <f t="shared" si="119"/>
        <v>-250.040097674006+7.10866951639854j</v>
      </c>
      <c r="U234" s="91" t="str">
        <f t="shared" si="120"/>
        <v>-0.00398268053480057-0.000586631586189688j</v>
      </c>
      <c r="V234" s="91" t="str">
        <f t="shared" si="121"/>
        <v>-0.0470788505009261-0.00693451069048109j</v>
      </c>
      <c r="X234" s="91" t="str">
        <f t="shared" si="122"/>
        <v>-0.150273241174061-0.166750514729438j</v>
      </c>
      <c r="Y234" s="91">
        <f t="shared" si="123"/>
        <v>-12.97674765368328</v>
      </c>
      <c r="Z234" s="91">
        <f t="shared" si="124"/>
        <v>47.975264417336319</v>
      </c>
      <c r="AB234" s="91" t="str">
        <f t="shared" si="125"/>
        <v>-0.0440681035283694-0.00649104070671169j</v>
      </c>
      <c r="AC234" s="91">
        <f t="shared" si="126"/>
        <v>-27.024295790644555</v>
      </c>
      <c r="AD234" s="91">
        <f t="shared" si="127"/>
        <v>8.3791685480772742</v>
      </c>
      <c r="AF234" s="91" t="str">
        <f t="shared" si="128"/>
        <v>-0.0484948781250913-0.0171556167254916j</v>
      </c>
      <c r="AG234" s="91">
        <f t="shared" si="129"/>
        <v>-25.773989353405732</v>
      </c>
      <c r="AH234" s="91">
        <f t="shared" si="130"/>
        <v>19.481814558515424</v>
      </c>
      <c r="AJ234" s="91" t="str">
        <f t="shared" si="131"/>
        <v>46872.4345721226-346.767718122198j</v>
      </c>
      <c r="AK234" s="91" t="str">
        <f t="shared" si="132"/>
        <v>15000-0.000355109578194708j</v>
      </c>
      <c r="AL234" s="91" t="str">
        <f t="shared" si="146"/>
        <v>10000-14080.1609053149j</v>
      </c>
      <c r="AM234" s="91" t="str">
        <f t="shared" si="147"/>
        <v>776.781334585283-4750.17751140684j</v>
      </c>
      <c r="AN234" s="91" t="str">
        <f t="shared" si="148"/>
        <v>10776.7813345853-4750.17751140684j</v>
      </c>
      <c r="AO234" s="91" t="str">
        <f t="shared" si="149"/>
        <v>6557.90429845783-1555.72001516607j</v>
      </c>
      <c r="AP234" s="91" t="str">
        <f t="shared" si="150"/>
        <v>0.242426679236202+0.00135869031064464j</v>
      </c>
      <c r="AQ234" s="91" t="str">
        <f t="shared" si="133"/>
        <v>1+215.906623542382j</v>
      </c>
      <c r="AR234" s="91">
        <f t="shared" si="134"/>
        <v>-3.3975782229146222E-5</v>
      </c>
      <c r="AS234" s="91" t="str">
        <f t="shared" si="135"/>
        <v>0.0120165609078547j</v>
      </c>
      <c r="AT234" s="91" t="str">
        <f t="shared" si="136"/>
        <v>-0.0000339757822291462+0.0120165609078547j</v>
      </c>
      <c r="AU234" s="91" t="str">
        <f t="shared" si="137"/>
        <v>5.39011299005865-0.0402056219616813j</v>
      </c>
      <c r="AW234" s="91" t="str">
        <f t="shared" si="151"/>
        <v>0.588294722047694-0.680215000178818j</v>
      </c>
      <c r="AX234" s="91">
        <f t="shared" si="138"/>
        <v>-0.92167917954721901</v>
      </c>
      <c r="AY234" s="91">
        <f t="shared" si="139"/>
        <v>130.85540844057738</v>
      </c>
      <c r="AZ234" s="91" t="str">
        <f t="shared" si="140"/>
        <v>-0.0303403359718677+0.0261571400610748j</v>
      </c>
      <c r="BA234" s="91">
        <f t="shared" si="141"/>
        <v>-27.945974970191763</v>
      </c>
      <c r="BB234" s="91">
        <f t="shared" si="142"/>
        <v>-40.765423011345405</v>
      </c>
      <c r="BD234" s="91" t="str">
        <f t="shared" si="143"/>
        <v>-0.0401987886813354+0.0228943847594509j</v>
      </c>
      <c r="BE234" s="91">
        <f t="shared" si="144"/>
        <v>-26.69566853295294</v>
      </c>
      <c r="BF234" s="91">
        <f t="shared" si="145"/>
        <v>-29.662777000907226</v>
      </c>
      <c r="BH234" s="91">
        <f t="shared" si="152"/>
        <v>27.69566853295294</v>
      </c>
      <c r="BI234" s="112">
        <f t="shared" si="153"/>
        <v>29.662777000907226</v>
      </c>
      <c r="BJ234" s="95"/>
      <c r="BK234" s="95"/>
      <c r="BL234" s="95"/>
      <c r="BM234" s="95"/>
      <c r="BN234" s="46"/>
      <c r="BO234" s="46"/>
      <c r="BP234" s="46"/>
    </row>
    <row r="235" spans="1:68" s="91" customFormat="1">
      <c r="A235" s="91">
        <v>171</v>
      </c>
      <c r="B235" s="91">
        <f t="shared" si="103"/>
        <v>263026.79918953823</v>
      </c>
      <c r="C235" s="91" t="str">
        <f t="shared" si="104"/>
        <v>1652646.12006218j</v>
      </c>
      <c r="D235" s="91">
        <f t="shared" si="105"/>
        <v>0.77129554680365764</v>
      </c>
      <c r="E235" s="91" t="str">
        <f t="shared" si="106"/>
        <v>-0.751202781846446j</v>
      </c>
      <c r="F235" s="91" t="str">
        <f t="shared" si="107"/>
        <v>0.771295546803658-0.751202781846446j</v>
      </c>
      <c r="G235" s="91">
        <f t="shared" si="108"/>
        <v>0.64159286598462884</v>
      </c>
      <c r="H235" s="91">
        <f t="shared" si="109"/>
        <v>-44.243898150380069</v>
      </c>
      <c r="J235" s="91">
        <f t="shared" si="110"/>
        <v>7.1641791044776131</v>
      </c>
      <c r="K235" s="91" t="str">
        <f t="shared" si="111"/>
        <v>1+41.0269399305436j</v>
      </c>
      <c r="L235" s="91">
        <f t="shared" si="112"/>
        <v>-274.25999345720135</v>
      </c>
      <c r="M235" s="91" t="str">
        <f t="shared" si="113"/>
        <v>7.44369078928007j</v>
      </c>
      <c r="N235" s="91" t="str">
        <f t="shared" si="114"/>
        <v>-274.259993457201+7.44369078928007j</v>
      </c>
      <c r="O235" s="91" t="str">
        <f t="shared" si="115"/>
        <v>0.000413580798723906-0.149580187929828j</v>
      </c>
      <c r="P235" s="91" t="str">
        <f t="shared" si="116"/>
        <v>0.00296296691623097-1.07161925681071j</v>
      </c>
      <c r="R235" s="91">
        <f t="shared" si="117"/>
        <v>11.82089552238806</v>
      </c>
      <c r="S235" s="91" t="str">
        <f t="shared" si="118"/>
        <v>1+0.123948459004664j</v>
      </c>
      <c r="T235" s="91" t="str">
        <f t="shared" si="119"/>
        <v>-274.259993457201+7.44369078928007j</v>
      </c>
      <c r="U235" s="91" t="str">
        <f t="shared" si="120"/>
        <v>-0.00363123431436445-0.000550493137993081j</v>
      </c>
      <c r="V235" s="91" t="str">
        <f t="shared" si="121"/>
        <v>-0.0429244414474126-0.00650732187000776j</v>
      </c>
      <c r="X235" s="91" t="str">
        <f t="shared" si="122"/>
        <v>-0.150276659151389-0.155152145561246j</v>
      </c>
      <c r="Y235" s="91">
        <f t="shared" si="123"/>
        <v>-13.31099362185866</v>
      </c>
      <c r="Z235" s="91">
        <f t="shared" si="124"/>
        <v>45.91452105069888</v>
      </c>
      <c r="AB235" s="91" t="str">
        <f t="shared" si="125"/>
        <v>-0.0401793737416083-0.00609117110568117j</v>
      </c>
      <c r="AC235" s="91">
        <f t="shared" si="126"/>
        <v>-27.821255138777602</v>
      </c>
      <c r="AD235" s="91">
        <f t="shared" si="127"/>
        <v>8.6203698828817892</v>
      </c>
      <c r="AF235" s="91" t="str">
        <f t="shared" si="128"/>
        <v>-0.0444929726808799-0.0152924495007284j</v>
      </c>
      <c r="AG235" s="91">
        <f t="shared" si="129"/>
        <v>-26.549236855899135</v>
      </c>
      <c r="AH235" s="91">
        <f t="shared" si="130"/>
        <v>18.968093095463047</v>
      </c>
      <c r="AJ235" s="91" t="str">
        <f t="shared" si="131"/>
        <v>46872.1870791214-363.108459914712j</v>
      </c>
      <c r="AK235" s="91" t="str">
        <f t="shared" si="132"/>
        <v>15000-0.00037184537701399j</v>
      </c>
      <c r="AL235" s="91" t="str">
        <f t="shared" si="146"/>
        <v>10000-13446.4492745647j</v>
      </c>
      <c r="AM235" s="91" t="str">
        <f t="shared" si="147"/>
        <v>762.546448515325-4564.13856333229j</v>
      </c>
      <c r="AN235" s="91" t="str">
        <f t="shared" si="148"/>
        <v>10762.5464485153-4564.13856333229j</v>
      </c>
      <c r="AO235" s="91" t="str">
        <f t="shared" si="149"/>
        <v>6532.1652271903-1500.1767346559j</v>
      </c>
      <c r="AP235" s="91" t="str">
        <f t="shared" si="150"/>
        <v>0.242426914334595+0.00142272297071531j</v>
      </c>
      <c r="AQ235" s="91" t="str">
        <f t="shared" si="133"/>
        <v>1+226.081989224506j</v>
      </c>
      <c r="AR235" s="91">
        <f t="shared" si="134"/>
        <v>-3.7263352230782016E-5</v>
      </c>
      <c r="AS235" s="91" t="str">
        <f t="shared" si="135"/>
        <v>0.012582883976007j</v>
      </c>
      <c r="AT235" s="91" t="str">
        <f t="shared" si="136"/>
        <v>-0.000037263352230782+0.012582883976007j</v>
      </c>
      <c r="AU235" s="91" t="str">
        <f t="shared" si="137"/>
        <v>5.39010879009522-0.0398043503669412j</v>
      </c>
      <c r="AW235" s="91" t="str">
        <f t="shared" si="151"/>
        <v>0.557280570257148-0.677534443107198j</v>
      </c>
      <c r="AX235" s="91">
        <f t="shared" si="138"/>
        <v>-1.1372672715855565</v>
      </c>
      <c r="AY235" s="91">
        <f t="shared" si="139"/>
        <v>129.43772502490117</v>
      </c>
      <c r="AZ235" s="91" t="str">
        <f t="shared" si="140"/>
        <v>-0.0265181625342569+0.0238284183051087j</v>
      </c>
      <c r="BA235" s="91">
        <f t="shared" si="141"/>
        <v>-28.958522410363159</v>
      </c>
      <c r="BB235" s="91">
        <f t="shared" si="142"/>
        <v>-41.94190509221707</v>
      </c>
      <c r="BD235" s="91" t="str">
        <f t="shared" si="143"/>
        <v>-0.0351562304442574+0.0216233364891292j</v>
      </c>
      <c r="BE235" s="91">
        <f t="shared" si="144"/>
        <v>-27.686504127484689</v>
      </c>
      <c r="BF235" s="91">
        <f t="shared" si="145"/>
        <v>-31.594181879635812</v>
      </c>
      <c r="BH235" s="91">
        <f t="shared" si="152"/>
        <v>28.686504127484689</v>
      </c>
      <c r="BI235" s="112">
        <f t="shared" si="153"/>
        <v>31.594181879635812</v>
      </c>
      <c r="BJ235" s="95"/>
      <c r="BK235" s="95"/>
      <c r="BL235" s="95"/>
      <c r="BM235" s="95"/>
      <c r="BN235" s="46"/>
      <c r="BO235" s="46"/>
      <c r="BP235" s="46"/>
    </row>
    <row r="236" spans="1:68" s="91" customFormat="1">
      <c r="A236" s="91">
        <v>172</v>
      </c>
      <c r="B236" s="91">
        <f t="shared" si="103"/>
        <v>275422.87033381691</v>
      </c>
      <c r="C236" s="91" t="str">
        <f t="shared" si="104"/>
        <v>1730532.93214267j</v>
      </c>
      <c r="D236" s="91">
        <f t="shared" si="105"/>
        <v>0.74923055370935909</v>
      </c>
      <c r="E236" s="91" t="str">
        <f t="shared" si="106"/>
        <v>-0.786605878246668j</v>
      </c>
      <c r="F236" s="91" t="str">
        <f t="shared" si="107"/>
        <v>0.749230553709359-0.786605878246668j</v>
      </c>
      <c r="G236" s="91">
        <f t="shared" si="108"/>
        <v>0.71917055040607469</v>
      </c>
      <c r="H236" s="91">
        <f t="shared" si="109"/>
        <v>-46.394045437593903</v>
      </c>
      <c r="J236" s="91">
        <f t="shared" si="110"/>
        <v>7.1641791044776131</v>
      </c>
      <c r="K236" s="91" t="str">
        <f t="shared" si="111"/>
        <v>1+42.9604800404418j</v>
      </c>
      <c r="L236" s="91">
        <f t="shared" si="112"/>
        <v>-300.81658109633946</v>
      </c>
      <c r="M236" s="91" t="str">
        <f t="shared" si="113"/>
        <v>7.79450112831872j</v>
      </c>
      <c r="N236" s="91" t="str">
        <f t="shared" si="114"/>
        <v>-300.816581096339+7.79450112831872j</v>
      </c>
      <c r="O236" s="91" t="str">
        <f t="shared" si="115"/>
        <v>0.000375907390036039-0.142803132305092j</v>
      </c>
      <c r="P236" s="91" t="str">
        <f t="shared" si="116"/>
        <v>0.00269306786891491-1.02306721651409j</v>
      </c>
      <c r="R236" s="91">
        <f t="shared" si="117"/>
        <v>11.82089552238806</v>
      </c>
      <c r="S236" s="91" t="str">
        <f t="shared" si="118"/>
        <v>1+0.1297899699107j</v>
      </c>
      <c r="T236" s="91" t="str">
        <f t="shared" si="119"/>
        <v>-300.816581096339+7.79450112831872j</v>
      </c>
      <c r="U236" s="91" t="str">
        <f t="shared" si="120"/>
        <v>-0.00331088236421481-0.000517247572149195j</v>
      </c>
      <c r="V236" s="91" t="str">
        <f t="shared" si="121"/>
        <v>-0.0391375945143004-0.00611432950958451j</v>
      </c>
      <c r="X236" s="91" t="str">
        <f t="shared" si="122"/>
        <v>-0.150279451200166-0.143895343956643j</v>
      </c>
      <c r="Y236" s="91">
        <f t="shared" si="123"/>
        <v>-13.636145865131734</v>
      </c>
      <c r="Z236" s="91">
        <f t="shared" si="124"/>
        <v>43.756776584599919</v>
      </c>
      <c r="AB236" s="91" t="str">
        <f t="shared" si="125"/>
        <v>-0.0366347000522795-0.00572331106150593j</v>
      </c>
      <c r="AC236" s="91">
        <f t="shared" si="126"/>
        <v>-28.617423010443606</v>
      </c>
      <c r="AD236" s="91">
        <f t="shared" si="127"/>
        <v>8.8793449270926033</v>
      </c>
      <c r="AF236" s="91" t="str">
        <f t="shared" si="128"/>
        <v>-0.0408030693113433-0.0136452893494514j</v>
      </c>
      <c r="AG236" s="91">
        <f t="shared" si="129"/>
        <v>-27.325737823146781</v>
      </c>
      <c r="AH236" s="91">
        <f t="shared" si="130"/>
        <v>18.490873506713996</v>
      </c>
      <c r="AJ236" s="91" t="str">
        <f t="shared" si="131"/>
        <v>46871.9157114458-380.219033115339j</v>
      </c>
      <c r="AK236" s="91" t="str">
        <f t="shared" si="132"/>
        <v>15000-0.000389369909732101j</v>
      </c>
      <c r="AL236" s="91" t="str">
        <f t="shared" si="146"/>
        <v>10000-12841.2593655225j</v>
      </c>
      <c r="AM236" s="91" t="str">
        <f t="shared" si="147"/>
        <v>747.52604692741-4386.68621607874j</v>
      </c>
      <c r="AN236" s="91" t="str">
        <f t="shared" si="148"/>
        <v>10747.5260469274-4386.68621607874j</v>
      </c>
      <c r="AO236" s="91" t="str">
        <f t="shared" si="149"/>
        <v>6507.79940284942-1446.8427330308j</v>
      </c>
      <c r="AP236" s="91" t="str">
        <f t="shared" si="150"/>
        <v>0.242427172114689+0.00148977333167038j</v>
      </c>
      <c r="AQ236" s="91" t="str">
        <f t="shared" si="133"/>
        <v>1+236.736905117117j</v>
      </c>
      <c r="AR236" s="91">
        <f t="shared" si="134"/>
        <v>-4.0868101055870644E-5</v>
      </c>
      <c r="AS236" s="91" t="str">
        <f t="shared" si="135"/>
        <v>0.0131758970280892j</v>
      </c>
      <c r="AT236" s="91" t="str">
        <f t="shared" si="136"/>
        <v>-0.0000408681010558706+0.0131758970280892j</v>
      </c>
      <c r="AU236" s="91" t="str">
        <f t="shared" si="137"/>
        <v>5.39010418830048-0.0394875067374891j</v>
      </c>
      <c r="AW236" s="91" t="str">
        <f t="shared" si="151"/>
        <v>0.526542085000114-0.673458592037969j</v>
      </c>
      <c r="AX236" s="91">
        <f t="shared" si="138"/>
        <v>-1.3620559601160998</v>
      </c>
      <c r="AY236" s="91">
        <f t="shared" si="139"/>
        <v>128.01999402953282</v>
      </c>
      <c r="AZ236" s="91" t="str">
        <f t="shared" si="140"/>
        <v>-0.0231441243581581+0.0216583893775119j</v>
      </c>
      <c r="BA236" s="91">
        <f t="shared" si="141"/>
        <v>-29.979478970559718</v>
      </c>
      <c r="BB236" s="91">
        <f t="shared" si="142"/>
        <v>-43.100661043374629</v>
      </c>
      <c r="BD236" s="91" t="str">
        <f t="shared" si="143"/>
        <v>-0.0306740705428311+0.0202943585047549j</v>
      </c>
      <c r="BE236" s="91">
        <f t="shared" si="144"/>
        <v>-28.68779378326289</v>
      </c>
      <c r="BF236" s="91">
        <f t="shared" si="145"/>
        <v>-33.489132463753151</v>
      </c>
      <c r="BH236" s="91">
        <f t="shared" si="152"/>
        <v>29.68779378326289</v>
      </c>
      <c r="BI236" s="112">
        <f t="shared" si="153"/>
        <v>33.489132463753151</v>
      </c>
      <c r="BJ236" s="95"/>
      <c r="BK236" s="95"/>
      <c r="BL236" s="95"/>
      <c r="BM236" s="95"/>
      <c r="BN236" s="46"/>
      <c r="BO236" s="46"/>
      <c r="BP236" s="46"/>
    </row>
    <row r="237" spans="1:68" s="91" customFormat="1">
      <c r="A237" s="91">
        <v>173</v>
      </c>
      <c r="B237" s="91">
        <f t="shared" si="103"/>
        <v>288403.15031266079</v>
      </c>
      <c r="C237" s="91" t="str">
        <f t="shared" si="104"/>
        <v>1812090.43658882j</v>
      </c>
      <c r="D237" s="91">
        <f t="shared" si="105"/>
        <v>0.72503676988341303</v>
      </c>
      <c r="E237" s="91" t="str">
        <f t="shared" si="106"/>
        <v>-0.823677471176736j</v>
      </c>
      <c r="F237" s="91" t="str">
        <f t="shared" si="107"/>
        <v>0.725036769883413-0.823677471176736j</v>
      </c>
      <c r="G237" s="91">
        <f t="shared" si="108"/>
        <v>0.80670813792469853</v>
      </c>
      <c r="H237" s="91">
        <f t="shared" si="109"/>
        <v>-48.644359892066412</v>
      </c>
      <c r="J237" s="91">
        <f t="shared" si="110"/>
        <v>7.1641791044776131</v>
      </c>
      <c r="K237" s="91" t="str">
        <f t="shared" si="111"/>
        <v>1+44.9851450883174j</v>
      </c>
      <c r="L237" s="91">
        <f t="shared" si="112"/>
        <v>-329.93530040661727</v>
      </c>
      <c r="M237" s="91" t="str">
        <f t="shared" si="113"/>
        <v>8.16184464927748j</v>
      </c>
      <c r="N237" s="91" t="str">
        <f t="shared" si="114"/>
        <v>-329.935300406617+8.16184464927748j</v>
      </c>
      <c r="O237" s="91" t="str">
        <f t="shared" si="115"/>
        <v>0.000341765756846042-0.136336898761262j</v>
      </c>
      <c r="P237" s="91" t="str">
        <f t="shared" si="116"/>
        <v>0.00244847109382239-0.976741961274713j</v>
      </c>
      <c r="R237" s="91">
        <f t="shared" si="117"/>
        <v>11.82089552238806</v>
      </c>
      <c r="S237" s="91" t="str">
        <f t="shared" si="118"/>
        <v>1+0.135906782744161j</v>
      </c>
      <c r="T237" s="91" t="str">
        <f t="shared" si="119"/>
        <v>-329.935300406617+8.16184464927748j</v>
      </c>
      <c r="U237" s="91" t="str">
        <f t="shared" si="120"/>
        <v>-0.0030188599153086-0.000486599185334159j</v>
      </c>
      <c r="V237" s="91" t="str">
        <f t="shared" si="121"/>
        <v>-0.0356856276555882-0.00575203813111424j</v>
      </c>
      <c r="X237" s="91" t="str">
        <f t="shared" si="122"/>
        <v>-0.150281727570066-0.132954615432612j</v>
      </c>
      <c r="Y237" s="91">
        <f t="shared" si="123"/>
        <v>-13.951097532542445</v>
      </c>
      <c r="Z237" s="91">
        <f t="shared" si="124"/>
        <v>41.499267362262941</v>
      </c>
      <c r="AB237" s="91" t="str">
        <f t="shared" si="125"/>
        <v>-0.0334034904690455-0.00538418863595841j</v>
      </c>
      <c r="AC237" s="91">
        <f t="shared" si="126"/>
        <v>-29.412769563924137</v>
      </c>
      <c r="AD237" s="91">
        <f t="shared" si="127"/>
        <v>9.1565440317731372</v>
      </c>
      <c r="AF237" s="91" t="str">
        <f t="shared" si="128"/>
        <v>-0.0374040497364196-0.0121890160778441j</v>
      </c>
      <c r="AG237" s="91">
        <f t="shared" si="129"/>
        <v>-28.103314432770084</v>
      </c>
      <c r="AH237" s="91">
        <f t="shared" si="130"/>
        <v>18.049454604952672</v>
      </c>
      <c r="AJ237" s="91" t="str">
        <f t="shared" si="131"/>
        <v>46871.6181663179-398.135676687316j</v>
      </c>
      <c r="AK237" s="91" t="str">
        <f t="shared" si="132"/>
        <v>15000-0.000407720348232484j</v>
      </c>
      <c r="AL237" s="91" t="str">
        <f t="shared" si="146"/>
        <v>10000-12263.3074892523j</v>
      </c>
      <c r="AM237" s="91" t="str">
        <f t="shared" si="147"/>
        <v>731.722247789286-4217.35480656536j</v>
      </c>
      <c r="AN237" s="91" t="str">
        <f t="shared" si="148"/>
        <v>10731.7222477893-4217.35480656536j</v>
      </c>
      <c r="AO237" s="91" t="str">
        <f t="shared" si="149"/>
        <v>6484.67022436135-1395.63797341523j</v>
      </c>
      <c r="AP237" s="91" t="str">
        <f t="shared" si="150"/>
        <v>0.24242745476474+0.00155998360367993j</v>
      </c>
      <c r="AQ237" s="91" t="str">
        <f t="shared" si="133"/>
        <v>1+247.893971725351j</v>
      </c>
      <c r="AR237" s="91">
        <f t="shared" si="134"/>
        <v>-4.4820629545152711E-5</v>
      </c>
      <c r="AS237" s="91" t="str">
        <f t="shared" si="135"/>
        <v>0.0137968579242912j</v>
      </c>
      <c r="AT237" s="91" t="str">
        <f t="shared" si="136"/>
        <v>-0.0000448206295451527+0.0137968579242912j</v>
      </c>
      <c r="AU237" s="91" t="str">
        <f t="shared" si="137"/>
        <v>5.39009914561176-0.039254418650175j</v>
      </c>
      <c r="AW237" s="91" t="str">
        <f t="shared" si="151"/>
        <v>0.496203989744422-0.668025072415337j</v>
      </c>
      <c r="AX237" s="91">
        <f t="shared" si="138"/>
        <v>-1.5959533859989001</v>
      </c>
      <c r="AY237" s="91">
        <f t="shared" si="139"/>
        <v>126.60468672384171</v>
      </c>
      <c r="AZ237" s="91" t="str">
        <f t="shared" si="140"/>
        <v>-0.0201717182455641+0.01964271325681j</v>
      </c>
      <c r="BA237" s="91">
        <f t="shared" si="141"/>
        <v>-31.008722949923033</v>
      </c>
      <c r="BB237" s="91">
        <f t="shared" si="142"/>
        <v>-44.238769244385168</v>
      </c>
      <c r="BD237" s="91" t="str">
        <f t="shared" si="143"/>
        <v>-0.0267026070598837+0.0189386046249134j</v>
      </c>
      <c r="BE237" s="91">
        <f t="shared" si="144"/>
        <v>-29.699267818768988</v>
      </c>
      <c r="BF237" s="91">
        <f t="shared" si="145"/>
        <v>-35.345858671205605</v>
      </c>
      <c r="BH237" s="91">
        <f t="shared" si="152"/>
        <v>30.699267818768988</v>
      </c>
      <c r="BI237" s="112">
        <f t="shared" si="153"/>
        <v>35.345858671205605</v>
      </c>
      <c r="BJ237" s="95"/>
      <c r="BK237" s="95"/>
      <c r="BL237" s="95"/>
      <c r="BM237" s="95"/>
      <c r="BN237" s="46"/>
      <c r="BO237" s="46"/>
      <c r="BP237" s="46"/>
    </row>
    <row r="238" spans="1:68" s="91" customFormat="1">
      <c r="A238" s="91">
        <v>174</v>
      </c>
      <c r="B238" s="91">
        <f t="shared" si="103"/>
        <v>301995.17204020178</v>
      </c>
      <c r="C238" s="91" t="str">
        <f t="shared" si="104"/>
        <v>1897491.62780217j</v>
      </c>
      <c r="D238" s="91">
        <f t="shared" si="105"/>
        <v>0.69850881343606153</v>
      </c>
      <c r="E238" s="91" t="str">
        <f t="shared" si="106"/>
        <v>-0.862496194455532j</v>
      </c>
      <c r="F238" s="91" t="str">
        <f t="shared" si="107"/>
        <v>0.698508813436062-0.862496194455532j</v>
      </c>
      <c r="G238" s="91">
        <f t="shared" si="108"/>
        <v>0.90545223092237326</v>
      </c>
      <c r="H238" s="91">
        <f t="shared" si="109"/>
        <v>-50.997064617201978</v>
      </c>
      <c r="J238" s="91">
        <f t="shared" si="110"/>
        <v>7.1641791044776131</v>
      </c>
      <c r="K238" s="91" t="str">
        <f t="shared" si="111"/>
        <v>1+47.1052296601889j</v>
      </c>
      <c r="L238" s="91">
        <f t="shared" si="112"/>
        <v>-361.86334122995021</v>
      </c>
      <c r="M238" s="91" t="str">
        <f t="shared" si="113"/>
        <v>8.54650053701492j</v>
      </c>
      <c r="N238" s="91" t="str">
        <f t="shared" si="114"/>
        <v>-361.86334122995+8.54650053701492j</v>
      </c>
      <c r="O238" s="91" t="str">
        <f t="shared" si="115"/>
        <v>0.000310808376990214-0.130166745203119j</v>
      </c>
      <c r="P238" s="91" t="str">
        <f t="shared" si="116"/>
        <v>0.00222668687992989-0.932537876082047j</v>
      </c>
      <c r="R238" s="91">
        <f t="shared" si="117"/>
        <v>11.82089552238806</v>
      </c>
      <c r="S238" s="91" t="str">
        <f t="shared" si="118"/>
        <v>1+0.142311872085163j</v>
      </c>
      <c r="T238" s="91" t="str">
        <f t="shared" si="119"/>
        <v>-361.86334122995+8.54650053701492j</v>
      </c>
      <c r="U238" s="91" t="str">
        <f t="shared" si="120"/>
        <v>-0.00275265033298053-0.000458287371886096j</v>
      </c>
      <c r="V238" s="91" t="str">
        <f t="shared" si="121"/>
        <v>-0.0325387919958295-0.00541736714229534j</v>
      </c>
      <c r="X238" s="91" t="str">
        <f t="shared" si="122"/>
        <v>-0.150283579414289-0.122305346348408j</v>
      </c>
      <c r="Y238" s="91">
        <f t="shared" si="123"/>
        <v>-14.254623277238586</v>
      </c>
      <c r="Z238" s="91">
        <f t="shared" si="124"/>
        <v>39.139744322495801</v>
      </c>
      <c r="AB238" s="91" t="str">
        <f t="shared" si="125"/>
        <v>-0.0304578985914723-0.00507092024417975j</v>
      </c>
      <c r="AC238" s="91">
        <f t="shared" si="126"/>
        <v>-30.20725846025579</v>
      </c>
      <c r="AD238" s="91">
        <f t="shared" si="127"/>
        <v>9.4524452548199349</v>
      </c>
      <c r="AF238" s="91" t="str">
        <f t="shared" si="128"/>
        <v>-0.0342756827658293-0.0109013069204872j</v>
      </c>
      <c r="AG238" s="91">
        <f t="shared" si="129"/>
        <v>-28.881795406369019</v>
      </c>
      <c r="AH238" s="91">
        <f t="shared" si="130"/>
        <v>17.643153354012242</v>
      </c>
      <c r="AJ238" s="91" t="str">
        <f t="shared" si="131"/>
        <v>46871.2919189146-416.896331251931j</v>
      </c>
      <c r="AK238" s="91" t="str">
        <f t="shared" si="132"/>
        <v>15000-0.000426935616255489j</v>
      </c>
      <c r="AL238" s="91" t="str">
        <f t="shared" si="146"/>
        <v>10000-11711.3677323371j</v>
      </c>
      <c r="AM238" s="91" t="str">
        <f t="shared" si="147"/>
        <v>715.144371430702-4055.69426579899j</v>
      </c>
      <c r="AN238" s="91" t="str">
        <f t="shared" si="148"/>
        <v>10715.1443714307-4055.69426579899j</v>
      </c>
      <c r="AO238" s="91" t="str">
        <f t="shared" si="149"/>
        <v>6462.65344776115-1346.47773205044j</v>
      </c>
      <c r="AP238" s="91" t="str">
        <f t="shared" si="150"/>
        <v>0.242427764684116+0.00163350269763719j</v>
      </c>
      <c r="AQ238" s="91" t="str">
        <f t="shared" si="133"/>
        <v>1+259.576854683337j</v>
      </c>
      <c r="AR238" s="91">
        <f t="shared" si="134"/>
        <v>-4.9154490853285241E-5</v>
      </c>
      <c r="AS238" s="91" t="str">
        <f t="shared" si="135"/>
        <v>0.0144470838059276j</v>
      </c>
      <c r="AT238" s="91" t="str">
        <f t="shared" si="136"/>
        <v>-0.0000491544908532852+0.0144470838059276j</v>
      </c>
      <c r="AU238" s="91" t="str">
        <f t="shared" si="137"/>
        <v>5.39009361922413-0.0391045912859388j</v>
      </c>
      <c r="AW238" s="91" t="str">
        <f t="shared" si="151"/>
        <v>0.466384476684808-0.661284881268878j</v>
      </c>
      <c r="AX238" s="91">
        <f t="shared" si="138"/>
        <v>-1.838832547691531</v>
      </c>
      <c r="AY238" s="91">
        <f t="shared" si="139"/>
        <v>125.19417416209595</v>
      </c>
      <c r="AZ238" s="91" t="str">
        <f t="shared" si="140"/>
        <v>-0.0175584139870991+0.0177763493693691j</v>
      </c>
      <c r="BA238" s="91">
        <f t="shared" si="141"/>
        <v>-32.046091007947325</v>
      </c>
      <c r="BB238" s="91">
        <f t="shared" si="142"/>
        <v>-45.353380583084117</v>
      </c>
      <c r="BD238" s="91" t="str">
        <f t="shared" si="143"/>
        <v>-0.0231945158223458+0.0175817904849192j</v>
      </c>
      <c r="BE238" s="91">
        <f t="shared" si="144"/>
        <v>-30.720627954060554</v>
      </c>
      <c r="BF238" s="91">
        <f t="shared" si="145"/>
        <v>-37.162672483891697</v>
      </c>
      <c r="BH238" s="91">
        <f t="shared" si="152"/>
        <v>31.720627954060554</v>
      </c>
      <c r="BI238" s="112">
        <f t="shared" si="153"/>
        <v>37.162672483891697</v>
      </c>
      <c r="BJ238" s="95"/>
      <c r="BK238" s="95"/>
      <c r="BL238" s="95"/>
      <c r="BM238" s="95"/>
      <c r="BN238" s="46"/>
      <c r="BO238" s="46"/>
      <c r="BP238" s="46"/>
    </row>
    <row r="239" spans="1:68" s="91" customFormat="1">
      <c r="A239" s="91">
        <v>175</v>
      </c>
      <c r="B239" s="91">
        <f t="shared" si="103"/>
        <v>316227.76601683802</v>
      </c>
      <c r="C239" s="91" t="str">
        <f t="shared" si="104"/>
        <v>1986917.65315922j</v>
      </c>
      <c r="D239" s="91">
        <f t="shared" si="105"/>
        <v>0.669421487603306</v>
      </c>
      <c r="E239" s="91" t="str">
        <f t="shared" si="106"/>
        <v>-0.903144387799645j</v>
      </c>
      <c r="F239" s="91" t="str">
        <f t="shared" si="107"/>
        <v>0.669421487603306-0.903144387799645j</v>
      </c>
      <c r="G239" s="91">
        <f t="shared" si="108"/>
        <v>1.0167660301459751</v>
      </c>
      <c r="H239" s="91">
        <f t="shared" si="109"/>
        <v>-53.453712583476602</v>
      </c>
      <c r="J239" s="91">
        <f t="shared" si="110"/>
        <v>7.1641791044776131</v>
      </c>
      <c r="K239" s="91" t="str">
        <f t="shared" si="111"/>
        <v>1+49.3252307396776j</v>
      </c>
      <c r="L239" s="91">
        <f t="shared" si="112"/>
        <v>-396.8717418383028</v>
      </c>
      <c r="M239" s="91" t="str">
        <f t="shared" si="113"/>
        <v>8.94928469824065j</v>
      </c>
      <c r="N239" s="91" t="str">
        <f t="shared" si="114"/>
        <v>-396.871741838303+8.94928469824065j</v>
      </c>
      <c r="O239" s="91" t="str">
        <f t="shared" si="115"/>
        <v>0.000282724556959253-0.124278690966165j</v>
      </c>
      <c r="P239" s="91" t="str">
        <f t="shared" si="116"/>
        <v>0.00202548936329017-0.89035480095163j</v>
      </c>
      <c r="R239" s="91">
        <f t="shared" si="117"/>
        <v>11.82089552238806</v>
      </c>
      <c r="S239" s="91" t="str">
        <f t="shared" si="118"/>
        <v>1+0.149018823986941j</v>
      </c>
      <c r="T239" s="91" t="str">
        <f t="shared" si="119"/>
        <v>-396.871741838303+8.94928469824065j</v>
      </c>
      <c r="U239" s="91" t="str">
        <f t="shared" si="120"/>
        <v>-0.0025099624611138-0.000432082142807768j</v>
      </c>
      <c r="V239" s="91" t="str">
        <f t="shared" si="121"/>
        <v>-0.0296700040179422-0.00510759786722018j</v>
      </c>
      <c r="X239" s="91" t="str">
        <f t="shared" si="122"/>
        <v>-0.150285082078062-0.11192372419163j</v>
      </c>
      <c r="Y239" s="91">
        <f t="shared" si="123"/>
        <v>-14.545379270448047</v>
      </c>
      <c r="Z239" s="91">
        <f t="shared" si="124"/>
        <v>36.676630726450156</v>
      </c>
      <c r="AB239" s="91" t="str">
        <f t="shared" si="125"/>
        <v>-0.0277725729247381-0.00478096107273287j</v>
      </c>
      <c r="AC239" s="91">
        <f t="shared" si="126"/>
        <v>-31.000846656488086</v>
      </c>
      <c r="AD239" s="91">
        <f t="shared" si="127"/>
        <v>9.7675534434791871</v>
      </c>
      <c r="AF239" s="91" t="str">
        <f t="shared" si="128"/>
        <v>-0.0313986881559629-0.00976235559823598j</v>
      </c>
      <c r="AG239" s="91">
        <f t="shared" si="129"/>
        <v>-29.661015126846195</v>
      </c>
      <c r="AH239" s="91">
        <f t="shared" si="130"/>
        <v>17.27130708176017</v>
      </c>
      <c r="AJ239" s="91" t="str">
        <f t="shared" si="131"/>
        <v>46870.9342009704-436.54071836237j</v>
      </c>
      <c r="AK239" s="91" t="str">
        <f t="shared" si="132"/>
        <v>15000-0.000447056471960824j</v>
      </c>
      <c r="AL239" s="91" t="str">
        <f t="shared" si="146"/>
        <v>10000-11184.2693565527j</v>
      </c>
      <c r="AM239" s="91" t="str">
        <f t="shared" si="147"/>
        <v>697.809543264853-3901.27017618887j</v>
      </c>
      <c r="AN239" s="91" t="str">
        <f t="shared" si="148"/>
        <v>10697.8095432649-3901.27017618887j</v>
      </c>
      <c r="AO239" s="91" t="str">
        <f t="shared" si="149"/>
        <v>6441.6369608725-1299.27371156214j</v>
      </c>
      <c r="AP239" s="91" t="str">
        <f t="shared" si="150"/>
        <v>0.242428104503662+0.00171048654074109j</v>
      </c>
      <c r="AQ239" s="91" t="str">
        <f t="shared" si="133"/>
        <v>1+271.810334952181j</v>
      </c>
      <c r="AR239" s="91">
        <f t="shared" si="134"/>
        <v>-5.3906475282760931E-5</v>
      </c>
      <c r="AS239" s="91" t="str">
        <f t="shared" si="135"/>
        <v>0.0151279538892706j</v>
      </c>
      <c r="AT239" s="91" t="str">
        <f t="shared" si="136"/>
        <v>-0.0000539064752827609+0.0151279538892706j</v>
      </c>
      <c r="AU239" s="91" t="str">
        <f t="shared" si="137"/>
        <v>5.39008756222698-0.0390377063724366j</v>
      </c>
      <c r="AW239" s="91" t="str">
        <f t="shared" si="151"/>
        <v>0.437193465079071-0.653301117927876j</v>
      </c>
      <c r="AX239" s="91">
        <f t="shared" si="138"/>
        <v>-2.0905335651623016</v>
      </c>
      <c r="AY239" s="91">
        <f t="shared" si="139"/>
        <v>123.79070197073406</v>
      </c>
      <c r="AZ239" s="91" t="str">
        <f t="shared" si="140"/>
        <v>-0.0152653946047135+0.0160536480016686j</v>
      </c>
      <c r="BA239" s="91">
        <f t="shared" si="141"/>
        <v>-33.09138022165039</v>
      </c>
      <c r="BB239" s="91">
        <f t="shared" si="142"/>
        <v>-46.441744585786665</v>
      </c>
      <c r="BD239" s="91" t="str">
        <f t="shared" si="143"/>
        <v>-0.0201050590997796+0.0162447600024324j</v>
      </c>
      <c r="BE239" s="91">
        <f t="shared" si="144"/>
        <v>-31.751548692008519</v>
      </c>
      <c r="BF239" s="91">
        <f t="shared" si="145"/>
        <v>-38.937990947505682</v>
      </c>
      <c r="BH239" s="91">
        <f t="shared" si="152"/>
        <v>32.751548692008519</v>
      </c>
      <c r="BI239" s="112">
        <f t="shared" si="153"/>
        <v>38.937990947505682</v>
      </c>
      <c r="BJ239" s="95"/>
      <c r="BK239" s="95"/>
      <c r="BL239" s="95"/>
      <c r="BM239" s="95"/>
      <c r="BN239" s="46"/>
      <c r="BO239" s="46"/>
      <c r="BP239" s="46"/>
    </row>
    <row r="240" spans="1:68" s="91" customFormat="1">
      <c r="A240" s="91">
        <v>176</v>
      </c>
      <c r="B240" s="91">
        <f t="shared" si="103"/>
        <v>331131.12148259114</v>
      </c>
      <c r="C240" s="91" t="str">
        <f t="shared" si="104"/>
        <v>2080558.19724932j</v>
      </c>
      <c r="D240" s="91">
        <f t="shared" si="105"/>
        <v>0.6375278690435735</v>
      </c>
      <c r="E240" s="91" t="str">
        <f t="shared" si="106"/>
        <v>-0.945708271476964j</v>
      </c>
      <c r="F240" s="91" t="str">
        <f t="shared" si="107"/>
        <v>0.637527869043574-0.945708271476964j</v>
      </c>
      <c r="G240" s="91">
        <f t="shared" si="108"/>
        <v>1.1421250425440315</v>
      </c>
      <c r="H240" s="91">
        <f t="shared" si="109"/>
        <v>-56.015010420993804</v>
      </c>
      <c r="J240" s="91">
        <f t="shared" si="110"/>
        <v>7.1641791044776131</v>
      </c>
      <c r="K240" s="91" t="str">
        <f t="shared" si="111"/>
        <v>1+51.6498572467144j</v>
      </c>
      <c r="L240" s="91">
        <f t="shared" si="112"/>
        <v>-435.25768978721163</v>
      </c>
      <c r="M240" s="91" t="str">
        <f t="shared" si="113"/>
        <v>9.37105149216289j</v>
      </c>
      <c r="N240" s="91" t="str">
        <f t="shared" si="114"/>
        <v>-435.257689787212+9.37105149216289j</v>
      </c>
      <c r="O240" s="91" t="str">
        <f t="shared" si="115"/>
        <v>0.000257236123945337-0.118659469747681j</v>
      </c>
      <c r="P240" s="91" t="str">
        <f t="shared" si="116"/>
        <v>0.001842885664086-0.85009769371473j</v>
      </c>
      <c r="R240" s="91">
        <f t="shared" si="117"/>
        <v>11.82089552238806</v>
      </c>
      <c r="S240" s="91" t="str">
        <f t="shared" si="118"/>
        <v>1+0.156041864793699j</v>
      </c>
      <c r="T240" s="91" t="str">
        <f t="shared" si="119"/>
        <v>-435.257689787212+9.37105149216289j</v>
      </c>
      <c r="U240" s="91" t="str">
        <f t="shared" si="120"/>
        <v>-0.00228871009921778-0.000407780239496453j</v>
      </c>
      <c r="V240" s="91" t="str">
        <f t="shared" si="121"/>
        <v>-0.0270546029638878-0.00482032760718195j</v>
      </c>
      <c r="X240" s="91" t="str">
        <f t="shared" si="122"/>
        <v>-0.150286297820537-0.101786663186051j</v>
      </c>
      <c r="Y240" s="91">
        <f t="shared" si="123"/>
        <v>-14.821907661615954</v>
      </c>
      <c r="Z240" s="91">
        <f t="shared" si="124"/>
        <v>34.109198132975536</v>
      </c>
      <c r="AB240" s="91" t="str">
        <f t="shared" si="125"/>
        <v>-0.0253244297948202-0.00451206207827383j</v>
      </c>
      <c r="AC240" s="91">
        <f t="shared" si="126"/>
        <v>-31.793484159817027</v>
      </c>
      <c r="AD240" s="91">
        <f t="shared" si="127"/>
        <v>10.102399171806695</v>
      </c>
      <c r="AF240" s="91" t="str">
        <f t="shared" si="128"/>
        <v>-0.0287547757229916-0.00875461314875829j</v>
      </c>
      <c r="AG240" s="91">
        <f t="shared" si="129"/>
        <v>-30.440812749837612</v>
      </c>
      <c r="AH240" s="91">
        <f t="shared" si="130"/>
        <v>16.93327500264445</v>
      </c>
      <c r="AJ240" s="91" t="str">
        <f t="shared" si="131"/>
        <v>46870.54197732-457.110423377022j</v>
      </c>
      <c r="AK240" s="91" t="str">
        <f t="shared" si="132"/>
        <v>15000-0.000468125594381097j</v>
      </c>
      <c r="AL240" s="91" t="str">
        <f t="shared" si="146"/>
        <v>10000-10680.8943155745j</v>
      </c>
      <c r="AM240" s="91" t="str">
        <f t="shared" si="147"/>
        <v>679.743182568705-3753.66400326998j</v>
      </c>
      <c r="AN240" s="91" t="str">
        <f t="shared" si="148"/>
        <v>10679.7431825687-3753.66400326998j</v>
      </c>
      <c r="AO240" s="91" t="str">
        <f t="shared" si="149"/>
        <v>6421.52051474087-1253.93511185298j</v>
      </c>
      <c r="AP240" s="91" t="str">
        <f t="shared" si="150"/>
        <v>0.242428477108035+0.00179109840692042j</v>
      </c>
      <c r="AQ240" s="91" t="str">
        <f t="shared" si="133"/>
        <v>1+284.620361383707j</v>
      </c>
      <c r="AR240" s="91">
        <f t="shared" si="134"/>
        <v>-5.9116922598093518E-5</v>
      </c>
      <c r="AS240" s="91" t="str">
        <f t="shared" si="135"/>
        <v>0.0158409123910529j</v>
      </c>
      <c r="AT240" s="91" t="str">
        <f t="shared" si="136"/>
        <v>-0.0000591169225980935+0.0158409123910529j</v>
      </c>
      <c r="AU240" s="91" t="str">
        <f t="shared" si="137"/>
        <v>5.39008092320607-0.039053621499987j</v>
      </c>
      <c r="AW240" s="91" t="str">
        <f t="shared" si="151"/>
        <v>0.408731134654707-0.644147466283051j</v>
      </c>
      <c r="AX240" s="91">
        <f t="shared" si="138"/>
        <v>-2.3508664250065299</v>
      </c>
      <c r="AY240" s="91">
        <f t="shared" si="139"/>
        <v>122.39636784569409</v>
      </c>
      <c r="AZ240" s="91" t="str">
        <f t="shared" si="140"/>
        <v>-0.0132573162799523+0.0144684470345111j</v>
      </c>
      <c r="BA240" s="91">
        <f t="shared" si="141"/>
        <v>-34.144350584823542</v>
      </c>
      <c r="BB240" s="91">
        <f t="shared" si="142"/>
        <v>-47.50123298249909</v>
      </c>
      <c r="BD240" s="91" t="str">
        <f t="shared" si="143"/>
        <v>-0.017392233986061+0.0149440329597474j</v>
      </c>
      <c r="BE240" s="91">
        <f t="shared" si="144"/>
        <v>-32.791679174844127</v>
      </c>
      <c r="BF240" s="91">
        <f t="shared" si="145"/>
        <v>-40.670357151661278</v>
      </c>
      <c r="BH240" s="91">
        <f t="shared" si="152"/>
        <v>33.791679174844127</v>
      </c>
      <c r="BI240" s="112">
        <f t="shared" si="153"/>
        <v>40.670357151661278</v>
      </c>
      <c r="BJ240" s="95"/>
      <c r="BK240" s="95"/>
      <c r="BL240" s="95"/>
      <c r="BM240" s="95"/>
      <c r="BN240" s="46"/>
      <c r="BO240" s="46"/>
      <c r="BP240" s="46"/>
    </row>
    <row r="241" spans="1:68" s="91" customFormat="1">
      <c r="A241" s="91">
        <v>177</v>
      </c>
      <c r="B241" s="91">
        <f t="shared" si="103"/>
        <v>346736.85045253224</v>
      </c>
      <c r="C241" s="91" t="str">
        <f t="shared" si="104"/>
        <v>2178611.88422108j</v>
      </c>
      <c r="D241" s="91">
        <f t="shared" si="105"/>
        <v>0.60255721169671972</v>
      </c>
      <c r="E241" s="91" t="str">
        <f t="shared" si="106"/>
        <v>-0.9902781291914j</v>
      </c>
      <c r="F241" s="91" t="str">
        <f t="shared" si="107"/>
        <v>0.60255721169672-0.9902781291914j</v>
      </c>
      <c r="G241" s="91">
        <f t="shared" si="108"/>
        <v>1.28310709668997</v>
      </c>
      <c r="H241" s="91">
        <f t="shared" si="109"/>
        <v>-58.6806286323636</v>
      </c>
      <c r="J241" s="91">
        <f t="shared" si="110"/>
        <v>7.1641791044776131</v>
      </c>
      <c r="K241" s="91" t="str">
        <f t="shared" si="111"/>
        <v>1+54.0840400257883j</v>
      </c>
      <c r="L241" s="91">
        <f t="shared" si="112"/>
        <v>-477.34704475147674</v>
      </c>
      <c r="M241" s="91" t="str">
        <f t="shared" si="113"/>
        <v>9.81269554269875j</v>
      </c>
      <c r="N241" s="91" t="str">
        <f t="shared" si="114"/>
        <v>-477.347044751477+9.81269554269875j</v>
      </c>
      <c r="O241" s="91" t="str">
        <f t="shared" si="115"/>
        <v>0.00023409368038189-0.11329648634136j</v>
      </c>
      <c r="P241" s="91" t="str">
        <f t="shared" si="116"/>
        <v>0.0016770890534822-0.811676320057505j</v>
      </c>
      <c r="R241" s="91">
        <f t="shared" si="117"/>
        <v>11.82089552238806</v>
      </c>
      <c r="S241" s="91" t="str">
        <f t="shared" si="118"/>
        <v>1+0.163395891316581j</v>
      </c>
      <c r="T241" s="91" t="str">
        <f t="shared" si="119"/>
        <v>-477.347044751477+9.81269554269875j</v>
      </c>
      <c r="U241" s="91" t="str">
        <f t="shared" si="120"/>
        <v>-0.00208699340103221-0.000385201760820082j</v>
      </c>
      <c r="V241" s="91" t="str">
        <f t="shared" si="121"/>
        <v>-0.0246701309495151-0.0045534297696941j</v>
      </c>
      <c r="X241" s="91" t="str">
        <f t="shared" si="122"/>
        <v>-0.150287278068198-0.0918717345807745j</v>
      </c>
      <c r="Y241" s="91">
        <f t="shared" si="123"/>
        <v>-15.082646715798198</v>
      </c>
      <c r="Z241" s="91">
        <f t="shared" si="124"/>
        <v>31.437755981694181</v>
      </c>
      <c r="AB241" s="91" t="str">
        <f t="shared" si="125"/>
        <v>-0.0230924475252487-0.00426223266636665j</v>
      </c>
      <c r="AC241" s="91">
        <f t="shared" si="126"/>
        <v>-32.585113744016475</v>
      </c>
      <c r="AD241" s="91">
        <f t="shared" si="127"/>
        <v>10.457537500380056</v>
      </c>
      <c r="AF241" s="91" t="str">
        <f t="shared" si="128"/>
        <v>-0.026326664082526-0.00786255023481913j</v>
      </c>
      <c r="AG241" s="91">
        <f t="shared" si="129"/>
        <v>-31.221031315043504</v>
      </c>
      <c r="AH241" s="91">
        <f t="shared" si="130"/>
        <v>16.628439071319264</v>
      </c>
      <c r="AJ241" s="91" t="str">
        <f t="shared" si="131"/>
        <v>46870.111920184-478.648982081648j</v>
      </c>
      <c r="AK241" s="91" t="str">
        <f t="shared" si="132"/>
        <v>15000-0.000490187673949742j</v>
      </c>
      <c r="AL241" s="91" t="str">
        <f t="shared" si="146"/>
        <v>10000-10200.1748834521j</v>
      </c>
      <c r="AM241" s="91" t="str">
        <f t="shared" si="147"/>
        <v>660.979345178739-3612.47348485341j</v>
      </c>
      <c r="AN241" s="91" t="str">
        <f t="shared" si="148"/>
        <v>10660.9793451787-3612.47348485341j</v>
      </c>
      <c r="AO241" s="91" t="str">
        <f t="shared" si="149"/>
        <v>6402.21540689743-1210.36966441787j</v>
      </c>
      <c r="AP241" s="91" t="str">
        <f t="shared" si="150"/>
        <v>0.242428885660185+0.00187550926279411j</v>
      </c>
      <c r="AQ241" s="91" t="str">
        <f t="shared" si="133"/>
        <v>1+298.034105761444j</v>
      </c>
      <c r="AR241" s="91">
        <f t="shared" si="134"/>
        <v>-6.4830064471508428E-5</v>
      </c>
      <c r="AS241" s="91" t="str">
        <f t="shared" si="135"/>
        <v>0.0165874715918448j</v>
      </c>
      <c r="AT241" s="91" t="str">
        <f t="shared" si="136"/>
        <v>-0.0000648300644715084+0.0165874715918448j</v>
      </c>
      <c r="AU241" s="91" t="str">
        <f t="shared" si="137"/>
        <v>5.39007364580697-0.0391523698092204j</v>
      </c>
      <c r="AW241" s="91" t="str">
        <f t="shared" si="151"/>
        <v>0.381086769723036-0.633906493483042j</v>
      </c>
      <c r="AX241" s="91">
        <f t="shared" si="138"/>
        <v>-2.6196141204900965</v>
      </c>
      <c r="AY241" s="91">
        <f t="shared" si="139"/>
        <v>121.01310218299596</v>
      </c>
      <c r="AZ241" s="91" t="str">
        <f t="shared" si="140"/>
        <v>-0.0115020831963411+0.0130141719580379j</v>
      </c>
      <c r="BA241" s="91">
        <f t="shared" si="141"/>
        <v>-35.204727864506566</v>
      </c>
      <c r="BB241" s="91">
        <f t="shared" si="142"/>
        <v>-48.529360316624064</v>
      </c>
      <c r="BD241" s="91" t="str">
        <f t="shared" si="143"/>
        <v>-0.0150168650219818+0.0136923294428877j</v>
      </c>
      <c r="BE241" s="91">
        <f t="shared" si="144"/>
        <v>-33.840645435533588</v>
      </c>
      <c r="BF241" s="91">
        <f t="shared" si="145"/>
        <v>-42.358458745684771</v>
      </c>
      <c r="BH241" s="91">
        <f t="shared" si="152"/>
        <v>34.840645435533588</v>
      </c>
      <c r="BI241" s="112">
        <f t="shared" si="153"/>
        <v>42.358458745684771</v>
      </c>
      <c r="BJ241" s="95"/>
      <c r="BK241" s="95"/>
      <c r="BL241" s="95"/>
      <c r="BM241" s="95"/>
      <c r="BN241" s="46"/>
      <c r="BO241" s="46"/>
      <c r="BP241" s="46"/>
    </row>
    <row r="242" spans="1:68" s="91" customFormat="1">
      <c r="A242" s="91">
        <v>178</v>
      </c>
      <c r="B242" s="91">
        <f t="shared" si="103"/>
        <v>363078.05477010191</v>
      </c>
      <c r="C242" s="91" t="str">
        <f t="shared" si="104"/>
        <v>2281286.69909085j</v>
      </c>
      <c r="D242" s="91">
        <f t="shared" si="105"/>
        <v>0.56421264841110319</v>
      </c>
      <c r="E242" s="91" t="str">
        <f t="shared" si="106"/>
        <v>-1.03694849958675j</v>
      </c>
      <c r="F242" s="91" t="str">
        <f t="shared" si="107"/>
        <v>0.564212648411103-1.03694849958675j</v>
      </c>
      <c r="G242" s="91">
        <f t="shared" si="108"/>
        <v>1.441375466232625</v>
      </c>
      <c r="H242" s="91">
        <f t="shared" si="109"/>
        <v>-61.449005858490821</v>
      </c>
      <c r="J242" s="91">
        <f t="shared" si="110"/>
        <v>7.1641791044776131</v>
      </c>
      <c r="K242" s="91" t="str">
        <f t="shared" si="111"/>
        <v>1+56.6329423049303j</v>
      </c>
      <c r="L242" s="91">
        <f t="shared" si="112"/>
        <v>-523.49710475952054</v>
      </c>
      <c r="M242" s="91" t="str">
        <f t="shared" si="113"/>
        <v>10.2751536360917j</v>
      </c>
      <c r="N242" s="91" t="str">
        <f t="shared" si="114"/>
        <v>-523.497104759521+10.2751536360917j</v>
      </c>
      <c r="O242" s="91" t="str">
        <f t="shared" si="115"/>
        <v>0.000213073339681855-0.108177776779957j</v>
      </c>
      <c r="P242" s="91" t="str">
        <f t="shared" si="116"/>
        <v>0.00152649556787001-0.775004967975812j</v>
      </c>
      <c r="R242" s="91">
        <f t="shared" si="117"/>
        <v>11.82089552238806</v>
      </c>
      <c r="S242" s="91" t="str">
        <f t="shared" si="118"/>
        <v>1+0.171096502431814j</v>
      </c>
      <c r="T242" s="91" t="str">
        <f t="shared" si="119"/>
        <v>-523.497104759521+10.2751536360917j</v>
      </c>
      <c r="U242" s="91" t="str">
        <f t="shared" si="120"/>
        <v>-0.00190308200592481-0.000364187233685566j</v>
      </c>
      <c r="V242" s="91" t="str">
        <f t="shared" si="121"/>
        <v>-0.0224961335625739-0.0043050192399846j</v>
      </c>
      <c r="X242" s="91" t="str">
        <f t="shared" si="122"/>
        <v>-0.150288065280779-0.0821571010557301j</v>
      </c>
      <c r="Y242" s="91">
        <f t="shared" si="123"/>
        <v>-15.325947829266378</v>
      </c>
      <c r="Z242" s="91">
        <f t="shared" si="124"/>
        <v>28.663847147611648</v>
      </c>
      <c r="AB242" s="91" t="str">
        <f t="shared" si="125"/>
        <v>-0.021057479787108-0.00402970827751055j</v>
      </c>
      <c r="AC242" s="91">
        <f t="shared" si="126"/>
        <v>-33.375670629828619</v>
      </c>
      <c r="AD242" s="91">
        <f t="shared" si="127"/>
        <v>10.83354652328623</v>
      </c>
      <c r="AF242" s="91" t="str">
        <f t="shared" si="128"/>
        <v>-0.0240980828448616-0.00707244027004398j</v>
      </c>
      <c r="AG242" s="91">
        <f t="shared" si="129"/>
        <v>-32.001516862526188</v>
      </c>
      <c r="AH242" s="91">
        <f t="shared" si="130"/>
        <v>16.356204184717882</v>
      </c>
      <c r="AJ242" s="91" t="str">
        <f t="shared" si="131"/>
        <v>46869.6403809821-501.201971213935j</v>
      </c>
      <c r="AK242" s="91" t="str">
        <f t="shared" si="132"/>
        <v>15000-0.000513289507295441j</v>
      </c>
      <c r="AL242" s="91" t="str">
        <f t="shared" si="146"/>
        <v>10000-9741.09138981891j</v>
      </c>
      <c r="AM242" s="91" t="str">
        <f t="shared" si="147"/>
        <v>641.560889813221-3477.3131527469j</v>
      </c>
      <c r="AN242" s="91" t="str">
        <f t="shared" si="148"/>
        <v>10641.5608898132-3477.3131527469j</v>
      </c>
      <c r="AO242" s="91" t="str">
        <f t="shared" si="149"/>
        <v>6383.64410991109-1168.48463241571j</v>
      </c>
      <c r="AP242" s="91" t="str">
        <f t="shared" si="150"/>
        <v>0.242429333628202+0.00196389812989459j</v>
      </c>
      <c r="AQ242" s="91" t="str">
        <f t="shared" si="133"/>
        <v>1+312.080020435628j</v>
      </c>
      <c r="AR242" s="91">
        <f t="shared" si="134"/>
        <v>-7.1094399967180002E-5</v>
      </c>
      <c r="AS242" s="91" t="str">
        <f t="shared" si="135"/>
        <v>0.0173692150438039j</v>
      </c>
      <c r="AT242" s="91" t="str">
        <f t="shared" si="136"/>
        <v>-0.00007109439996718+0.0173692150438039j</v>
      </c>
      <c r="AU242" s="91" t="str">
        <f t="shared" si="137"/>
        <v>5.39006566825704-0.039334160049573j</v>
      </c>
      <c r="AW242" s="91" t="str">
        <f t="shared" si="151"/>
        <v>0.35433793334958-0.622667833960011j</v>
      </c>
      <c r="AX242" s="91">
        <f t="shared" si="138"/>
        <v>-2.8965360921574792</v>
      </c>
      <c r="AY242" s="91">
        <f t="shared" si="139"/>
        <v>119.64265213512182</v>
      </c>
      <c r="AZ242" s="91" t="str">
        <f t="shared" si="140"/>
        <v>-0.00997063359396264+0.0116839368246405j</v>
      </c>
      <c r="BA242" s="91">
        <f t="shared" si="141"/>
        <v>-36.27220672198608</v>
      </c>
      <c r="BB242" s="91">
        <f t="shared" si="142"/>
        <v>-49.523801341591991</v>
      </c>
      <c r="BD242" s="91" t="str">
        <f t="shared" si="143"/>
        <v>-0.0129426459366951+0.0124990671785732j</v>
      </c>
      <c r="BE242" s="91">
        <f t="shared" si="144"/>
        <v>-34.898052954683635</v>
      </c>
      <c r="BF242" s="91">
        <f t="shared" si="145"/>
        <v>-44.001143680160339</v>
      </c>
      <c r="BH242" s="91">
        <f t="shared" si="152"/>
        <v>35.898052954683635</v>
      </c>
      <c r="BI242" s="112">
        <f t="shared" si="153"/>
        <v>44.001143680160339</v>
      </c>
      <c r="BJ242" s="95"/>
      <c r="BK242" s="95"/>
      <c r="BL242" s="95"/>
      <c r="BM242" s="95"/>
      <c r="BN242" s="46"/>
      <c r="BO242" s="46"/>
      <c r="BP242" s="46"/>
    </row>
    <row r="243" spans="1:68" s="91" customFormat="1">
      <c r="A243" s="91">
        <v>179</v>
      </c>
      <c r="B243" s="91">
        <f t="shared" si="103"/>
        <v>380189.3963205617</v>
      </c>
      <c r="C243" s="91" t="str">
        <f t="shared" si="104"/>
        <v>2388800.42890683j</v>
      </c>
      <c r="D243" s="91">
        <f t="shared" si="105"/>
        <v>0.52216867082779084</v>
      </c>
      <c r="E243" s="91" t="str">
        <f t="shared" si="106"/>
        <v>-1.08581837677583j</v>
      </c>
      <c r="F243" s="91" t="str">
        <f t="shared" si="107"/>
        <v>0.522168670827791-1.08581837677583j</v>
      </c>
      <c r="G243" s="91">
        <f t="shared" si="108"/>
        <v>1.6186540921385737</v>
      </c>
      <c r="H243" s="91">
        <f t="shared" si="109"/>
        <v>-64.317158203982601</v>
      </c>
      <c r="J243" s="91">
        <f t="shared" si="110"/>
        <v>7.1641791044776131</v>
      </c>
      <c r="K243" s="91" t="str">
        <f t="shared" si="111"/>
        <v>1+59.301970647612j</v>
      </c>
      <c r="L243" s="91">
        <f t="shared" si="112"/>
        <v>-574.09963930904178</v>
      </c>
      <c r="M243" s="91" t="str">
        <f t="shared" si="113"/>
        <v>10.7594067079606j</v>
      </c>
      <c r="N243" s="91" t="str">
        <f t="shared" si="114"/>
        <v>-574.099639309042+10.7594067079606j</v>
      </c>
      <c r="O243" s="91" t="str">
        <f t="shared" si="115"/>
        <v>0.000193973874612486-0.103291971538555j</v>
      </c>
      <c r="P243" s="91" t="str">
        <f t="shared" si="116"/>
        <v>0.00138966357931333-0.740002184156812j</v>
      </c>
      <c r="R243" s="91">
        <f t="shared" si="117"/>
        <v>11.82089552238806</v>
      </c>
      <c r="S243" s="91" t="str">
        <f t="shared" si="118"/>
        <v>1+0.179160032168012j</v>
      </c>
      <c r="T243" s="91" t="str">
        <f t="shared" si="119"/>
        <v>-574.099639309042+10.7594067079606j</v>
      </c>
      <c r="U243" s="91" t="str">
        <f t="shared" si="120"/>
        <v>-0.00173539973430913-0.000344595067066113j</v>
      </c>
      <c r="V243" s="91" t="str">
        <f t="shared" si="121"/>
        <v>-0.0205139789488482-0.00407342228531883j</v>
      </c>
      <c r="X243" s="91" t="str">
        <f t="shared" si="122"/>
        <v>-0.150288694496547-0.0726214547434798j</v>
      </c>
      <c r="Y243" s="91">
        <f t="shared" si="123"/>
        <v>-15.550100433824328</v>
      </c>
      <c r="Z243" s="91">
        <f t="shared" si="124"/>
        <v>25.790438457412478</v>
      </c>
      <c r="AB243" s="91" t="str">
        <f t="shared" si="125"/>
        <v>-0.0192020862548216-0.00381292221611626j</v>
      </c>
      <c r="AC243" s="91">
        <f t="shared" si="126"/>
        <v>-34.165082131314925</v>
      </c>
      <c r="AD243" s="91">
        <f t="shared" si="127"/>
        <v>11.231025664975846</v>
      </c>
      <c r="AF243" s="91" t="str">
        <f t="shared" si="128"/>
        <v>-0.0220537615861474-0.00637216243917112j</v>
      </c>
      <c r="AG243" s="91">
        <f t="shared" si="129"/>
        <v>-32.782117558560586</v>
      </c>
      <c r="AH243" s="91">
        <f t="shared" si="130"/>
        <v>16.115997745318793</v>
      </c>
      <c r="AJ243" s="91" t="str">
        <f t="shared" si="131"/>
        <v>46869.1233594335-524.817103047666j</v>
      </c>
      <c r="AK243" s="91" t="str">
        <f t="shared" si="132"/>
        <v>15000-0.000537480096504037j</v>
      </c>
      <c r="AL243" s="91" t="str">
        <f t="shared" si="146"/>
        <v>10000-9302.67005703431j</v>
      </c>
      <c r="AM243" s="91" t="str">
        <f t="shared" si="147"/>
        <v>621.539441699908-3347.81495439813j</v>
      </c>
      <c r="AN243" s="91" t="str">
        <f t="shared" si="148"/>
        <v>10621.5394416999-3347.81495439813j</v>
      </c>
      <c r="AO243" s="91" t="str">
        <f t="shared" si="149"/>
        <v>6365.7398380958-1128.18777510883j</v>
      </c>
      <c r="AP243" s="91" t="str">
        <f t="shared" si="150"/>
        <v>0.242429824814757+0.00205645246391459j</v>
      </c>
      <c r="AQ243" s="91" t="str">
        <f t="shared" si="133"/>
        <v>1+326.787898674454j</v>
      </c>
      <c r="AR243" s="91">
        <f t="shared" si="134"/>
        <v>-7.7963107251509891E-5</v>
      </c>
      <c r="AS243" s="91" t="str">
        <f t="shared" si="135"/>
        <v>0.0181878009296022j</v>
      </c>
      <c r="AT243" s="91" t="str">
        <f t="shared" si="136"/>
        <v>-0.0000779631072515099+0.0181878009296022j</v>
      </c>
      <c r="AU243" s="91" t="str">
        <f t="shared" si="137"/>
        <v>5.39005692284118-0.039599377008519j</v>
      </c>
      <c r="AW243" s="91" t="str">
        <f t="shared" si="151"/>
        <v>0.32854997483923-0.610526327446425j</v>
      </c>
      <c r="AX243" s="91">
        <f t="shared" si="138"/>
        <v>-3.1813718713718613</v>
      </c>
      <c r="AY243" s="91">
        <f t="shared" si="139"/>
        <v>118.28656925149767</v>
      </c>
      <c r="AZ243" s="91" t="str">
        <f t="shared" si="140"/>
        <v>-0.0086367343533267+0.0104706437022968j</v>
      </c>
      <c r="BA243" s="91">
        <f t="shared" si="141"/>
        <v>-37.346454002686777</v>
      </c>
      <c r="BB243" s="91">
        <f t="shared" si="142"/>
        <v>-50.482405083526601</v>
      </c>
      <c r="BD243" s="91" t="str">
        <f t="shared" si="143"/>
        <v>-0.0111361357461183+0.0113708282585085j</v>
      </c>
      <c r="BE243" s="91">
        <f t="shared" si="144"/>
        <v>-35.963489429932437</v>
      </c>
      <c r="BF243" s="91">
        <f t="shared" si="145"/>
        <v>-45.597433003183681</v>
      </c>
      <c r="BH243" s="91">
        <f t="shared" si="152"/>
        <v>36.963489429932437</v>
      </c>
      <c r="BI243" s="112">
        <f t="shared" si="153"/>
        <v>45.597433003183681</v>
      </c>
      <c r="BJ243" s="95"/>
      <c r="BK243" s="95"/>
      <c r="BL243" s="95"/>
      <c r="BM243" s="95"/>
      <c r="BN243" s="46"/>
      <c r="BO243" s="46"/>
      <c r="BP243" s="46"/>
    </row>
    <row r="244" spans="1:68" s="91" customFormat="1">
      <c r="A244" s="91">
        <v>180</v>
      </c>
      <c r="B244" s="91">
        <f t="shared" si="103"/>
        <v>398107.17055349768</v>
      </c>
      <c r="C244" s="91" t="str">
        <f t="shared" si="104"/>
        <v>2501381.12470457j</v>
      </c>
      <c r="D244" s="91">
        <f t="shared" si="105"/>
        <v>0.47606836612855818</v>
      </c>
      <c r="E244" s="91" t="str">
        <f t="shared" si="106"/>
        <v>-1.13699142032026j</v>
      </c>
      <c r="F244" s="91" t="str">
        <f t="shared" si="107"/>
        <v>0.476068366128558-1.13699142032026j</v>
      </c>
      <c r="G244" s="91">
        <f t="shared" si="108"/>
        <v>1.8166942925982825</v>
      </c>
      <c r="H244" s="91">
        <f t="shared" si="109"/>
        <v>-67.280508015996389</v>
      </c>
      <c r="J244" s="91">
        <f t="shared" si="110"/>
        <v>7.1641791044776131</v>
      </c>
      <c r="K244" s="91" t="str">
        <f t="shared" si="111"/>
        <v>1+62.0967864207909j</v>
      </c>
      <c r="L244" s="91">
        <f t="shared" si="112"/>
        <v>-629.58421511217148</v>
      </c>
      <c r="M244" s="91" t="str">
        <f t="shared" si="113"/>
        <v>11.2664819239958j</v>
      </c>
      <c r="N244" s="91" t="str">
        <f t="shared" si="114"/>
        <v>-629.584215112171+11.2664819239958j</v>
      </c>
      <c r="O244" s="91" t="str">
        <f t="shared" si="115"/>
        <v>0.000176614220362555-0.098628261492875j</v>
      </c>
      <c r="P244" s="91" t="str">
        <f t="shared" si="116"/>
        <v>0.00126529590707502-0.706590530098209j</v>
      </c>
      <c r="R244" s="91">
        <f t="shared" si="117"/>
        <v>11.82089552238806</v>
      </c>
      <c r="S244" s="91" t="str">
        <f t="shared" si="118"/>
        <v>1+0.187603584352843j</v>
      </c>
      <c r="T244" s="91" t="str">
        <f t="shared" si="119"/>
        <v>-629.584215112171+11.2664819239958j</v>
      </c>
      <c r="U244" s="91" t="str">
        <f t="shared" si="120"/>
        <v>-0.00158251069593755-0.000326299337836086j</v>
      </c>
      <c r="V244" s="91" t="str">
        <f t="shared" si="121"/>
        <v>-0.0187066935997394-0.00385715038158478j</v>
      </c>
      <c r="X244" s="91" t="str">
        <f t="shared" si="122"/>
        <v>-0.150289194612176-0.0632439584235774j</v>
      </c>
      <c r="Y244" s="91">
        <f t="shared" si="123"/>
        <v>-15.753365402108162</v>
      </c>
      <c r="Z244" s="91">
        <f t="shared" si="124"/>
        <v>22.82209177091454</v>
      </c>
      <c r="AB244" s="91" t="str">
        <f t="shared" si="125"/>
        <v>-0.0175103788953085-0.00361048115091137j</v>
      </c>
      <c r="AC244" s="91">
        <f t="shared" si="126"/>
        <v>-34.953267270626938</v>
      </c>
      <c r="AD244" s="91">
        <f t="shared" si="127"/>
        <v>11.65059368707648</v>
      </c>
      <c r="AF244" s="91" t="str">
        <f t="shared" si="128"/>
        <v>-0.0201794084466548-0.00575102351145648j</v>
      </c>
      <c r="AG244" s="91">
        <f t="shared" si="129"/>
        <v>-33.562682835393282</v>
      </c>
      <c r="AH244" s="91">
        <f t="shared" si="130"/>
        <v>15.907268593431553</v>
      </c>
      <c r="AJ244" s="91" t="str">
        <f t="shared" si="131"/>
        <v>46868.5564696887-549.544324197328j</v>
      </c>
      <c r="AK244" s="91" t="str">
        <f t="shared" si="132"/>
        <v>15000-0.000562810753058528j</v>
      </c>
      <c r="AL244" s="91" t="str">
        <f t="shared" si="146"/>
        <v>10000-8883.98093467134j</v>
      </c>
      <c r="AM244" s="91" t="str">
        <f t="shared" si="147"/>
        <v>600.975133342112-3223.62893471279j</v>
      </c>
      <c r="AN244" s="91" t="str">
        <f t="shared" si="148"/>
        <v>10600.9751333421-3223.62893471279j</v>
      </c>
      <c r="AO244" s="91" t="str">
        <f t="shared" si="149"/>
        <v>6348.44604573672-1089.38827155215j</v>
      </c>
      <c r="AP244" s="91" t="str">
        <f t="shared" si="150"/>
        <v>0.242430363389372+0.00215336855177248j</v>
      </c>
      <c r="AQ244" s="91" t="str">
        <f t="shared" si="133"/>
        <v>1+342.188937859585j</v>
      </c>
      <c r="AR244" s="91">
        <f t="shared" si="134"/>
        <v>-8.5494495024467142E-5</v>
      </c>
      <c r="AS244" s="91" t="str">
        <f t="shared" si="135"/>
        <v>0.0190449655796532j</v>
      </c>
      <c r="AT244" s="91" t="str">
        <f t="shared" si="136"/>
        <v>-0.0000854944950244671+0.0190449655796532j</v>
      </c>
      <c r="AU244" s="91" t="str">
        <f t="shared" si="137"/>
        <v>5.39004733532697-0.039948582312198j</v>
      </c>
      <c r="AW244" s="91" t="str">
        <f t="shared" si="151"/>
        <v>0.303775859009914-0.597580175592933j</v>
      </c>
      <c r="AX244" s="91">
        <f t="shared" si="138"/>
        <v>-3.4738448304614664</v>
      </c>
      <c r="AY244" s="91">
        <f t="shared" si="139"/>
        <v>116.94620073146295</v>
      </c>
      <c r="AZ244" s="91" t="str">
        <f t="shared" si="140"/>
        <v>-0.00747678235064801+0.00936707828190006j</v>
      </c>
      <c r="BA244" s="91">
        <f t="shared" si="141"/>
        <v>-38.427112101088376</v>
      </c>
      <c r="BB244" s="91">
        <f t="shared" si="142"/>
        <v>-51.403205581460583</v>
      </c>
      <c r="BD244" s="91" t="str">
        <f t="shared" si="143"/>
        <v>-0.00956671477500975+0.0103117923355346j</v>
      </c>
      <c r="BE244" s="91">
        <f t="shared" si="144"/>
        <v>-37.03652766585472</v>
      </c>
      <c r="BF244" s="91">
        <f t="shared" si="145"/>
        <v>-47.146530675105453</v>
      </c>
      <c r="BH244" s="91">
        <f t="shared" si="152"/>
        <v>38.03652766585472</v>
      </c>
      <c r="BI244" s="112">
        <f t="shared" si="153"/>
        <v>47.146530675105453</v>
      </c>
      <c r="BJ244" s="95"/>
      <c r="BK244" s="95"/>
      <c r="BL244" s="95"/>
      <c r="BM244" s="95"/>
      <c r="BN244" s="46"/>
      <c r="BO244" s="46"/>
      <c r="BP244" s="46"/>
    </row>
    <row r="245" spans="1:68" s="91" customFormat="1">
      <c r="A245" s="91">
        <v>181</v>
      </c>
      <c r="B245" s="91">
        <f t="shared" si="103"/>
        <v>416869.38347033586</v>
      </c>
      <c r="C245" s="91" t="str">
        <f t="shared" si="104"/>
        <v>2619267.58523383j</v>
      </c>
      <c r="D245" s="91">
        <f t="shared" si="105"/>
        <v>0.4255203871902864</v>
      </c>
      <c r="E245" s="91" t="str">
        <f t="shared" si="106"/>
        <v>-1.19057617510629j</v>
      </c>
      <c r="F245" s="91" t="str">
        <f t="shared" si="107"/>
        <v>0.425520387190286-1.19057617510629j</v>
      </c>
      <c r="G245" s="91">
        <f t="shared" si="108"/>
        <v>2.0372329845890373</v>
      </c>
      <c r="H245" s="91">
        <f t="shared" si="109"/>
        <v>-70.332749346150848</v>
      </c>
      <c r="J245" s="91">
        <f t="shared" si="110"/>
        <v>7.1641791044776131</v>
      </c>
      <c r="K245" s="91" t="str">
        <f t="shared" si="111"/>
        <v>1+65.0233178034298j</v>
      </c>
      <c r="L245" s="91">
        <f t="shared" si="112"/>
        <v>-690.42184270256394</v>
      </c>
      <c r="M245" s="91" t="str">
        <f t="shared" si="113"/>
        <v>11.7974548587155j</v>
      </c>
      <c r="N245" s="91" t="str">
        <f t="shared" si="114"/>
        <v>-690.421842702564+11.7974548587155j</v>
      </c>
      <c r="O245" s="91" t="str">
        <f t="shared" si="115"/>
        <v>0.000160831283226776-0.0941763663633648j</v>
      </c>
      <c r="P245" s="91" t="str">
        <f t="shared" si="116"/>
        <v>0.00115222411863959-0.674696356036046j</v>
      </c>
      <c r="R245" s="91">
        <f t="shared" si="117"/>
        <v>11.82089552238806</v>
      </c>
      <c r="S245" s="91" t="str">
        <f t="shared" si="118"/>
        <v>1+0.196445068892537j</v>
      </c>
      <c r="T245" s="91" t="str">
        <f t="shared" si="119"/>
        <v>-690.421842702564+11.7974548587155j</v>
      </c>
      <c r="U245" s="91" t="str">
        <f t="shared" si="120"/>
        <v>-0.00144310667552518-0.000309187863926431j</v>
      </c>
      <c r="V245" s="91" t="str">
        <f t="shared" si="121"/>
        <v>-0.0170588132390439-0.00365487743626468j</v>
      </c>
      <c r="X245" s="91" t="str">
        <f t="shared" si="122"/>
        <v>-0.150289589442894-0.0540041894942772j</v>
      </c>
      <c r="Y245" s="91">
        <f t="shared" si="123"/>
        <v>-15.934016930911776</v>
      </c>
      <c r="Z245" s="91">
        <f t="shared" si="124"/>
        <v>19.765098395698203</v>
      </c>
      <c r="AB245" s="91" t="str">
        <f t="shared" si="125"/>
        <v>-0.0159678823907249-0.00342114379452925j</v>
      </c>
      <c r="AC245" s="91">
        <f t="shared" si="126"/>
        <v>-35.740136364241948</v>
      </c>
      <c r="AD245" s="91">
        <f t="shared" si="127"/>
        <v>12.092886362781286</v>
      </c>
      <c r="AF245" s="91" t="str">
        <f t="shared" si="128"/>
        <v>-0.0184616807813761-0.00519959723564269j</v>
      </c>
      <c r="AG245" s="91">
        <f t="shared" si="129"/>
        <v>-34.343062549285193</v>
      </c>
      <c r="AH245" s="91">
        <f t="shared" si="130"/>
        <v>15.729485311341477</v>
      </c>
      <c r="AJ245" s="91" t="str">
        <f t="shared" si="131"/>
        <v>46867.9349032054-575.435918806947j</v>
      </c>
      <c r="AK245" s="91" t="str">
        <f t="shared" si="132"/>
        <v>15000-0.000589335206677612j</v>
      </c>
      <c r="AL245" s="91" t="str">
        <f t="shared" si="146"/>
        <v>10000-8484.13592696694j</v>
      </c>
      <c r="AM245" s="91" t="str">
        <f t="shared" si="147"/>
        <v>579.936110479223-3104.42393254709j</v>
      </c>
      <c r="AN245" s="91" t="str">
        <f t="shared" si="148"/>
        <v>10579.9361104792-3104.42393254709j</v>
      </c>
      <c r="AO245" s="91" t="str">
        <f t="shared" si="149"/>
        <v>6331.71585178613-1051.99759496019j</v>
      </c>
      <c r="AP245" s="91" t="str">
        <f t="shared" si="150"/>
        <v>0.242430953923815+0.00225485192732782j</v>
      </c>
      <c r="AQ245" s="91" t="str">
        <f t="shared" si="133"/>
        <v>1+358.315805659988j</v>
      </c>
      <c r="AR245" s="91">
        <f t="shared" si="134"/>
        <v>-9.3752497504215118E-5</v>
      </c>
      <c r="AS245" s="91" t="str">
        <f t="shared" si="135"/>
        <v>0.0199425271551016j</v>
      </c>
      <c r="AT245" s="91" t="str">
        <f t="shared" si="136"/>
        <v>-0.0000937524975042151+0.0199425271551016j</v>
      </c>
      <c r="AU245" s="91" t="str">
        <f t="shared" si="137"/>
        <v>5.39003682433527-0.0403825155988368j</v>
      </c>
      <c r="AW245" s="91" t="str">
        <f t="shared" si="151"/>
        <v>0.280056293122499-0.583929174617326j</v>
      </c>
      <c r="AX245" s="91">
        <f t="shared" si="138"/>
        <v>-3.7736659485196098</v>
      </c>
      <c r="AY245" s="91">
        <f t="shared" si="139"/>
        <v>115.62268419932039</v>
      </c>
      <c r="AZ245" s="91" t="str">
        <f t="shared" si="140"/>
        <v>-0.00646961162354908+0.0083659995354676j</v>
      </c>
      <c r="BA245" s="91">
        <f t="shared" si="141"/>
        <v>-39.513802312761584</v>
      </c>
      <c r="BB245" s="91">
        <f t="shared" si="142"/>
        <v>-52.284429437898325</v>
      </c>
      <c r="BD245" s="91" t="str">
        <f t="shared" si="143"/>
        <v>-0.00820650640659442+0.0093241340931734j</v>
      </c>
      <c r="BE245" s="91">
        <f t="shared" si="144"/>
        <v>-38.116728497804814</v>
      </c>
      <c r="BF245" s="91">
        <f t="shared" si="145"/>
        <v>-48.647830489338162</v>
      </c>
      <c r="BH245" s="91">
        <f t="shared" si="152"/>
        <v>39.116728497804814</v>
      </c>
      <c r="BI245" s="112">
        <f t="shared" si="153"/>
        <v>48.647830489338162</v>
      </c>
      <c r="BJ245" s="95"/>
      <c r="BK245" s="95"/>
      <c r="BL245" s="95"/>
      <c r="BM245" s="95"/>
      <c r="BN245" s="46"/>
      <c r="BO245" s="46"/>
      <c r="BP245" s="46"/>
    </row>
    <row r="246" spans="1:68" s="91" customFormat="1">
      <c r="A246" s="91">
        <v>182</v>
      </c>
      <c r="B246" s="91">
        <f t="shared" si="103"/>
        <v>436515.83224016632</v>
      </c>
      <c r="C246" s="91" t="str">
        <f t="shared" si="104"/>
        <v>2742709.86348268j</v>
      </c>
      <c r="D246" s="91">
        <f t="shared" si="105"/>
        <v>0.37009563042537297</v>
      </c>
      <c r="E246" s="91" t="str">
        <f t="shared" si="106"/>
        <v>-1.24668630158304j</v>
      </c>
      <c r="F246" s="91" t="str">
        <f t="shared" si="107"/>
        <v>0.370095630425373-1.24668630158304j</v>
      </c>
      <c r="G246" s="91">
        <f t="shared" si="108"/>
        <v>2.2819433059438818</v>
      </c>
      <c r="H246" s="91">
        <f t="shared" si="109"/>
        <v>-73.465768879753028</v>
      </c>
      <c r="J246" s="91">
        <f t="shared" si="110"/>
        <v>7.1641791044776131</v>
      </c>
      <c r="K246" s="91" t="str">
        <f t="shared" si="111"/>
        <v>1+68.0877723609575j</v>
      </c>
      <c r="L246" s="91">
        <f t="shared" si="112"/>
        <v>-757.12897486050065</v>
      </c>
      <c r="M246" s="91" t="str">
        <f t="shared" si="113"/>
        <v>12.3534517769028j</v>
      </c>
      <c r="N246" s="91" t="str">
        <f t="shared" si="114"/>
        <v>-757.128974860501+12.3534517769028j</v>
      </c>
      <c r="O246" s="91" t="str">
        <f t="shared" si="115"/>
        <v>0.000146478013255288-0.0899265054073898j</v>
      </c>
      <c r="P246" s="91" t="str">
        <f t="shared" si="116"/>
        <v>0.00104939472182893-0.644249590978315j</v>
      </c>
      <c r="R246" s="91">
        <f t="shared" si="117"/>
        <v>11.82089552238806</v>
      </c>
      <c r="S246" s="91" t="str">
        <f t="shared" si="118"/>
        <v>1+0.205703239761201j</v>
      </c>
      <c r="T246" s="91" t="str">
        <f t="shared" si="119"/>
        <v>-757.128974860501+12.3534517769028j</v>
      </c>
      <c r="U246" s="91" t="str">
        <f t="shared" si="120"/>
        <v>-0.00131599567399626-0.000293160526447191j</v>
      </c>
      <c r="V246" s="91" t="str">
        <f t="shared" si="121"/>
        <v>-0.0155562473702244-0.00346541995442053j</v>
      </c>
      <c r="X246" s="91" t="str">
        <f t="shared" si="122"/>
        <v>-0.150289898600646-0.0448820863684512j</v>
      </c>
      <c r="Y246" s="91">
        <f t="shared" si="123"/>
        <v>-16.090392014627234</v>
      </c>
      <c r="Z246" s="91">
        <f t="shared" si="124"/>
        <v>16.627558048615896</v>
      </c>
      <c r="AB246" s="91" t="str">
        <f t="shared" si="125"/>
        <v>-0.0145614073480934-0.00324380233790282j</v>
      </c>
      <c r="AC246" s="91">
        <f t="shared" si="126"/>
        <v>-36.525590584431868</v>
      </c>
      <c r="AD246" s="91">
        <f t="shared" si="127"/>
        <v>12.558553774095259</v>
      </c>
      <c r="AF246" s="91" t="str">
        <f t="shared" si="128"/>
        <v>-0.0168881499066118-0.00470958004856521j</v>
      </c>
      <c r="AG246" s="91">
        <f t="shared" si="129"/>
        <v>-35.123106161476258</v>
      </c>
      <c r="AH246" s="91">
        <f t="shared" si="130"/>
        <v>15.582133897338537</v>
      </c>
      <c r="AJ246" s="91" t="str">
        <f t="shared" si="131"/>
        <v>46867.2533880576-602.546616289538j</v>
      </c>
      <c r="AK246" s="91" t="str">
        <f t="shared" si="132"/>
        <v>15000-0.000617109719283602j</v>
      </c>
      <c r="AL246" s="91" t="str">
        <f t="shared" si="146"/>
        <v>10000-8102.2869090515j</v>
      </c>
      <c r="AM246" s="91" t="str">
        <f t="shared" si="147"/>
        <v>558.497801259798-2989.8882426104j</v>
      </c>
      <c r="AN246" s="91" t="str">
        <f t="shared" si="148"/>
        <v>10558.4978012598-2989.8882426104j</v>
      </c>
      <c r="AO246" s="91" t="str">
        <f t="shared" si="149"/>
        <v>6315.51138857174-1015.93032629256j</v>
      </c>
      <c r="AP246" s="91" t="str">
        <f t="shared" si="150"/>
        <v>0.242431601430897+0.00236111780661684j</v>
      </c>
      <c r="AQ246" s="91" t="str">
        <f t="shared" si="133"/>
        <v>1+375.202709324431j</v>
      </c>
      <c r="AR246" s="91">
        <f t="shared" si="134"/>
        <v>-1.0280721716695406E-4</v>
      </c>
      <c r="AS246" s="91" t="str">
        <f t="shared" si="135"/>
        <v>0.0208823895043872j</v>
      </c>
      <c r="AT246" s="91" t="str">
        <f t="shared" si="136"/>
        <v>-0.000102807217166954+0.0208823895043872j</v>
      </c>
      <c r="AU246" s="91" t="str">
        <f t="shared" si="137"/>
        <v>5.39002530064911-0.0409020960671079j</v>
      </c>
      <c r="AW246" s="91" t="str">
        <f t="shared" si="151"/>
        <v>0.257420117493134-0.569673071970919j</v>
      </c>
      <c r="AX246" s="91">
        <f t="shared" si="138"/>
        <v>-4.0805375106028086</v>
      </c>
      <c r="AY246" s="91">
        <f t="shared" si="139"/>
        <v>114.31694580867625</v>
      </c>
      <c r="AZ246" s="91" t="str">
        <f t="shared" si="140"/>
        <v>-0.00559630603311112+0.00746022167726081j</v>
      </c>
      <c r="BA246" s="91">
        <f t="shared" si="141"/>
        <v>-40.606128095034705</v>
      </c>
      <c r="BB246" s="91">
        <f t="shared" si="142"/>
        <v>-53.124500417228489</v>
      </c>
      <c r="BD246" s="91" t="str">
        <f t="shared" si="143"/>
        <v>-0.00703027046716073+0.0084083835877599j</v>
      </c>
      <c r="BE246" s="91">
        <f t="shared" si="144"/>
        <v>-39.203643672079117</v>
      </c>
      <c r="BF246" s="91">
        <f t="shared" si="145"/>
        <v>-50.100920293985155</v>
      </c>
      <c r="BH246" s="91">
        <f t="shared" si="152"/>
        <v>40.203643672079117</v>
      </c>
      <c r="BI246" s="112">
        <f t="shared" si="153"/>
        <v>50.100920293985155</v>
      </c>
      <c r="BJ246" s="95"/>
      <c r="BK246" s="95"/>
      <c r="BL246" s="95"/>
      <c r="BM246" s="95"/>
      <c r="BN246" s="46"/>
      <c r="BO246" s="46"/>
      <c r="BP246" s="46"/>
    </row>
    <row r="247" spans="1:68" s="91" customFormat="1">
      <c r="A247" s="91">
        <v>183</v>
      </c>
      <c r="B247" s="91">
        <f t="shared" si="103"/>
        <v>457088.1896148753</v>
      </c>
      <c r="C247" s="91" t="str">
        <f t="shared" si="104"/>
        <v>2871969.7970735j</v>
      </c>
      <c r="D247" s="91">
        <f t="shared" si="105"/>
        <v>0.30932359310610247</v>
      </c>
      <c r="E247" s="91" t="str">
        <f t="shared" si="106"/>
        <v>-1.30544081685159j</v>
      </c>
      <c r="F247" s="91" t="str">
        <f t="shared" si="107"/>
        <v>0.309323593106102-1.30544081685159j</v>
      </c>
      <c r="G247" s="91">
        <f t="shared" si="108"/>
        <v>2.5523795597806895</v>
      </c>
      <c r="H247" s="91">
        <f t="shared" si="109"/>
        <v>-76.669640602591215</v>
      </c>
      <c r="J247" s="91">
        <f t="shared" si="110"/>
        <v>7.1641791044776131</v>
      </c>
      <c r="K247" s="91" t="str">
        <f t="shared" si="111"/>
        <v>1+71.2966502123496j</v>
      </c>
      <c r="L247" s="91">
        <f t="shared" si="112"/>
        <v>-830.27189079892423</v>
      </c>
      <c r="M247" s="91" t="str">
        <f t="shared" si="113"/>
        <v>12.935652022565j</v>
      </c>
      <c r="N247" s="91" t="str">
        <f t="shared" si="114"/>
        <v>-830.271890798924+12.935652022565j</v>
      </c>
      <c r="O247" s="91" t="str">
        <f t="shared" si="115"/>
        <v>0.000133421705439109-0.0858693701493287j</v>
      </c>
      <c r="P247" s="91" t="str">
        <f t="shared" si="116"/>
        <v>0.000955856994190632-0.615183547338474j</v>
      </c>
      <c r="R247" s="91">
        <f t="shared" si="117"/>
        <v>11.82089552238806</v>
      </c>
      <c r="S247" s="91" t="str">
        <f t="shared" si="118"/>
        <v>1+0.215397734780512j</v>
      </c>
      <c r="T247" s="91" t="str">
        <f t="shared" si="119"/>
        <v>-830.271890798924+12.935652022565j</v>
      </c>
      <c r="U247" s="91" t="str">
        <f t="shared" si="120"/>
        <v>-0.00120009149593545-0.000278127807681131j</v>
      </c>
      <c r="V247" s="91" t="str">
        <f t="shared" si="121"/>
        <v>-0.0141861561907593-0.00328771975646949j</v>
      </c>
      <c r="X247" s="91" t="str">
        <f t="shared" si="122"/>
        <v>-0.150290138221522-0.0358578969768882j</v>
      </c>
      <c r="Y247" s="91">
        <f t="shared" si="123"/>
        <v>-16.220945587796788</v>
      </c>
      <c r="Z247" s="91">
        <f t="shared" si="124"/>
        <v>13.419384092151347</v>
      </c>
      <c r="AB247" s="91" t="str">
        <f t="shared" si="125"/>
        <v>-0.0132789350851228-0.00307746627325816j</v>
      </c>
      <c r="AC247" s="91">
        <f t="shared" si="126"/>
        <v>-37.309521500613563</v>
      </c>
      <c r="AD247" s="91">
        <f t="shared" si="127"/>
        <v>13.048257185170939</v>
      </c>
      <c r="AF247" s="91" t="str">
        <f t="shared" si="128"/>
        <v>-0.0154472616483205-0.00427366181489063j</v>
      </c>
      <c r="AG247" s="91">
        <f t="shared" si="129"/>
        <v>-35.902661947225823</v>
      </c>
      <c r="AH247" s="91">
        <f t="shared" si="130"/>
        <v>15.464714803255816</v>
      </c>
      <c r="AJ247" s="91" t="str">
        <f t="shared" si="131"/>
        <v>46866.506144338-630.933703785459j</v>
      </c>
      <c r="AK247" s="91" t="str">
        <f t="shared" si="132"/>
        <v>15000-0.000646193204341536j</v>
      </c>
      <c r="AL247" s="91" t="str">
        <f t="shared" si="146"/>
        <v>9999.99999999992-7737.62392796272j</v>
      </c>
      <c r="AM247" s="91" t="str">
        <f t="shared" si="147"/>
        <v>536.741957802302-2879.73019228749j</v>
      </c>
      <c r="AN247" s="91" t="str">
        <f t="shared" si="148"/>
        <v>10536.7419578023-2879.73019228749j</v>
      </c>
      <c r="AO247" s="91" t="str">
        <f t="shared" si="149"/>
        <v>6299.80307549649-981.104893553807j</v>
      </c>
      <c r="AP247" s="91" t="str">
        <f t="shared" si="150"/>
        <v>0.242432311407022+0.0024723915435171j</v>
      </c>
      <c r="AQ247" s="91" t="str">
        <f t="shared" si="133"/>
        <v>1+392.885468239655j</v>
      </c>
      <c r="AR247" s="91">
        <f t="shared" si="134"/>
        <v>-1.1273551984933683E-4</v>
      </c>
      <c r="AS247" s="91" t="str">
        <f t="shared" si="135"/>
        <v>0.0218665462015623j</v>
      </c>
      <c r="AT247" s="91" t="str">
        <f t="shared" si="136"/>
        <v>-0.000112735519849337+0.0218665462015623j</v>
      </c>
      <c r="AU247" s="91" t="str">
        <f t="shared" si="137"/>
        <v>5.39001266645721-0.0415084244023284j</v>
      </c>
      <c r="AW247" s="91" t="str">
        <f t="shared" si="151"/>
        <v>0.235884919017543-0.554910084228175j</v>
      </c>
      <c r="AX247" s="91">
        <f t="shared" si="138"/>
        <v>-4.3941566692227871</v>
      </c>
      <c r="AY247" s="91">
        <f t="shared" si="139"/>
        <v>113.02970140080284</v>
      </c>
      <c r="AZ247" s="91" t="str">
        <f t="shared" si="140"/>
        <v>-0.00484001759609646+0.00664268710389926j</v>
      </c>
      <c r="BA247" s="91">
        <f t="shared" si="141"/>
        <v>-41.703678169836323</v>
      </c>
      <c r="BB247" s="91">
        <f t="shared" si="142"/>
        <v>-53.922041414026296</v>
      </c>
      <c r="BD247" s="91" t="str">
        <f t="shared" si="143"/>
        <v>-0.00601527410062058+0.00756374889125037j</v>
      </c>
      <c r="BE247" s="91">
        <f t="shared" si="144"/>
        <v>-40.29681861644859</v>
      </c>
      <c r="BF247" s="91">
        <f t="shared" si="145"/>
        <v>-51.505583795941419</v>
      </c>
      <c r="BH247" s="91">
        <f t="shared" si="152"/>
        <v>41.29681861644859</v>
      </c>
      <c r="BI247" s="112">
        <f t="shared" si="153"/>
        <v>51.505583795941419</v>
      </c>
      <c r="BJ247" s="95"/>
      <c r="BK247" s="95"/>
      <c r="BL247" s="95"/>
      <c r="BM247" s="95"/>
      <c r="BN247" s="46"/>
      <c r="BO247" s="46"/>
      <c r="BP247" s="46"/>
    </row>
    <row r="248" spans="1:68" s="91" customFormat="1">
      <c r="A248" s="91">
        <v>184</v>
      </c>
      <c r="B248" s="91">
        <f t="shared" si="103"/>
        <v>478630.09232263849</v>
      </c>
      <c r="C248" s="91" t="str">
        <f t="shared" si="104"/>
        <v>3007321.56365561j</v>
      </c>
      <c r="D248" s="91">
        <f t="shared" si="105"/>
        <v>0.24268837925032327</v>
      </c>
      <c r="E248" s="91" t="str">
        <f t="shared" si="106"/>
        <v>-1.36696434711619j</v>
      </c>
      <c r="F248" s="91" t="str">
        <f t="shared" si="107"/>
        <v>0.242688379250323-1.36696434711619j</v>
      </c>
      <c r="G248" s="91">
        <f t="shared" si="108"/>
        <v>2.8499194784224589</v>
      </c>
      <c r="H248" s="91">
        <f t="shared" si="109"/>
        <v>-79.932709236490581</v>
      </c>
      <c r="J248" s="91">
        <f t="shared" si="110"/>
        <v>7.1641791044776131</v>
      </c>
      <c r="K248" s="91" t="str">
        <f t="shared" si="111"/>
        <v>1+74.6567578177505j</v>
      </c>
      <c r="L248" s="91">
        <f t="shared" si="112"/>
        <v>-910.47150332773833</v>
      </c>
      <c r="M248" s="91" t="str">
        <f t="shared" si="113"/>
        <v>13.5452905204802j</v>
      </c>
      <c r="N248" s="91" t="str">
        <f t="shared" si="114"/>
        <v>-910.471503327738+13.5452905204802j</v>
      </c>
      <c r="O248" s="91" t="str">
        <f t="shared" si="115"/>
        <v>0.000121542499229264-0.0819960989623797j</v>
      </c>
      <c r="P248" s="91" t="str">
        <f t="shared" si="116"/>
        <v>0.00087075223328428-0.587434738834959j</v>
      </c>
      <c r="R248" s="91">
        <f t="shared" si="117"/>
        <v>11.82089552238806</v>
      </c>
      <c r="S248" s="91" t="str">
        <f t="shared" si="118"/>
        <v>1+0.225549117274171j</v>
      </c>
      <c r="T248" s="91" t="str">
        <f t="shared" si="119"/>
        <v>-910.471503327738+13.5452905204802j</v>
      </c>
      <c r="U248" s="91" t="str">
        <f t="shared" si="120"/>
        <v>-0.00109440428476758-0.000264009516365588j</v>
      </c>
      <c r="V248" s="91" t="str">
        <f t="shared" si="121"/>
        <v>-0.0129368387094914-0.00312082890987382j</v>
      </c>
      <c r="X248" s="91" t="str">
        <f t="shared" si="122"/>
        <v>-0.150290321568296-0.0269121290936659j</v>
      </c>
      <c r="Y248" s="91">
        <f t="shared" si="123"/>
        <v>-16.32430834041633</v>
      </c>
      <c r="Z248" s="91">
        <f t="shared" si="124"/>
        <v>10.152220012889501</v>
      </c>
      <c r="AB248" s="91" t="str">
        <f t="shared" si="125"/>
        <v>-0.0121095129025818-0.00292124828944034j</v>
      </c>
      <c r="AC248" s="91">
        <f t="shared" si="126"/>
        <v>-38.091810606267387</v>
      </c>
      <c r="AD248" s="91">
        <f t="shared" si="127"/>
        <v>13.562665443385185</v>
      </c>
      <c r="AF248" s="91" t="str">
        <f t="shared" si="128"/>
        <v>-0.0141282941019216-0.00388541033247733j</v>
      </c>
      <c r="AG248" s="91">
        <f t="shared" si="129"/>
        <v>-36.681576238833962</v>
      </c>
      <c r="AH248" s="91">
        <f t="shared" si="130"/>
        <v>15.376739325419521</v>
      </c>
      <c r="AJ248" s="91" t="str">
        <f t="shared" si="131"/>
        <v>46865.6868352788-660.657143509055j</v>
      </c>
      <c r="AK248" s="91" t="str">
        <f t="shared" si="132"/>
        <v>15000-0.000676647351822512j</v>
      </c>
      <c r="AL248" s="91" t="str">
        <f t="shared" si="146"/>
        <v>10000-7389.37348462651j</v>
      </c>
      <c r="AM248" s="91" t="str">
        <f t="shared" si="147"/>
        <v>514.755490943386-2773.67858458469j</v>
      </c>
      <c r="AN248" s="91" t="str">
        <f t="shared" si="148"/>
        <v>10514.7554909434-2773.67858458469j</v>
      </c>
      <c r="AO248" s="91" t="str">
        <f t="shared" si="149"/>
        <v>6284.5688227319-947.444222333837j</v>
      </c>
      <c r="AP248" s="91" t="str">
        <f t="shared" si="150"/>
        <v>0.242433089878834+0.00258890910679177j</v>
      </c>
      <c r="AQ248" s="91" t="str">
        <f t="shared" si="133"/>
        <v>1+411.401589908087j</v>
      </c>
      <c r="AR248" s="91">
        <f t="shared" si="134"/>
        <v>-1.2362168726527933E-4</v>
      </c>
      <c r="AS248" s="91" t="str">
        <f t="shared" si="135"/>
        <v>0.0228970847749298j</v>
      </c>
      <c r="AT248" s="91" t="str">
        <f t="shared" si="136"/>
        <v>-0.000123621687265279+0.0228970847749298j</v>
      </c>
      <c r="AU248" s="91" t="str">
        <f t="shared" si="137"/>
        <v>5.38999881452397-0.042202785084123j</v>
      </c>
      <c r="AW248" s="91" t="str">
        <f t="shared" si="151"/>
        <v>0.21545782308224-0.539735602178587j</v>
      </c>
      <c r="AX248" s="91">
        <f t="shared" si="138"/>
        <v>-4.7142188097398368</v>
      </c>
      <c r="AY248" s="91">
        <f t="shared" si="139"/>
        <v>111.76146038095139</v>
      </c>
      <c r="AZ248" s="91" t="str">
        <f t="shared" si="140"/>
        <v>-0.00418579099319082+0.00590652944143882j</v>
      </c>
      <c r="BA248" s="91">
        <f t="shared" si="141"/>
        <v>-42.806029416007227</v>
      </c>
      <c r="BB248" s="91">
        <f t="shared" si="142"/>
        <v>-54.675874175663438</v>
      </c>
      <c r="BD248" s="91" t="str">
        <f t="shared" si="143"/>
        <v>-0.00514114577657622+0.00678840127284j</v>
      </c>
      <c r="BE248" s="91">
        <f t="shared" si="144"/>
        <v>-41.395795048573831</v>
      </c>
      <c r="BF248" s="91">
        <f t="shared" si="145"/>
        <v>-52.861800293629074</v>
      </c>
      <c r="BH248" s="91">
        <f t="shared" si="152"/>
        <v>42.395795048573831</v>
      </c>
      <c r="BI248" s="112">
        <f t="shared" si="153"/>
        <v>52.861800293629074</v>
      </c>
      <c r="BJ248" s="95"/>
      <c r="BK248" s="95"/>
      <c r="BL248" s="95"/>
      <c r="BM248" s="95"/>
      <c r="BN248" s="46"/>
      <c r="BO248" s="46"/>
      <c r="BP248" s="46"/>
    </row>
    <row r="249" spans="1:68" s="91" customFormat="1">
      <c r="A249" s="91">
        <v>185</v>
      </c>
      <c r="B249" s="91">
        <f t="shared" si="103"/>
        <v>501187.23362727324</v>
      </c>
      <c r="C249" s="91" t="str">
        <f t="shared" si="104"/>
        <v>3149052.26247287j</v>
      </c>
      <c r="D249" s="91">
        <f t="shared" si="105"/>
        <v>0.16962432016211704</v>
      </c>
      <c r="E249" s="91" t="str">
        <f t="shared" si="106"/>
        <v>-1.43138739203312j</v>
      </c>
      <c r="F249" s="91" t="str">
        <f t="shared" si="107"/>
        <v>0.169624320162117-1.43138739203312j</v>
      </c>
      <c r="G249" s="91">
        <f t="shared" si="108"/>
        <v>3.1757077377641236</v>
      </c>
      <c r="H249" s="91">
        <f t="shared" si="109"/>
        <v>-83.241771228232054</v>
      </c>
      <c r="J249" s="91">
        <f t="shared" si="110"/>
        <v>7.1641791044776131</v>
      </c>
      <c r="K249" s="91" t="str">
        <f t="shared" si="111"/>
        <v>1+78.175222415889j</v>
      </c>
      <c r="L249" s="91">
        <f t="shared" si="112"/>
        <v>-998.40862980472241</v>
      </c>
      <c r="M249" s="91" t="str">
        <f t="shared" si="113"/>
        <v>14.1836603956381j</v>
      </c>
      <c r="N249" s="91" t="str">
        <f t="shared" si="114"/>
        <v>-998.408629804722+14.1836603956381j</v>
      </c>
      <c r="O249" s="91" t="str">
        <f t="shared" si="115"/>
        <v>0.000110732050585646-0.0782982533367911j</v>
      </c>
      <c r="P249" s="91" t="str">
        <f t="shared" si="116"/>
        <v>0.000793304243001643-0.560942710472533j</v>
      </c>
      <c r="R249" s="91">
        <f t="shared" si="117"/>
        <v>11.82089552238806</v>
      </c>
      <c r="S249" s="91" t="str">
        <f t="shared" si="118"/>
        <v>1+0.236178919685465j</v>
      </c>
      <c r="T249" s="91" t="str">
        <f t="shared" si="119"/>
        <v>-998.408629804722+14.1836603956381j</v>
      </c>
      <c r="U249" s="91" t="str">
        <f t="shared" si="120"/>
        <v>-0.000998031916942699-0.000250733675557623j</v>
      </c>
      <c r="V249" s="91" t="str">
        <f t="shared" si="121"/>
        <v>-0.0117976310181883-0.00296389658271101j</v>
      </c>
      <c r="X249" s="91" t="str">
        <f t="shared" si="122"/>
        <v>-0.150290459529482-0.0180255022254305j</v>
      </c>
      <c r="Y249" s="91">
        <f t="shared" si="123"/>
        <v>-16.399343275735497</v>
      </c>
      <c r="Z249" s="91">
        <f t="shared" si="124"/>
        <v>6.8392583561486333</v>
      </c>
      <c r="AB249" s="91" t="str">
        <f t="shared" si="125"/>
        <v>-0.0110431588615104-0.00277435196621294j</v>
      </c>
      <c r="AC249" s="91">
        <f t="shared" si="126"/>
        <v>-38.872328838328428</v>
      </c>
      <c r="AD249" s="91">
        <f t="shared" si="127"/>
        <v>14.102450858903779</v>
      </c>
      <c r="AF249" s="91" t="str">
        <f t="shared" si="128"/>
        <v>-0.012921313756178-0.00353916837795556j</v>
      </c>
      <c r="AG249" s="91">
        <f t="shared" si="129"/>
        <v>-37.459692709547625</v>
      </c>
      <c r="AH249" s="91">
        <f t="shared" si="130"/>
        <v>15.317725336119622</v>
      </c>
      <c r="AJ249" s="91" t="str">
        <f t="shared" si="131"/>
        <v>46864.7885136836-691.779695153101j</v>
      </c>
      <c r="AK249" s="91" t="str">
        <f t="shared" si="132"/>
        <v>15000-0.000708536759056395j</v>
      </c>
      <c r="AL249" s="91" t="str">
        <f t="shared" si="146"/>
        <v>10000-7056.79689316166j</v>
      </c>
      <c r="AM249" s="91" t="str">
        <f t="shared" si="147"/>
        <v>492.629130209991-2671.48296316846j</v>
      </c>
      <c r="AN249" s="91" t="str">
        <f t="shared" si="148"/>
        <v>10492.62913021-2671.48296316846j</v>
      </c>
      <c r="AO249" s="91" t="str">
        <f t="shared" si="149"/>
        <v>6269.7931741988-914.876283374826j</v>
      </c>
      <c r="AP249" s="91" t="str">
        <f t="shared" si="150"/>
        <v>0.242433943454363+0.00271091757950695j</v>
      </c>
      <c r="AQ249" s="91" t="str">
        <f t="shared" si="133"/>
        <v>1+430.790349506289j</v>
      </c>
      <c r="AR249" s="91">
        <f t="shared" si="134"/>
        <v>-1.3555813247642564E-4</v>
      </c>
      <c r="AS249" s="91" t="str">
        <f t="shared" si="135"/>
        <v>0.0239761911349707j</v>
      </c>
      <c r="AT249" s="91" t="str">
        <f t="shared" si="136"/>
        <v>-0.000135558132476426+0.0239761911349707j</v>
      </c>
      <c r="AU249" s="91" t="str">
        <f t="shared" si="137"/>
        <v>5.38998362727951-0.0429866490799386j</v>
      </c>
      <c r="AW249" s="91" t="str">
        <f t="shared" si="151"/>
        <v>0.196136418387744-0.524241098207735j</v>
      </c>
      <c r="AX249" s="91">
        <f t="shared" si="138"/>
        <v>-5.040420674654448</v>
      </c>
      <c r="AY249" s="91">
        <f t="shared" si="139"/>
        <v>110.5125319374614</v>
      </c>
      <c r="AZ249" s="91" t="str">
        <f t="shared" si="140"/>
        <v>-0.00362039494836578+0.00524512627124068j</v>
      </c>
      <c r="BA249" s="91">
        <f t="shared" si="141"/>
        <v>-43.912749512982899</v>
      </c>
      <c r="BB249" s="91">
        <f t="shared" si="142"/>
        <v>-55.385017203634817</v>
      </c>
      <c r="BD249" s="91" t="str">
        <f t="shared" si="143"/>
        <v>-0.00438971771820254+0.00607972390410209j</v>
      </c>
      <c r="BE249" s="91">
        <f t="shared" si="144"/>
        <v>-42.500113384202088</v>
      </c>
      <c r="BF249" s="91">
        <f t="shared" si="145"/>
        <v>-54.169742726418988</v>
      </c>
      <c r="BH249" s="91">
        <f t="shared" si="152"/>
        <v>43.500113384202088</v>
      </c>
      <c r="BI249" s="112">
        <f t="shared" si="153"/>
        <v>54.169742726418988</v>
      </c>
      <c r="BJ249" s="95"/>
      <c r="BK249" s="95"/>
      <c r="BL249" s="95"/>
      <c r="BM249" s="95"/>
      <c r="BN249" s="46"/>
      <c r="BO249" s="46"/>
      <c r="BP249" s="46"/>
    </row>
    <row r="250" spans="1:68" s="91" customFormat="1">
      <c r="A250" s="91">
        <v>186</v>
      </c>
      <c r="B250" s="91">
        <f t="shared" si="103"/>
        <v>524807.46024977358</v>
      </c>
      <c r="C250" s="91" t="str">
        <f t="shared" si="104"/>
        <v>3297462.52333961j</v>
      </c>
      <c r="D250" s="91">
        <f t="shared" si="105"/>
        <v>8.9511172450193022E-2</v>
      </c>
      <c r="E250" s="91" t="str">
        <f t="shared" si="106"/>
        <v>-1.498846601518j</v>
      </c>
      <c r="F250" s="91" t="str">
        <f t="shared" si="107"/>
        <v>0.089511172450193-1.498846601518j</v>
      </c>
      <c r="G250" s="91">
        <f t="shared" si="108"/>
        <v>3.5306052328966766</v>
      </c>
      <c r="H250" s="91">
        <f t="shared" si="109"/>
        <v>-86.582353141683328</v>
      </c>
      <c r="J250" s="91">
        <f t="shared" si="110"/>
        <v>7.1641791044776131</v>
      </c>
      <c r="K250" s="91" t="str">
        <f t="shared" si="111"/>
        <v>1+81.8595071419058j</v>
      </c>
      <c r="L250" s="91">
        <f t="shared" si="112"/>
        <v>-1094.8297716182071</v>
      </c>
      <c r="M250" s="91" t="str">
        <f t="shared" si="113"/>
        <v>14.8521157161315j</v>
      </c>
      <c r="N250" s="91" t="str">
        <f t="shared" si="114"/>
        <v>-1094.82977161821+14.8521157161315j</v>
      </c>
      <c r="O250" s="91" t="str">
        <f t="shared" si="115"/>
        <v>0.000100892354459912-0.0747677956875364j</v>
      </c>
      <c r="P250" s="91" t="str">
        <f t="shared" si="116"/>
        <v>0.00072281089762325-0.5356498795525j</v>
      </c>
      <c r="R250" s="91">
        <f t="shared" si="117"/>
        <v>11.82089552238806</v>
      </c>
      <c r="S250" s="91" t="str">
        <f t="shared" si="118"/>
        <v>1+0.247309689250471j</v>
      </c>
      <c r="T250" s="91" t="str">
        <f t="shared" si="119"/>
        <v>-1094.82977161821+14.8521157161315j</v>
      </c>
      <c r="U250" s="91" t="str">
        <f t="shared" si="120"/>
        <v>-0.000910152175114335-0.000238235551714165j</v>
      </c>
      <c r="V250" s="91" t="str">
        <f t="shared" si="121"/>
        <v>-0.0107588137715008-0.00281615756653162j</v>
      </c>
      <c r="X250" s="91" t="str">
        <f t="shared" si="122"/>
        <v>-0.150290561032656-0.00917890082999146j</v>
      </c>
      <c r="Y250" s="91">
        <f t="shared" si="123"/>
        <v>-16.445196500378319</v>
      </c>
      <c r="Z250" s="91">
        <f t="shared" si="124"/>
        <v>3.4949622657568966</v>
      </c>
      <c r="AB250" s="91" t="str">
        <f t="shared" si="125"/>
        <v>-0.0100707751799424-0.0026360610310924j</v>
      </c>
      <c r="AC250" s="91">
        <f t="shared" si="126"/>
        <v>-39.650936097340988</v>
      </c>
      <c r="AD250" s="91">
        <f t="shared" si="127"/>
        <v>14.668284513512646</v>
      </c>
      <c r="AF250" s="91" t="str">
        <f t="shared" si="128"/>
        <v>-0.0118171309125733-0.00322996212348703j</v>
      </c>
      <c r="AG250" s="91">
        <f t="shared" si="129"/>
        <v>-38.236851706471683</v>
      </c>
      <c r="AH250" s="91">
        <f t="shared" si="130"/>
        <v>15.287192341160818</v>
      </c>
      <c r="AJ250" s="91" t="str">
        <f t="shared" si="131"/>
        <v>46863.8035632227-724.367043519731j</v>
      </c>
      <c r="AK250" s="91" t="str">
        <f t="shared" si="132"/>
        <v>15000-0.000741929067751411j</v>
      </c>
      <c r="AL250" s="91" t="str">
        <f t="shared" si="146"/>
        <v>10000-6739.18871402852j</v>
      </c>
      <c r="AM250" s="91" t="str">
        <f t="shared" si="147"/>
        <v>470.455951001801-2572.91366317418j</v>
      </c>
      <c r="AN250" s="91" t="str">
        <f t="shared" si="148"/>
        <v>10470.4559510018-2572.91366317418j</v>
      </c>
      <c r="AO250" s="91" t="str">
        <f t="shared" si="149"/>
        <v>6255.46640331916-883.334524497356j</v>
      </c>
      <c r="AP250" s="91" t="str">
        <f t="shared" si="150"/>
        <v>0.242434879379108+0.00283867568186063j</v>
      </c>
      <c r="AQ250" s="91" t="str">
        <f t="shared" si="133"/>
        <v>1+451.092873192859j</v>
      </c>
      <c r="AR250" s="91">
        <f t="shared" si="134"/>
        <v>-1.4864618438990346E-4</v>
      </c>
      <c r="AS250" s="91" t="str">
        <f t="shared" si="135"/>
        <v>0.0251061542109527j</v>
      </c>
      <c r="AT250" s="91" t="str">
        <f t="shared" si="136"/>
        <v>-0.000148646184389903+0.0251061542109527j</v>
      </c>
      <c r="AU250" s="91" t="str">
        <f t="shared" si="137"/>
        <v>5.38996697582247-0.0438616769295231j</v>
      </c>
      <c r="AW250" s="91" t="str">
        <f t="shared" si="151"/>
        <v>0.177909770656101-0.508513241114271j</v>
      </c>
      <c r="AX250" s="91">
        <f t="shared" si="138"/>
        <v>-5.3724632150943687</v>
      </c>
      <c r="AY250" s="91">
        <f t="shared" si="139"/>
        <v>109.28303320992836</v>
      </c>
      <c r="AZ250" s="91" t="str">
        <f t="shared" si="140"/>
        <v>-0.00313216124128853+0.00465214151380852j</v>
      </c>
      <c r="BA250" s="91">
        <f t="shared" si="141"/>
        <v>-45.023399312435373</v>
      </c>
      <c r="BB250" s="91">
        <f t="shared" si="142"/>
        <v>-56.048682276558949</v>
      </c>
      <c r="BD250" s="91" t="str">
        <f t="shared" si="143"/>
        <v>-0.00374486155855975+0.00543452572040679j</v>
      </c>
      <c r="BE250" s="91">
        <f t="shared" si="144"/>
        <v>-43.609314921566096</v>
      </c>
      <c r="BF250" s="91">
        <f t="shared" si="145"/>
        <v>-55.429774448910749</v>
      </c>
      <c r="BH250" s="91">
        <f t="shared" si="152"/>
        <v>44.609314921566096</v>
      </c>
      <c r="BI250" s="112">
        <f t="shared" si="153"/>
        <v>55.429774448910749</v>
      </c>
      <c r="BJ250" s="95"/>
      <c r="BK250" s="95"/>
      <c r="BL250" s="95"/>
      <c r="BM250" s="95"/>
      <c r="BN250" s="46"/>
      <c r="BO250" s="46"/>
      <c r="BP250" s="46"/>
    </row>
    <row r="251" spans="1:68" s="91" customFormat="1">
      <c r="A251" s="91">
        <v>187</v>
      </c>
      <c r="B251" s="91">
        <f t="shared" si="103"/>
        <v>549540.87385762541</v>
      </c>
      <c r="C251" s="91" t="str">
        <f t="shared" si="104"/>
        <v>3452867.14431686j</v>
      </c>
      <c r="D251" s="91">
        <f t="shared" si="105"/>
        <v>1.6688527596595559E-3</v>
      </c>
      <c r="E251" s="91" t="str">
        <f t="shared" si="106"/>
        <v>-1.56948506559857j</v>
      </c>
      <c r="F251" s="91" t="str">
        <f t="shared" si="107"/>
        <v>0.00166885275965956-1.56948506559857j</v>
      </c>
      <c r="G251" s="91">
        <f t="shared" si="108"/>
        <v>3.9151486609922372</v>
      </c>
      <c r="H251" s="91">
        <f t="shared" si="109"/>
        <v>-89.939076716423273</v>
      </c>
      <c r="J251" s="91">
        <f t="shared" si="110"/>
        <v>7.1641791044776131</v>
      </c>
      <c r="K251" s="91" t="str">
        <f t="shared" si="111"/>
        <v>1+85.717426857666j</v>
      </c>
      <c r="L251" s="91">
        <f t="shared" si="112"/>
        <v>-1200.5534512639358</v>
      </c>
      <c r="M251" s="91" t="str">
        <f t="shared" si="113"/>
        <v>15.5520743653167j</v>
      </c>
      <c r="N251" s="91" t="str">
        <f t="shared" si="114"/>
        <v>-1200.55345126394+15.5520743653167j</v>
      </c>
      <c r="O251" s="91" t="str">
        <f t="shared" si="115"/>
        <v>0.0000919346987484936-0.0713970685704603j</v>
      </c>
      <c r="P251" s="91" t="str">
        <f t="shared" si="116"/>
        <v>0.000658636647750402-0.511501386773447j</v>
      </c>
      <c r="R251" s="91">
        <f t="shared" si="117"/>
        <v>11.82089552238806</v>
      </c>
      <c r="S251" s="91" t="str">
        <f t="shared" si="118"/>
        <v>1+0.258965035823765j</v>
      </c>
      <c r="T251" s="91" t="str">
        <f t="shared" si="119"/>
        <v>-1200.55345126394+15.5520743653167j</v>
      </c>
      <c r="U251" s="91" t="str">
        <f t="shared" si="120"/>
        <v>-0.000830015628088707-0.000226456806491996j</v>
      </c>
      <c r="V251" s="91" t="str">
        <f t="shared" si="121"/>
        <v>-0.00981152802158591-0.00267692224987553j</v>
      </c>
      <c r="X251" s="91" t="str">
        <f t="shared" si="122"/>
        <v>-0.150290633386687-0.000353328649908139j</v>
      </c>
      <c r="Y251" s="91">
        <f t="shared" si="123"/>
        <v>-16.461337701359394</v>
      </c>
      <c r="Z251" s="91">
        <f t="shared" si="124"/>
        <v>0.13470036467151658</v>
      </c>
      <c r="AB251" s="91" t="str">
        <f t="shared" si="125"/>
        <v>-0.00918406945000155-0.00250572997406957j</v>
      </c>
      <c r="AC251" s="91">
        <f t="shared" si="126"/>
        <v>-40.427480778244089</v>
      </c>
      <c r="AD251" s="91">
        <f t="shared" si="127"/>
        <v>15.260830950766433</v>
      </c>
      <c r="AF251" s="91" t="str">
        <f t="shared" si="128"/>
        <v>-0.0108072551427363-0.00295341982275737j</v>
      </c>
      <c r="AG251" s="91">
        <f t="shared" si="129"/>
        <v>-39.012889642056564</v>
      </c>
      <c r="AH251" s="91">
        <f t="shared" si="130"/>
        <v>15.284655849078121</v>
      </c>
      <c r="AJ251" s="91" t="str">
        <f t="shared" si="131"/>
        <v>46862.7236341022-758.487931544029j</v>
      </c>
      <c r="AK251" s="91" t="str">
        <f t="shared" si="132"/>
        <v>15000-0.000776895107471292j</v>
      </c>
      <c r="AL251" s="91" t="str">
        <f t="shared" si="146"/>
        <v>10000-6435.87525769654j</v>
      </c>
      <c r="AM251" s="91" t="str">
        <f t="shared" si="147"/>
        <v>448.329818788504-2477.76162169931j</v>
      </c>
      <c r="AN251" s="91" t="str">
        <f t="shared" si="148"/>
        <v>10448.3298187885-2477.76162169931j</v>
      </c>
      <c r="AO251" s="91" t="str">
        <f t="shared" si="149"/>
        <v>6241.58357872412-852.758176989554j</v>
      </c>
      <c r="AP251" s="91" t="str">
        <f t="shared" si="150"/>
        <v>0.242435905597526+0.00297245431850766j</v>
      </c>
      <c r="AQ251" s="91" t="str">
        <f t="shared" si="133"/>
        <v>1+472.352225342546j</v>
      </c>
      <c r="AR251" s="91">
        <f t="shared" si="134"/>
        <v>-1.6299694794302369E-4</v>
      </c>
      <c r="AS251" s="91" t="str">
        <f t="shared" si="135"/>
        <v>0.0262893708060568j</v>
      </c>
      <c r="AT251" s="91" t="str">
        <f t="shared" si="136"/>
        <v>-0.000162996947943024+0.0262893708060568j</v>
      </c>
      <c r="AU251" s="91" t="str">
        <f t="shared" si="137"/>
        <v>5.38994871882663-0.04482972222624j</v>
      </c>
      <c r="AW251" s="91" t="str">
        <f t="shared" si="151"/>
        <v>0.160759484530085-0.49263321495399j</v>
      </c>
      <c r="AX251" s="91">
        <f t="shared" si="138"/>
        <v>-5.7100541503749183</v>
      </c>
      <c r="AY251" s="91">
        <f t="shared" si="139"/>
        <v>108.07289901227064</v>
      </c>
      <c r="AZ251" s="91" t="str">
        <f t="shared" si="140"/>
        <v>-0.00271083208360322+0.00412155780051198j</v>
      </c>
      <c r="BA251" s="91">
        <f t="shared" si="141"/>
        <v>-46.137534928619004</v>
      </c>
      <c r="BB251" s="91">
        <f t="shared" si="142"/>
        <v>-56.666270036962928</v>
      </c>
      <c r="BD251" s="91" t="str">
        <f t="shared" si="143"/>
        <v>-0.00319232146832521+0.00484922259748684j</v>
      </c>
      <c r="BE251" s="91">
        <f t="shared" si="144"/>
        <v>-44.722943792431451</v>
      </c>
      <c r="BF251" s="91">
        <f t="shared" si="145"/>
        <v>-56.64244513865134</v>
      </c>
      <c r="BH251" s="91">
        <f t="shared" si="152"/>
        <v>45.722943792431451</v>
      </c>
      <c r="BI251" s="112">
        <f t="shared" si="153"/>
        <v>56.64244513865134</v>
      </c>
      <c r="BJ251" s="95"/>
      <c r="BK251" s="95"/>
      <c r="BL251" s="95"/>
      <c r="BM251" s="95"/>
      <c r="BN251" s="46"/>
      <c r="BO251" s="46"/>
      <c r="BP251" s="46"/>
    </row>
    <row r="252" spans="1:68" s="91" customFormat="1">
      <c r="A252" s="91">
        <v>188</v>
      </c>
      <c r="B252" s="91">
        <f t="shared" si="103"/>
        <v>575439.93733715767</v>
      </c>
      <c r="C252" s="91" t="str">
        <f t="shared" si="104"/>
        <v>3615595.75944117j</v>
      </c>
      <c r="D252" s="91">
        <f t="shared" si="105"/>
        <v>-9.4648335479644796E-2</v>
      </c>
      <c r="E252" s="91" t="str">
        <f t="shared" si="106"/>
        <v>-1.6434526179278j</v>
      </c>
      <c r="F252" s="91" t="str">
        <f t="shared" si="107"/>
        <v>-0.0946483354796448-1.6434526179278j</v>
      </c>
      <c r="G252" s="91">
        <f t="shared" si="108"/>
        <v>4.3295243395707725</v>
      </c>
      <c r="H252" s="91">
        <f t="shared" si="109"/>
        <v>-93.296089280302525</v>
      </c>
      <c r="J252" s="91">
        <f t="shared" si="110"/>
        <v>7.1641791044776131</v>
      </c>
      <c r="K252" s="91" t="str">
        <f t="shared" si="111"/>
        <v>1+89.757164728127j</v>
      </c>
      <c r="L252" s="91">
        <f t="shared" si="112"/>
        <v>-1316.4771608114984</v>
      </c>
      <c r="M252" s="91" t="str">
        <f t="shared" si="113"/>
        <v>16.2850210493337j</v>
      </c>
      <c r="N252" s="91" t="str">
        <f t="shared" si="114"/>
        <v>-1316.4771608115+16.2850210493337j</v>
      </c>
      <c r="O252" s="91" t="str">
        <f t="shared" si="115"/>
        <v>0.0000837787334026945-0.0681787751899645j</v>
      </c>
      <c r="P252" s="91" t="str">
        <f t="shared" si="116"/>
        <v>0.000600205851243185-0.48844495658482j</v>
      </c>
      <c r="R252" s="91">
        <f t="shared" si="117"/>
        <v>11.82089552238806</v>
      </c>
      <c r="S252" s="91" t="str">
        <f t="shared" si="118"/>
        <v>1+0.271169681958088j</v>
      </c>
      <c r="T252" s="91" t="str">
        <f t="shared" si="119"/>
        <v>-1316.4771608115+16.2850210493337j</v>
      </c>
      <c r="U252" s="91" t="str">
        <f t="shared" si="120"/>
        <v>-0.000756939152300708-0.000215344755249394j</v>
      </c>
      <c r="V252" s="91" t="str">
        <f t="shared" si="121"/>
        <v>-0.00894769863615165-0.00254556785309731j</v>
      </c>
      <c r="X252" s="91" t="str">
        <f t="shared" si="122"/>
        <v>-0.150290682565087+0.00847013603568329j</v>
      </c>
      <c r="Y252" s="91">
        <f t="shared" si="123"/>
        <v>-16.447586382397052</v>
      </c>
      <c r="Z252" s="91">
        <f t="shared" si="124"/>
        <v>-3.2256837118904969</v>
      </c>
      <c r="AB252" s="91" t="str">
        <f t="shared" si="125"/>
        <v>-0.00837548295345113-0.00238277584297804j</v>
      </c>
      <c r="AC252" s="91">
        <f t="shared" si="126"/>
        <v>-41.201799323387476</v>
      </c>
      <c r="AD252" s="91">
        <f t="shared" si="127"/>
        <v>15.88074220233986</v>
      </c>
      <c r="AF252" s="91" t="str">
        <f t="shared" si="128"/>
        <v>-0.00988385136655265-0.0027056997377494j</v>
      </c>
      <c r="AG252" s="91">
        <f t="shared" si="129"/>
        <v>-39.787638455360224</v>
      </c>
      <c r="AH252" s="91">
        <f t="shared" si="130"/>
        <v>15.309621039539678</v>
      </c>
      <c r="AJ252" s="91" t="str">
        <f t="shared" si="131"/>
        <v>46861.539572573-794.214298872561j</v>
      </c>
      <c r="AK252" s="91" t="str">
        <f t="shared" si="132"/>
        <v>15000-0.000813509045874262j</v>
      </c>
      <c r="AL252" s="91" t="str">
        <f t="shared" si="146"/>
        <v>10000-6146.21315565899j</v>
      </c>
      <c r="AM252" s="91" t="str">
        <f t="shared" si="147"/>
        <v>426.343805119576-2385.8379339869j</v>
      </c>
      <c r="AN252" s="91" t="str">
        <f t="shared" si="148"/>
        <v>10426.3438051196-2385.8379339869j</v>
      </c>
      <c r="AO252" s="91" t="str">
        <f t="shared" si="149"/>
        <v>6228.14361997175-823.092430379876j</v>
      </c>
      <c r="AP252" s="91" t="str">
        <f t="shared" si="150"/>
        <v>0.242437030820451+0.00311253715151391j</v>
      </c>
      <c r="AQ252" s="91" t="str">
        <f t="shared" si="133"/>
        <v>1+494.613499891552j</v>
      </c>
      <c r="AR252" s="91">
        <f t="shared" si="134"/>
        <v>-1.7873224727702551E-4</v>
      </c>
      <c r="AS252" s="91" t="str">
        <f t="shared" si="135"/>
        <v>0.027528350681318j</v>
      </c>
      <c r="AT252" s="91" t="str">
        <f t="shared" si="136"/>
        <v>-0.000178732247277026+0.027528350681318j</v>
      </c>
      <c r="AU252" s="91" t="str">
        <f t="shared" si="137"/>
        <v>5.38992870134196-0.0458928355018074j</v>
      </c>
      <c r="AW252" s="91" t="str">
        <f t="shared" si="151"/>
        <v>0.144660777649914-0.476676231579997j</v>
      </c>
      <c r="AX252" s="91">
        <f t="shared" si="138"/>
        <v>-6.0529102278821858</v>
      </c>
      <c r="AY252" s="91">
        <f t="shared" si="139"/>
        <v>106.88189273135905</v>
      </c>
      <c r="AZ252" s="91" t="str">
        <f t="shared" si="140"/>
        <v>-0.00234741648677046+0.00364769944550296j</v>
      </c>
      <c r="BA252" s="91">
        <f t="shared" si="141"/>
        <v>-47.254709551269663</v>
      </c>
      <c r="BB252" s="91">
        <f t="shared" si="142"/>
        <v>-57.237365066301166</v>
      </c>
      <c r="BD252" s="91" t="str">
        <f t="shared" si="143"/>
        <v>-0.00271954837963904+0.00431998839475513j</v>
      </c>
      <c r="BE252" s="91">
        <f t="shared" si="144"/>
        <v>-45.840548683242403</v>
      </c>
      <c r="BF252" s="91">
        <f t="shared" si="145"/>
        <v>-57.808486229101348</v>
      </c>
      <c r="BH252" s="91">
        <f t="shared" si="152"/>
        <v>46.840548683242403</v>
      </c>
      <c r="BI252" s="112">
        <f t="shared" si="153"/>
        <v>57.808486229101348</v>
      </c>
      <c r="BJ252" s="95"/>
      <c r="BK252" s="95"/>
      <c r="BL252" s="95"/>
      <c r="BM252" s="95"/>
      <c r="BN252" s="46"/>
      <c r="BO252" s="46"/>
      <c r="BP252" s="46"/>
    </row>
    <row r="253" spans="1:68" s="91" customFormat="1">
      <c r="A253" s="91">
        <v>189</v>
      </c>
      <c r="B253" s="91">
        <f t="shared" si="103"/>
        <v>602559.58607435855</v>
      </c>
      <c r="C253" s="91" t="str">
        <f t="shared" si="104"/>
        <v>3785993.53792262j</v>
      </c>
      <c r="D253" s="91">
        <f t="shared" si="105"/>
        <v>-0.20025803229785399</v>
      </c>
      <c r="E253" s="91" t="str">
        <f t="shared" si="106"/>
        <v>-1.72090615360119j</v>
      </c>
      <c r="F253" s="91" t="str">
        <f t="shared" si="107"/>
        <v>-0.200258032297854-1.72090615360119j</v>
      </c>
      <c r="G253" s="91">
        <f t="shared" si="108"/>
        <v>4.773558940502455</v>
      </c>
      <c r="H253" s="91">
        <f t="shared" si="109"/>
        <v>-96.637529598970929</v>
      </c>
      <c r="J253" s="91">
        <f t="shared" si="110"/>
        <v>7.1641791044776131</v>
      </c>
      <c r="K253" s="91" t="str">
        <f t="shared" si="111"/>
        <v>1+93.987289578929j</v>
      </c>
      <c r="L253" s="91">
        <f t="shared" si="112"/>
        <v>-1443.5849807464283</v>
      </c>
      <c r="M253" s="91" t="str">
        <f t="shared" si="113"/>
        <v>17.0525104463671j</v>
      </c>
      <c r="N253" s="91" t="str">
        <f t="shared" si="114"/>
        <v>-1443.58498074643+17.0525104463671j</v>
      </c>
      <c r="O253" s="91" t="str">
        <f t="shared" si="115"/>
        <v>0.0000763516406303697-0.065105961093598j</v>
      </c>
      <c r="P253" s="91" t="str">
        <f t="shared" si="116"/>
        <v>0.000546996828396679-0.466430766043687j</v>
      </c>
      <c r="R253" s="91">
        <f t="shared" si="117"/>
        <v>11.82089552238806</v>
      </c>
      <c r="S253" s="91" t="str">
        <f t="shared" si="118"/>
        <v>1+0.283949515344196j</v>
      </c>
      <c r="T253" s="91" t="str">
        <f t="shared" si="119"/>
        <v>-1443.58498074643+17.0525104463671j</v>
      </c>
      <c r="U253" s="91" t="str">
        <f t="shared" si="120"/>
        <v>-0.000690300035829765-0.000204851718368117j</v>
      </c>
      <c r="V253" s="91" t="str">
        <f t="shared" si="121"/>
        <v>-0.00815996460264439-0.00242153076041117j</v>
      </c>
      <c r="X253" s="91" t="str">
        <f t="shared" si="122"/>
        <v>-0.150290713440529+0.0173103844227256j</v>
      </c>
      <c r="Y253" s="91">
        <f t="shared" si="123"/>
        <v>-16.404121179648385</v>
      </c>
      <c r="Z253" s="91">
        <f t="shared" si="124"/>
        <v>-6.570337214616643</v>
      </c>
      <c r="AB253" s="91" t="str">
        <f t="shared" si="125"/>
        <v>-0.00763812542300899-0.0022666710659138j</v>
      </c>
      <c r="AC253" s="91">
        <f t="shared" si="126"/>
        <v>-41.973715811278545</v>
      </c>
      <c r="AD253" s="91">
        <f t="shared" si="127"/>
        <v>16.528651110277082</v>
      </c>
      <c r="AF253" s="91" t="str">
        <f t="shared" si="128"/>
        <v>-0.00903969699918188-0.00248342635436798j</v>
      </c>
      <c r="AG253" s="91">
        <f t="shared" si="129"/>
        <v>-40.560925156100829</v>
      </c>
      <c r="AH253" s="91">
        <f t="shared" si="130"/>
        <v>15.361575722745386</v>
      </c>
      <c r="AJ253" s="91" t="str">
        <f t="shared" si="131"/>
        <v>46860.2413436934-831.621426153364j</v>
      </c>
      <c r="AK253" s="91" t="str">
        <f t="shared" si="132"/>
        <v>15000-0.000851848546032587j</v>
      </c>
      <c r="AL253" s="91" t="str">
        <f t="shared" si="146"/>
        <v>10000-5869.58799576176j</v>
      </c>
      <c r="AM253" s="91" t="str">
        <f t="shared" si="147"/>
        <v>404.58863195863-2296.97315437472j</v>
      </c>
      <c r="AN253" s="91" t="str">
        <f t="shared" si="148"/>
        <v>10404.5886319586-2296.97315437472j</v>
      </c>
      <c r="AO253" s="91" t="str">
        <f t="shared" si="149"/>
        <v>6215.14836506768-794.288474090411j</v>
      </c>
      <c r="AP253" s="91" t="str">
        <f t="shared" si="150"/>
        <v>0.242438264599011+0.00325922120012337j</v>
      </c>
      <c r="AQ253" s="91" t="str">
        <f t="shared" si="133"/>
        <v>1+517.923915987814j</v>
      </c>
      <c r="AR253" s="91">
        <f t="shared" si="134"/>
        <v>-1.9598565990654385E-4</v>
      </c>
      <c r="AS253" s="91" t="str">
        <f t="shared" si="135"/>
        <v>0.0288257218791645j</v>
      </c>
      <c r="AT253" s="91" t="str">
        <f t="shared" si="136"/>
        <v>-0.000195985659906544+0.0288257218791645j</v>
      </c>
      <c r="AU253" s="91" t="str">
        <f t="shared" si="137"/>
        <v>5.38990675348059-0.0470532685218201j</v>
      </c>
      <c r="AW253" s="91" t="str">
        <f t="shared" si="151"/>
        <v>0.12958353638703-0.460711221342028j</v>
      </c>
      <c r="AX253" s="91">
        <f t="shared" si="138"/>
        <v>-6.4007591853749668</v>
      </c>
      <c r="AY253" s="91">
        <f t="shared" si="139"/>
        <v>105.70961804862593</v>
      </c>
      <c r="AZ253" s="91" t="str">
        <f t="shared" si="140"/>
        <v>-0.00203405609883897+0.0032252468398508j</v>
      </c>
      <c r="BA253" s="91">
        <f t="shared" si="141"/>
        <v>-48.374474996653511</v>
      </c>
      <c r="BB253" s="91">
        <f t="shared" si="142"/>
        <v>-57.761730841096991</v>
      </c>
      <c r="BD253" s="91" t="str">
        <f t="shared" si="143"/>
        <v>-0.00231553829385506+0.0038428786756992j</v>
      </c>
      <c r="BE253" s="91">
        <f t="shared" si="144"/>
        <v>-46.961684341475795</v>
      </c>
      <c r="BF253" s="91">
        <f t="shared" si="145"/>
        <v>-58.928806228628744</v>
      </c>
      <c r="BH253" s="91">
        <f t="shared" si="152"/>
        <v>47.961684341475795</v>
      </c>
      <c r="BI253" s="112">
        <f t="shared" si="153"/>
        <v>58.928806228628744</v>
      </c>
      <c r="BJ253" s="95"/>
      <c r="BK253" s="95"/>
      <c r="BL253" s="95"/>
      <c r="BM253" s="95"/>
      <c r="BN253" s="46"/>
      <c r="BO253" s="46"/>
      <c r="BP253" s="46"/>
    </row>
    <row r="254" spans="1:68" s="91" customFormat="1">
      <c r="A254" s="91">
        <v>190</v>
      </c>
      <c r="B254" s="91">
        <f t="shared" si="103"/>
        <v>630957.3444801938</v>
      </c>
      <c r="C254" s="91" t="str">
        <f t="shared" si="104"/>
        <v>3964421.916295j</v>
      </c>
      <c r="D254" s="91">
        <f t="shared" si="105"/>
        <v>-0.31605676216032053</v>
      </c>
      <c r="E254" s="91" t="str">
        <f t="shared" si="106"/>
        <v>-1.80200996195227j</v>
      </c>
      <c r="F254" s="91" t="str">
        <f t="shared" si="107"/>
        <v>-0.316056762160321-1.80200996195227j</v>
      </c>
      <c r="G254" s="91">
        <f t="shared" si="108"/>
        <v>5.2467281129687171</v>
      </c>
      <c r="H254" s="91">
        <f t="shared" si="109"/>
        <v>-99.947994372288008</v>
      </c>
      <c r="J254" s="91">
        <f t="shared" si="110"/>
        <v>7.1641791044776131</v>
      </c>
      <c r="K254" s="91" t="str">
        <f t="shared" si="111"/>
        <v>1+98.4167740720233j</v>
      </c>
      <c r="L254" s="91">
        <f t="shared" si="112"/>
        <v>-1582.9559338643824</v>
      </c>
      <c r="M254" s="91" t="str">
        <f t="shared" si="113"/>
        <v>17.8561705043272j</v>
      </c>
      <c r="N254" s="91" t="str">
        <f t="shared" si="114"/>
        <v>-1582.95593386438+17.8561705043272j</v>
      </c>
      <c r="O254" s="91" t="str">
        <f t="shared" si="115"/>
        <v>0.0000695873940338167-0.0621719969597601j</v>
      </c>
      <c r="P254" s="91" t="str">
        <f t="shared" si="116"/>
        <v>0.00049853655427212-0.445411321502759j</v>
      </c>
      <c r="R254" s="91">
        <f t="shared" si="117"/>
        <v>11.82089552238806</v>
      </c>
      <c r="S254" s="91" t="str">
        <f t="shared" si="118"/>
        <v>1+0.297331643722125j</v>
      </c>
      <c r="T254" s="91" t="str">
        <f t="shared" si="119"/>
        <v>-1582.95593386438+17.8561705043272j</v>
      </c>
      <c r="U254" s="91" t="str">
        <f t="shared" si="120"/>
        <v>-0.000629530611588723-0.0001949344533597j</v>
      </c>
      <c r="V254" s="91" t="str">
        <f t="shared" si="121"/>
        <v>-0.00744161558773535-0.00230429980687884j</v>
      </c>
      <c r="X254" s="91" t="str">
        <f t="shared" si="122"/>
        <v>-0.150290729978908+0.0261863206261j</v>
      </c>
      <c r="Y254" s="91">
        <f t="shared" si="123"/>
        <v>-16.331471284074414</v>
      </c>
      <c r="Z254" s="91">
        <f t="shared" si="124"/>
        <v>-9.8838648201509614</v>
      </c>
      <c r="AB254" s="91" t="str">
        <f t="shared" si="125"/>
        <v>-0.00696571565892838-0.00215693716752793j</v>
      </c>
      <c r="AC254" s="91">
        <f t="shared" si="126"/>
        <v>-42.743041596569768</v>
      </c>
      <c r="AD254" s="91">
        <f t="shared" si="127"/>
        <v>17.205163911993054</v>
      </c>
      <c r="AF254" s="91" t="str">
        <f t="shared" si="128"/>
        <v>-0.0082681405031451-0.00228363401199891j</v>
      </c>
      <c r="AG254" s="91">
        <f t="shared" si="129"/>
        <v>-41.332571466436377</v>
      </c>
      <c r="AH254" s="91">
        <f t="shared" si="130"/>
        <v>15.439982588627032</v>
      </c>
      <c r="AJ254" s="91" t="str">
        <f t="shared" si="131"/>
        <v>46858.8179467061-870.788085185621j</v>
      </c>
      <c r="AK254" s="91" t="str">
        <f t="shared" si="132"/>
        <v>14999.9999999999-0.000891994931166372j</v>
      </c>
      <c r="AL254" s="91" t="str">
        <f t="shared" si="146"/>
        <v>10000-5605.41301895291j</v>
      </c>
      <c r="AM254" s="91" t="str">
        <f t="shared" si="147"/>
        <v>383.151199131686-2211.01635415198j</v>
      </c>
      <c r="AN254" s="91" t="str">
        <f t="shared" si="148"/>
        <v>10383.1511991317-2211.01635415198j</v>
      </c>
      <c r="AO254" s="91" t="str">
        <f t="shared" si="149"/>
        <v>6202.60167201758-766.303409438487j</v>
      </c>
      <c r="AP254" s="91" t="str">
        <f t="shared" si="150"/>
        <v>0.242439617405682+0.00341281746857319j</v>
      </c>
      <c r="AQ254" s="91" t="str">
        <f t="shared" si="133"/>
        <v>1+542.332918149156j</v>
      </c>
      <c r="AR254" s="91">
        <f t="shared" si="134"/>
        <v>-2.1490365066387338E-4</v>
      </c>
      <c r="AS254" s="91" t="str">
        <f t="shared" si="135"/>
        <v>0.0301842362978485j</v>
      </c>
      <c r="AT254" s="91" t="str">
        <f t="shared" si="136"/>
        <v>-0.000214903650663873+0.0301842362978485j</v>
      </c>
      <c r="AU254" s="91" t="str">
        <f t="shared" si="137"/>
        <v>5.38988268897597-0.048313479000126j</v>
      </c>
      <c r="AW254" s="91" t="str">
        <f t="shared" si="151"/>
        <v>0.115493328552822-0.444800682865654j</v>
      </c>
      <c r="AX254" s="91">
        <f t="shared" si="138"/>
        <v>-6.7533414259556315</v>
      </c>
      <c r="AY254" s="91">
        <f t="shared" si="139"/>
        <v>104.55553116749225</v>
      </c>
      <c r="AZ254" s="91" t="str">
        <f t="shared" si="140"/>
        <v>-0.00176390081221689+0.00284924322878223j</v>
      </c>
      <c r="BA254" s="91">
        <f t="shared" si="141"/>
        <v>-49.496383022525386</v>
      </c>
      <c r="BB254" s="91">
        <f t="shared" si="142"/>
        <v>-58.239304920514698</v>
      </c>
      <c r="BD254" s="91" t="str">
        <f t="shared" si="143"/>
        <v>-0.00197067703560298+0.00341393004858593j</v>
      </c>
      <c r="BE254" s="91">
        <f t="shared" si="144"/>
        <v>-48.085912892391995</v>
      </c>
      <c r="BF254" s="91">
        <f t="shared" si="145"/>
        <v>-60.004486243880777</v>
      </c>
      <c r="BH254" s="91">
        <f t="shared" si="152"/>
        <v>49.085912892391995</v>
      </c>
      <c r="BI254" s="112">
        <f t="shared" si="153"/>
        <v>60.004486243880777</v>
      </c>
      <c r="BJ254" s="95"/>
      <c r="BK254" s="95"/>
      <c r="BL254" s="95"/>
      <c r="BM254" s="95"/>
      <c r="BN254" s="46"/>
      <c r="BO254" s="46"/>
      <c r="BP254" s="46"/>
    </row>
    <row r="255" spans="1:68" s="91" customFormat="1">
      <c r="A255" s="91">
        <v>191</v>
      </c>
      <c r="B255" s="91">
        <f t="shared" si="103"/>
        <v>660693.44800759654</v>
      </c>
      <c r="C255" s="91" t="str">
        <f t="shared" si="104"/>
        <v>4151259.36507115j</v>
      </c>
      <c r="D255" s="91">
        <f t="shared" si="105"/>
        <v>-0.4430275445955898</v>
      </c>
      <c r="E255" s="91" t="str">
        <f t="shared" si="106"/>
        <v>-1.88693607503234j</v>
      </c>
      <c r="F255" s="91" t="str">
        <f t="shared" si="107"/>
        <v>-0.44302754459559-1.88693607503234j</v>
      </c>
      <c r="G255" s="91">
        <f t="shared" si="108"/>
        <v>5.7481820892880275</v>
      </c>
      <c r="H255" s="91">
        <f t="shared" si="109"/>
        <v>-103.2129704972842</v>
      </c>
      <c r="J255" s="91">
        <f t="shared" si="110"/>
        <v>7.1641791044776131</v>
      </c>
      <c r="K255" s="91" t="str">
        <f t="shared" si="111"/>
        <v>1+103.055013737891j</v>
      </c>
      <c r="L255" s="91">
        <f t="shared" si="112"/>
        <v>-1735.7731451339132</v>
      </c>
      <c r="M255" s="91" t="str">
        <f t="shared" si="113"/>
        <v>18.6977058939455j</v>
      </c>
      <c r="N255" s="91" t="str">
        <f t="shared" si="114"/>
        <v>-1735.77314513391+18.6977058939455j</v>
      </c>
      <c r="O255" s="91" t="str">
        <f t="shared" si="115"/>
        <v>0.0000634260961543639-0.0593705623942285j</v>
      </c>
      <c r="P255" s="91" t="str">
        <f t="shared" si="116"/>
        <v>0.000454395912747682-0.425341342525816j</v>
      </c>
      <c r="R255" s="91">
        <f t="shared" si="117"/>
        <v>11.82089552238806</v>
      </c>
      <c r="S255" s="91" t="str">
        <f t="shared" si="118"/>
        <v>1+0.311344452380336j</v>
      </c>
      <c r="T255" s="91" t="str">
        <f t="shared" si="119"/>
        <v>-1735.77314513391+18.6977058939455j</v>
      </c>
      <c r="U255" s="91" t="str">
        <f t="shared" si="120"/>
        <v>-0.00057411337137095-0.00018555365731457j</v>
      </c>
      <c r="V255" s="91" t="str">
        <f t="shared" si="121"/>
        <v>-0.00678653418098198-0.00219341039691253j</v>
      </c>
      <c r="X255" s="91" t="str">
        <f t="shared" si="122"/>
        <v>-0.150290735399883+0.0351169047133467j</v>
      </c>
      <c r="Y255" s="91">
        <f t="shared" si="123"/>
        <v>-16.23049087692349</v>
      </c>
      <c r="Z255" s="91">
        <f t="shared" si="124"/>
        <v>-13.151760933291683</v>
      </c>
      <c r="AB255" s="91" t="str">
        <f t="shared" si="125"/>
        <v>-0.00635252746624408-0.00205313926365814j</v>
      </c>
      <c r="AC255" s="91">
        <f t="shared" si="126"/>
        <v>-43.509575018892335</v>
      </c>
      <c r="AD255" s="91">
        <f t="shared" si="127"/>
        <v>17.910852064865736</v>
      </c>
      <c r="AF255" s="91" t="str">
        <f t="shared" si="128"/>
        <v>-0.00756306158894008-0.00210371714769922j</v>
      </c>
      <c r="AG255" s="91">
        <f t="shared" si="129"/>
        <v>-42.10239357741321</v>
      </c>
      <c r="AH255" s="91">
        <f t="shared" si="130"/>
        <v>15.544270754862055</v>
      </c>
      <c r="AJ255" s="91" t="str">
        <f t="shared" si="131"/>
        <v>46857.2573223307-911.796695066597j</v>
      </c>
      <c r="AK255" s="91" t="str">
        <f t="shared" si="132"/>
        <v>14999.9999999999-0.000934033357141006j</v>
      </c>
      <c r="AL255" s="91" t="str">
        <f t="shared" si="146"/>
        <v>10000-5353.12787468805j</v>
      </c>
      <c r="AM255" s="91" t="str">
        <f t="shared" si="147"/>
        <v>362.11324467801-2127.83396054709j</v>
      </c>
      <c r="AN255" s="91" t="str">
        <f t="shared" si="148"/>
        <v>10362.113244678-2127.83396054709j</v>
      </c>
      <c r="AO255" s="91" t="str">
        <f t="shared" si="149"/>
        <v>6190.50857570909-739.100040415829j</v>
      </c>
      <c r="AP255" s="91" t="str">
        <f t="shared" si="150"/>
        <v>0.242441100723148+0.00357365160324673j</v>
      </c>
      <c r="AQ255" s="91" t="str">
        <f t="shared" si="133"/>
        <v>1+567.892281141733j</v>
      </c>
      <c r="AR255" s="91">
        <f t="shared" si="134"/>
        <v>-2.3564681504412355E-4</v>
      </c>
      <c r="AS255" s="91" t="str">
        <f t="shared" si="135"/>
        <v>0.0316067755285914j</v>
      </c>
      <c r="AT255" s="91" t="str">
        <f t="shared" si="136"/>
        <v>-0.000235646815044124+0.0316067755285914j</v>
      </c>
      <c r="AU255" s="91" t="str">
        <f t="shared" si="137"/>
        <v>5.38985630360316-0.049676135740872j</v>
      </c>
      <c r="AW255" s="91" t="str">
        <f t="shared" si="151"/>
        <v>0.102352354193366-0.429000670802692j</v>
      </c>
      <c r="AX255" s="91">
        <f t="shared" si="138"/>
        <v>-7.1104114223663846</v>
      </c>
      <c r="AY255" s="91">
        <f t="shared" si="139"/>
        <v>103.41895327041824</v>
      </c>
      <c r="AZ255" s="91" t="str">
        <f t="shared" si="140"/>
        <v>-0.00153099426260879+0.00251509490718899j</v>
      </c>
      <c r="BA255" s="91">
        <f t="shared" si="141"/>
        <v>-50.619986441258725</v>
      </c>
      <c r="BB255" s="91">
        <f t="shared" si="142"/>
        <v>-58.670194664715993</v>
      </c>
      <c r="BD255" s="91" t="str">
        <f t="shared" si="143"/>
        <v>-0.00167659322607953+0.0030292380923534j</v>
      </c>
      <c r="BE255" s="91">
        <f t="shared" si="144"/>
        <v>-49.212804999779593</v>
      </c>
      <c r="BF255" s="91">
        <f t="shared" si="145"/>
        <v>-61.036775974719674</v>
      </c>
      <c r="BH255" s="91">
        <f t="shared" si="152"/>
        <v>50.212804999779593</v>
      </c>
      <c r="BI255" s="112">
        <f t="shared" si="153"/>
        <v>61.036775974719674</v>
      </c>
      <c r="BJ255" s="95"/>
      <c r="BK255" s="95"/>
      <c r="BL255" s="95"/>
      <c r="BM255" s="95"/>
      <c r="BN255" s="46"/>
      <c r="BO255" s="46"/>
      <c r="BP255" s="46"/>
    </row>
    <row r="256" spans="1:68" s="91" customFormat="1">
      <c r="A256" s="91">
        <v>192</v>
      </c>
      <c r="B256" s="91">
        <f t="shared" ref="B256:B264" si="154">Fstart*10^(Step*A256)</f>
        <v>691830.97091893689</v>
      </c>
      <c r="C256" s="91" t="str">
        <f t="shared" ref="C256:C264" si="155">COMPLEX(0,2*PI()*B256,"j")</f>
        <v>4346902.19152965j</v>
      </c>
      <c r="D256" s="91">
        <f t="shared" ref="D256:D264" si="156">(IMPRODUCT(C256,C256))/wn^2 + 1</f>
        <v>-0.58224823908310475</v>
      </c>
      <c r="E256" s="91" t="str">
        <f t="shared" ref="E256:E264" si="157">IMDIV(C256,wn*Qn)</f>
        <v>-1.97586463251348j</v>
      </c>
      <c r="F256" s="91" t="str">
        <f t="shared" ref="F256:F264" si="158">IMSUM(D256,E256)</f>
        <v>-0.582248239083105-1.97586463251348j</v>
      </c>
      <c r="G256" s="91">
        <f t="shared" ref="G256:G264" si="159">20*LOG(IMABS(F256),10)</f>
        <v>6.2767856485934592</v>
      </c>
      <c r="H256" s="91">
        <f t="shared" ref="H256:H264" si="160">(IMARGUMENT(F256)*(180/PI()))</f>
        <v>-106.41920292974932</v>
      </c>
      <c r="J256" s="91">
        <f t="shared" ref="J256:J264" si="161">Vin/(Rout+DCR/1000)</f>
        <v>7.1641791044776131</v>
      </c>
      <c r="K256" s="91" t="str">
        <f t="shared" ref="K256:K264" si="162">IMSUM(1,IMPRODUCT(C256,ncap*(Cap*10^-6)*(Rout+(ESR/(ncap*1000)))))</f>
        <v>1+107.911846904724j</v>
      </c>
      <c r="L256" s="91">
        <f t="shared" ref="L256:L264" si="163">(IMPRODUCT(C256,C256))/Gdo^2 + 1</f>
        <v>-1903.3338852863628</v>
      </c>
      <c r="M256" s="91" t="str">
        <f t="shared" ref="M256:M264" si="164">IMDIV(C256,Q*Gdo)</f>
        <v>19.5789016246099j</v>
      </c>
      <c r="N256" s="91" t="str">
        <f t="shared" ref="N256:N264" si="165">IMSUM(L256,M256)</f>
        <v>-1903.33388528636+19.5789016246099j</v>
      </c>
      <c r="O256" s="91" t="str">
        <f t="shared" ref="O256:O264" si="166">IMDIV(K256,N256)</f>
        <v>0.0000578133852818066-0.0566956306596231j</v>
      </c>
      <c r="P256" s="91" t="str">
        <f t="shared" ref="P256:P264" si="167">IMPRODUCT(J256,O256)</f>
        <v>0.000414185446795032-0.406177652486852j</v>
      </c>
      <c r="R256" s="91">
        <f t="shared" ref="R256:R264" si="168">Vin/(1+((DCR*10^-3)/Rout))</f>
        <v>11.82089552238806</v>
      </c>
      <c r="S256" s="91" t="str">
        <f t="shared" ref="S256:S264" si="169">IMSUM(1,IMPRODUCT(C256,ncap*(Cap*10^-6)*(ESR/(ncap*1000))))</f>
        <v>1+0.326017664364724j</v>
      </c>
      <c r="T256" s="91" t="str">
        <f t="shared" ref="T256:T264" si="170">IMSUM(L256,M256)</f>
        <v>-1903.33388528636+19.5789016246099j</v>
      </c>
      <c r="U256" s="91" t="str">
        <f t="shared" ref="U256:U264" si="171">IMDIV(S256,T256)</f>
        <v>-0.000523576516988329-0.000176673530631333j</v>
      </c>
      <c r="V256" s="91" t="str">
        <f t="shared" ref="V256:V264" si="172">IMPRODUCT(R256,U256)</f>
        <v>-0.00618914330529487-0.00208843934716441j</v>
      </c>
      <c r="X256" s="91" t="str">
        <f t="shared" ref="X256:X264" si="173">IMPRODUCT(Fm,Dmax,P256,F256)</f>
        <v>-0.150290732309616+0.0441211954764655j</v>
      </c>
      <c r="Y256" s="91">
        <f t="shared" ref="Y256:Y264" si="174">20*LOG(IMABS(X256),10)</f>
        <v>-16.102319203704912</v>
      </c>
      <c r="Z256" s="91">
        <f t="shared" ref="Z256:Z264" si="175">IF((IMARGUMENT(X256)*(180/PI()))&lt;0,(IMARGUMENT(X256)*(180/PI()))+180,(IMARGUMENT(X256)*(180/PI()))-180)</f>
        <v>-16.360777583927216</v>
      </c>
      <c r="AB256" s="91" t="str">
        <f t="shared" ref="AB256:AB264" si="176">IMPRODUCT(Fm,V256)</f>
        <v>-0.00579334042840073-0.00195488123402144j</v>
      </c>
      <c r="AC256" s="91">
        <f t="shared" ref="AC256:AC264" si="177">20*LOG(IMABS(AB256),10)</f>
        <v>-44.273101200245286</v>
      </c>
      <c r="AD256" s="91">
        <f t="shared" ref="AD256:AD264" si="178">IF((IMARGUMENT(AB256)*(180/PI()))&lt;0,(IMARGUMENT(AB256)*(180/PI()))+180,(IMARGUMENT(AB256)*(180/PI()))-180)</f>
        <v>18.646243300474879</v>
      </c>
      <c r="AF256" s="91" t="str">
        <f t="shared" ref="AF256:AF264" si="179">IMDIV(AB256,IMSUM(1,X256))</f>
        <v>-0.00691883323162014-0.00194138642858859j</v>
      </c>
      <c r="AG256" s="91">
        <f t="shared" ref="AG256:AG264" si="180">20*LOG(IMABS(AF256),10)</f>
        <v>-42.870202039012014</v>
      </c>
      <c r="AH256" s="91">
        <f t="shared" ref="AH256:AH264" si="181">IF((IMARGUMENT(AF256)*(180/PI()))&lt;0,(IMARGUMENT(AF256)*(180/PI()))+180,(IMARGUMENT(AF256)*(180/PI()))-180)</f>
        <v>15.673826636500706</v>
      </c>
      <c r="AJ256" s="91" t="str">
        <f t="shared" ref="AJ256:AJ264" si="182">IMDIV(_Rfb1,IMSUM(1,IMPRODUCT(C256,_Cfb1*_Rfb1)))</f>
        <v>46855.5462512066-954.733484459477j</v>
      </c>
      <c r="AK256" s="91" t="str">
        <f t="shared" ref="AK256:AK264" si="183">IMDIV(_Rfb2,IMSUM(1,IMPRODUCT(C256,_Cfb2*_Rfb2)))</f>
        <v>14999.9999999999-0.000978052993094168j</v>
      </c>
      <c r="AL256" s="91" t="str">
        <f t="shared" si="146"/>
        <v>10000-5112.19743235179j</v>
      </c>
      <c r="AM256" s="91" t="str">
        <f t="shared" si="147"/>
        <v>341.55018006797-2047.3084112917j</v>
      </c>
      <c r="AN256" s="91" t="str">
        <f t="shared" si="148"/>
        <v>10341.550180068-2047.3084112917j</v>
      </c>
      <c r="AO256" s="91" t="str">
        <f t="shared" si="149"/>
        <v>6178.87451919357-712.646556225131j</v>
      </c>
      <c r="AP256" s="91" t="str">
        <f t="shared" si="150"/>
        <v>0.24244272714173+0.00374206458050978j</v>
      </c>
      <c r="AQ256" s="91" t="str">
        <f t="shared" ref="AQ256:AQ264" si="184">IMSUM(1,IMPRODUCT(C256,_res1*_Cap1))</f>
        <v>1+594.656219801256j</v>
      </c>
      <c r="AR256" s="91">
        <f t="shared" ref="AR256:AR264" si="185">(IMPRODUCT(C256,C256))*_res1*_Cap1*_cap2 + (1/Roerr)</f>
        <v>-2.5839124250608218E-4</v>
      </c>
      <c r="AS256" s="91" t="str">
        <f t="shared" ref="AS256:AS264" si="186">IMPRODUCT(C256,(_Cap1+_cap2+(_Cap1*_res1/Roerr)))</f>
        <v>0.0330963569678246j</v>
      </c>
      <c r="AT256" s="91" t="str">
        <f t="shared" ref="AT256:AT264" si="187">IMSUM(AR256,AS256)</f>
        <v>-0.000258391242506082+0.0330963569678246j</v>
      </c>
      <c r="AU256" s="91" t="str">
        <f t="shared" ref="AU256:AU264" si="188">IMPRODUCT(EA_BW,IMDIV(AQ256,AT256))</f>
        <v>5.38982737344756-0.0511441242177801j</v>
      </c>
      <c r="AW256" s="91" t="str">
        <f t="shared" si="151"/>
        <v>0.0901203210313782-0.413360899712448j</v>
      </c>
      <c r="AX256" s="91">
        <f t="shared" ref="AX256:AX264" si="189">20*LOG(IMABS(AW256),10)</f>
        <v>-7.4717388719850932</v>
      </c>
      <c r="AY256" s="91">
        <f t="shared" ref="AY256:AY264" si="190">IF((IMARGUMENT(AW256)*(180/PI()))&lt;0,(IMARGUMENT(AW256)*(180/PI()))+180,(IMARGUMENT(AW256)*(180/PI()))-180)</f>
        <v>102.29908297318123</v>
      </c>
      <c r="AZ256" s="91" t="str">
        <f t="shared" ref="AZ256:AZ264" si="191">IMPRODUCT(AW256,Fm,V256)</f>
        <v>-0.00133016916497762+0.00221856588743599j</v>
      </c>
      <c r="BA256" s="91">
        <f t="shared" ref="BA256:BA264" si="192">20*LOG(IMABS(AZ256),10)</f>
        <v>-51.744840072230389</v>
      </c>
      <c r="BB256" s="91">
        <f t="shared" ref="BB256:BB264" si="193">IF((IMARGUMENT(AZ256)*(180/PI()))&lt;0,(IMARGUMENT(AZ256)*(180/PI()))+180,(IMARGUMENT(AZ256)*(180/PI()))-180)</f>
        <v>-59.054673726343808</v>
      </c>
      <c r="BD256" s="91" t="str">
        <f t="shared" ref="BD256:BD264" si="194">IMDIV(AZ256,IMSUM(1,X256))</f>
        <v>-0.00142602071280709+0.00268501676139252j</v>
      </c>
      <c r="BE256" s="91">
        <f t="shared" ref="BE256:BE264" si="195">20*LOG(IMABS(BD256),10)</f>
        <v>-50.34194091099711</v>
      </c>
      <c r="BF256" s="91">
        <f t="shared" ref="BF256:BF264" si="196">IF((IMARGUMENT(BD256)*(180/PI()))&lt;0,(IMARGUMENT(BD256)*(180/PI()))+180,(IMARGUMENT(BD256)*(180/PI()))-180)</f>
        <v>-62.027090390318079</v>
      </c>
      <c r="BH256" s="91">
        <f t="shared" si="152"/>
        <v>51.34194091099711</v>
      </c>
      <c r="BI256" s="112">
        <f t="shared" si="153"/>
        <v>62.027090390318079</v>
      </c>
      <c r="BJ256" s="95"/>
      <c r="BK256" s="95"/>
      <c r="BL256" s="95"/>
      <c r="BM256" s="95"/>
      <c r="BN256" s="46"/>
      <c r="BO256" s="46"/>
      <c r="BP256" s="46"/>
    </row>
    <row r="257" spans="1:68" s="91" customFormat="1">
      <c r="A257" s="91">
        <v>193</v>
      </c>
      <c r="B257" s="91">
        <f t="shared" si="154"/>
        <v>724435.96007499041</v>
      </c>
      <c r="C257" s="91" t="str">
        <f t="shared" si="155"/>
        <v>4551765.38033572j</v>
      </c>
      <c r="D257" s="91">
        <f t="shared" si="156"/>
        <v>-0.73490069504057609</v>
      </c>
      <c r="E257" s="91" t="str">
        <f t="shared" si="157"/>
        <v>-2.06898426378896j</v>
      </c>
      <c r="F257" s="91" t="str">
        <f t="shared" si="158"/>
        <v>-0.734900695040576-2.06898426378896j</v>
      </c>
      <c r="G257" s="91">
        <f t="shared" si="159"/>
        <v>6.8311685450902582</v>
      </c>
      <c r="H257" s="91">
        <f t="shared" si="160"/>
        <v>-109.55497647348945</v>
      </c>
      <c r="J257" s="91">
        <f t="shared" si="161"/>
        <v>7.1641791044776131</v>
      </c>
      <c r="K257" s="91" t="str">
        <f t="shared" si="162"/>
        <v>1+112.997575566834j</v>
      </c>
      <c r="L257" s="91">
        <f t="shared" si="163"/>
        <v>-2087.0605833931372</v>
      </c>
      <c r="M257" s="91" t="str">
        <f t="shared" si="164"/>
        <v>20.5016268306091j</v>
      </c>
      <c r="N257" s="91" t="str">
        <f t="shared" si="165"/>
        <v>-2087.06058339314+20.5016268306091j</v>
      </c>
      <c r="O257" s="91" t="str">
        <f t="shared" si="166"/>
        <v>0.0000526999035731096-0.0541414542693185j</v>
      </c>
      <c r="P257" s="91" t="str">
        <f t="shared" si="167"/>
        <v>0.000377551547986457-0.387879075362282j</v>
      </c>
      <c r="R257" s="91">
        <f t="shared" si="168"/>
        <v>11.82089552238806</v>
      </c>
      <c r="S257" s="91" t="str">
        <f t="shared" si="169"/>
        <v>1+0.341382403525179j</v>
      </c>
      <c r="T257" s="91" t="str">
        <f t="shared" si="170"/>
        <v>-2087.06058339314+20.5016268306091j</v>
      </c>
      <c r="U257" s="91" t="str">
        <f t="shared" si="171"/>
        <v>-0.000477489908829963-0.00016826139415678j</v>
      </c>
      <c r="V257" s="91" t="str">
        <f t="shared" si="172"/>
        <v>-0.00564435832527359-0.00198900036077865j</v>
      </c>
      <c r="X257" s="91" t="str">
        <f t="shared" si="173"/>
        <v>-0.150290722810486+0.0532183930819947j</v>
      </c>
      <c r="Y257" s="91">
        <f t="shared" si="174"/>
        <v>-15.948330180250213</v>
      </c>
      <c r="Z257" s="91">
        <f t="shared" si="175"/>
        <v>-19.499206248204104</v>
      </c>
      <c r="AB257" s="91" t="str">
        <f t="shared" si="176"/>
        <v>-0.00528339507831606-0.00186180148589298j</v>
      </c>
      <c r="AC257" s="91">
        <f t="shared" si="177"/>
        <v>-45.033391952677221</v>
      </c>
      <c r="AD257" s="91">
        <f t="shared" si="178"/>
        <v>19.411811915422305</v>
      </c>
      <c r="AF257" s="91" t="str">
        <f t="shared" si="179"/>
        <v>-0.00633028560899814-0.00179463011522695j</v>
      </c>
      <c r="AG257" s="91">
        <f t="shared" si="180"/>
        <v>-43.635801804598543</v>
      </c>
      <c r="AH257" s="91">
        <f t="shared" si="181"/>
        <v>15.827984177810578</v>
      </c>
      <c r="AJ257" s="91" t="str">
        <f t="shared" si="182"/>
        <v>46853.6702426526-999.688660088307j</v>
      </c>
      <c r="AK257" s="91" t="str">
        <f t="shared" si="183"/>
        <v>14999.9999999999-0.00102414721057553j</v>
      </c>
      <c r="AL257" s="91" t="str">
        <f t="shared" ref="AL257:AL264" si="197">IMDIV(IMSUM(1,IMPRODUCT(C257,10000,0.000000000045)),IMPRODUCT(C257,0.000000000045))</f>
        <v>10000-4882.11064617378j</v>
      </c>
      <c r="AM257" s="91" t="str">
        <f t="shared" ref="AM257:AM264" si="198">IMDIV(AL257,IMSUM(1,IMPRODUCT(C257,AL257,0.0000000001)))</f>
        <v>321.530132298201-1969.33666689418j</v>
      </c>
      <c r="AN257" s="91" t="str">
        <f t="shared" ref="AN257:AN264" si="199">IMSUM(10000,AM257)</f>
        <v>10321.5301322982-1969.33666689418j</v>
      </c>
      <c r="AO257" s="91" t="str">
        <f t="shared" ref="AO257:AO264" si="200">IMDIV(IMPRODUCT(AN257,AK257),IMSUM(AN257,AK257))</f>
        <v>6167.70467510928-686.916122343168j</v>
      </c>
      <c r="AP257" s="91" t="str">
        <f t="shared" ref="AP257:AP264" si="201">IMDIV(AK257,IMSUM(AJ257,AK257))</f>
        <v>0.242444510466217+0.00391841342663393j</v>
      </c>
      <c r="AQ257" s="91" t="str">
        <f t="shared" si="184"/>
        <v>1+622.681504029926j</v>
      </c>
      <c r="AR257" s="91">
        <f t="shared" si="185"/>
        <v>-2.8333001130187994E-4</v>
      </c>
      <c r="AS257" s="91" t="str">
        <f t="shared" si="186"/>
        <v>0.0346561402174925j</v>
      </c>
      <c r="AT257" s="91" t="str">
        <f t="shared" si="187"/>
        <v>-0.00028333001130188+0.0346561402174925j</v>
      </c>
      <c r="AU257" s="91" t="str">
        <f t="shared" si="188"/>
        <v>5.38979565300618-0.052720552600917j</v>
      </c>
      <c r="AW257" s="91" t="str">
        <f t="shared" ref="AW257:AW264" si="202">IMDIV(IMPRODUCT(AP257,AU257),IMPRODUCT(IMSUM(1,IMPRODUCT(C257,1/1500000)),IMSUM(1,IMPRODUCT(C257,1/35000000))))</f>
        <v>0.0787552360169791-0.397924942552865j</v>
      </c>
      <c r="AX257" s="91">
        <f t="shared" si="189"/>
        <v>-7.8371096270591201</v>
      </c>
      <c r="AY257" s="91">
        <f t="shared" si="190"/>
        <v>101.19500858831255</v>
      </c>
      <c r="AZ257" s="91" t="str">
        <f t="shared" si="191"/>
        <v>-0.00115695227568253+0.00195576806758474j</v>
      </c>
      <c r="BA257" s="91">
        <f t="shared" si="192"/>
        <v>-52.870501579736349</v>
      </c>
      <c r="BB257" s="91">
        <f t="shared" si="193"/>
        <v>-59.393179496265105</v>
      </c>
      <c r="BD257" s="91" t="str">
        <f t="shared" si="194"/>
        <v>-0.00121267122269686+0.00237764201901593j</v>
      </c>
      <c r="BE257" s="91">
        <f t="shared" si="195"/>
        <v>-51.472911431657678</v>
      </c>
      <c r="BF257" s="91">
        <f t="shared" si="196"/>
        <v>-62.977007233876819</v>
      </c>
      <c r="BH257" s="91">
        <f t="shared" ref="BH257:BH264" si="203">1-BE257</f>
        <v>52.472911431657678</v>
      </c>
      <c r="BI257" s="112">
        <f t="shared" ref="BI257:BI264" si="204">+-1*BF257</f>
        <v>62.977007233876819</v>
      </c>
      <c r="BJ257" s="95"/>
      <c r="BK257" s="95"/>
      <c r="BL257" s="95"/>
      <c r="BM257" s="95"/>
      <c r="BN257" s="46"/>
      <c r="BO257" s="46"/>
      <c r="BP257" s="46"/>
    </row>
    <row r="258" spans="1:68" s="91" customFormat="1">
      <c r="A258" s="91">
        <v>194</v>
      </c>
      <c r="B258" s="91">
        <f t="shared" si="154"/>
        <v>758577.57502918388</v>
      </c>
      <c r="C258" s="91" t="str">
        <f t="shared" si="155"/>
        <v>4766283.47377929j</v>
      </c>
      <c r="D258" s="91">
        <f t="shared" si="156"/>
        <v>-0.90228078458564687</v>
      </c>
      <c r="E258" s="91" t="str">
        <f t="shared" si="157"/>
        <v>-2.1664924880815j</v>
      </c>
      <c r="F258" s="91" t="str">
        <f t="shared" si="158"/>
        <v>-0.902280784585647-2.1664924880815j</v>
      </c>
      <c r="G258" s="91">
        <f t="shared" si="159"/>
        <v>7.4097818655906593</v>
      </c>
      <c r="H258" s="91">
        <f t="shared" si="160"/>
        <v>-112.61030036528361</v>
      </c>
      <c r="J258" s="91">
        <f t="shared" si="161"/>
        <v>7.1641791044776131</v>
      </c>
      <c r="K258" s="91" t="str">
        <f t="shared" si="162"/>
        <v>1+118.322987236571j</v>
      </c>
      <c r="L258" s="91">
        <f t="shared" si="163"/>
        <v>-2288.5129019165911</v>
      </c>
      <c r="M258" s="91" t="str">
        <f t="shared" si="164"/>
        <v>21.4678387358171j</v>
      </c>
      <c r="N258" s="91" t="str">
        <f t="shared" si="165"/>
        <v>-2288.51290191659+21.4678387358171j</v>
      </c>
      <c r="O258" s="91" t="str">
        <f t="shared" si="166"/>
        <v>0.0000480408195414848-0.0517025513838754j</v>
      </c>
      <c r="P258" s="91" t="str">
        <f t="shared" si="167"/>
        <v>0.000344173035521085-0.37040633827254j</v>
      </c>
      <c r="R258" s="91">
        <f t="shared" si="168"/>
        <v>11.82089552238806</v>
      </c>
      <c r="S258" s="91" t="str">
        <f t="shared" si="169"/>
        <v>1+0.357471260533447j</v>
      </c>
      <c r="T258" s="91" t="str">
        <f t="shared" si="170"/>
        <v>-2288.51290191659+21.4678387358171j</v>
      </c>
      <c r="U258" s="91" t="str">
        <f t="shared" si="171"/>
        <v>-0.000435461375866374-0.000160287352900225j</v>
      </c>
      <c r="V258" s="91" t="str">
        <f t="shared" si="172"/>
        <v>-0.00514754342815176-0.0018947400521937j</v>
      </c>
      <c r="X258" s="91" t="str">
        <f t="shared" si="173"/>
        <v>-0.150290708591745+0.0624278817328713j</v>
      </c>
      <c r="Y258" s="91">
        <f t="shared" si="174"/>
        <v>-15.770076066460081</v>
      </c>
      <c r="Z258" s="91">
        <f t="shared" si="175"/>
        <v>-22.557062462351411</v>
      </c>
      <c r="AB258" s="91" t="str">
        <f t="shared" si="176"/>
        <v>-0.004818352068815-0.00177356923312683j</v>
      </c>
      <c r="AC258" s="91">
        <f t="shared" si="177"/>
        <v>-45.790205819842704</v>
      </c>
      <c r="AD258" s="91">
        <f t="shared" si="178"/>
        <v>20.207968326562224</v>
      </c>
      <c r="AF258" s="91" t="str">
        <f t="shared" si="179"/>
        <v>-0.00579267201745457-0.00166168006373544j</v>
      </c>
      <c r="AG258" s="91">
        <f t="shared" si="180"/>
        <v>-44.398992452235277</v>
      </c>
      <c r="AH258" s="91">
        <f t="shared" si="181"/>
        <v>16.006014509081098</v>
      </c>
      <c r="AJ258" s="91" t="str">
        <f t="shared" si="182"/>
        <v>46851.6134128327-1046.75658154444j</v>
      </c>
      <c r="AK258" s="91" t="str">
        <f t="shared" si="183"/>
        <v>14999.9999999999-0.00107241378160034j</v>
      </c>
      <c r="AL258" s="91" t="str">
        <f t="shared" si="197"/>
        <v>10000-4662.37947123228j</v>
      </c>
      <c r="AM258" s="91" t="str">
        <f t="shared" si="198"/>
        <v>302.113213635439-1893.82862749445j</v>
      </c>
      <c r="AN258" s="91" t="str">
        <f t="shared" si="199"/>
        <v>10302.1132136354-1893.82862749445j</v>
      </c>
      <c r="AO258" s="91" t="str">
        <f t="shared" si="200"/>
        <v>6157.00336884148-661.886399637669j</v>
      </c>
      <c r="AP258" s="91" t="str">
        <f t="shared" si="201"/>
        <v>0.242446465832984+0.00410307197126989j</v>
      </c>
      <c r="AQ258" s="91" t="str">
        <f t="shared" si="184"/>
        <v>1+652.027579213007j</v>
      </c>
      <c r="AR258" s="91">
        <f t="shared" si="185"/>
        <v>-3.1067482752512751E-4</v>
      </c>
      <c r="AS258" s="91" t="str">
        <f t="shared" si="186"/>
        <v>0.0362894337869913j</v>
      </c>
      <c r="AT258" s="91" t="str">
        <f t="shared" si="187"/>
        <v>-0.000310674827525128+0.0362894337869913j</v>
      </c>
      <c r="AU258" s="91" t="str">
        <f t="shared" si="188"/>
        <v>5.38976087310663-0.0544087582419618j</v>
      </c>
      <c r="AW258" s="91" t="str">
        <f t="shared" si="202"/>
        <v>0.0682141086766508-0.382730503380385j</v>
      </c>
      <c r="AX258" s="91">
        <f t="shared" si="189"/>
        <v>-8.2063264264877471</v>
      </c>
      <c r="AY258" s="91">
        <f t="shared" si="190"/>
        <v>100.10572005270569</v>
      </c>
      <c r="AZ258" s="91" t="str">
        <f t="shared" si="191"/>
        <v>-0.00100747863703911+0.00172314786834741j</v>
      </c>
      <c r="BA258" s="91">
        <f t="shared" si="192"/>
        <v>-53.996532246330425</v>
      </c>
      <c r="BB258" s="91">
        <f t="shared" si="193"/>
        <v>-59.686311620732056</v>
      </c>
      <c r="BD258" s="91" t="str">
        <f t="shared" si="194"/>
        <v>-0.00103111760577746+0.00210368225270439j</v>
      </c>
      <c r="BE258" s="91">
        <f t="shared" si="195"/>
        <v>-52.605318878722997</v>
      </c>
      <c r="BF258" s="91">
        <f t="shared" si="196"/>
        <v>-63.888265438213196</v>
      </c>
      <c r="BH258" s="91">
        <f t="shared" si="203"/>
        <v>53.605318878722997</v>
      </c>
      <c r="BI258" s="112">
        <f t="shared" si="204"/>
        <v>63.888265438213196</v>
      </c>
      <c r="BJ258" s="95"/>
      <c r="BK258" s="95"/>
      <c r="BL258" s="95"/>
      <c r="BM258" s="95"/>
      <c r="BN258" s="46"/>
      <c r="BO258" s="46"/>
      <c r="BP258" s="46"/>
    </row>
    <row r="259" spans="1:68" s="91" customFormat="1">
      <c r="A259" s="91">
        <v>195</v>
      </c>
      <c r="B259" s="91">
        <f t="shared" si="154"/>
        <v>794328.23472428159</v>
      </c>
      <c r="C259" s="91" t="str">
        <f t="shared" si="155"/>
        <v>4990911.4934975j</v>
      </c>
      <c r="D259" s="91">
        <f t="shared" si="156"/>
        <v>-1.0858094032403018</v>
      </c>
      <c r="E259" s="91" t="str">
        <f t="shared" si="157"/>
        <v>-2.26859613340795j</v>
      </c>
      <c r="F259" s="91" t="str">
        <f t="shared" si="158"/>
        <v>-1.0858094032403-2.26859613340795j</v>
      </c>
      <c r="G259" s="91">
        <f t="shared" si="159"/>
        <v>8.0109557937493463</v>
      </c>
      <c r="H259" s="91">
        <f t="shared" si="160"/>
        <v>-115.57699514186127</v>
      </c>
      <c r="J259" s="91">
        <f t="shared" si="161"/>
        <v>7.1641791044776131</v>
      </c>
      <c r="K259" s="91" t="str">
        <f t="shared" si="162"/>
        <v>1+123.899377826075j</v>
      </c>
      <c r="L259" s="91">
        <f t="shared" si="163"/>
        <v>-2509.4009767400394</v>
      </c>
      <c r="M259" s="91" t="str">
        <f t="shared" si="164"/>
        <v>22.479586805227j</v>
      </c>
      <c r="N259" s="91" t="str">
        <f t="shared" si="165"/>
        <v>-2509.40097674004+22.479586805227j</v>
      </c>
      <c r="O259" s="91" t="str">
        <f t="shared" si="166"/>
        <v>0.0000437953988497394-0.0493736929538304j</v>
      </c>
      <c r="P259" s="91" t="str">
        <f t="shared" si="167"/>
        <v>0.000313758081311566-0.353721979370725j</v>
      </c>
      <c r="R259" s="91">
        <f t="shared" si="168"/>
        <v>11.82089552238806</v>
      </c>
      <c r="S259" s="91" t="str">
        <f t="shared" si="169"/>
        <v>1+0.374318362012312j</v>
      </c>
      <c r="T259" s="91" t="str">
        <f t="shared" si="170"/>
        <v>-2509.40097674004+22.479586805227j</v>
      </c>
      <c r="U259" s="91" t="str">
        <f t="shared" si="171"/>
        <v>-0.000397133354459293-0.000152724000380762j</v>
      </c>
      <c r="V259" s="91" t="str">
        <f t="shared" si="172"/>
        <v>-0.00469447189151881-0.00180533445226214j</v>
      </c>
      <c r="X259" s="91" t="str">
        <f t="shared" si="173"/>
        <v>-0.150290691004344+0.0717692724699613j</v>
      </c>
      <c r="Y259" s="91">
        <f t="shared" si="174"/>
        <v>-15.569229730585812</v>
      </c>
      <c r="Z259" s="91">
        <f t="shared" si="175"/>
        <v>-25.526172715829176</v>
      </c>
      <c r="AB259" s="91" t="str">
        <f t="shared" si="176"/>
        <v>-0.00439425498127661-0.00168988122477746j</v>
      </c>
      <c r="AC259" s="91">
        <f t="shared" si="177"/>
        <v>-46.54328827753406</v>
      </c>
      <c r="AD259" s="91">
        <f t="shared" si="178"/>
        <v>21.035047943623454</v>
      </c>
      <c r="AF259" s="91" t="str">
        <f t="shared" si="179"/>
        <v>-0.00530163678184967-0.00154098183482513j</v>
      </c>
      <c r="AG259" s="91">
        <f t="shared" si="180"/>
        <v>-45.159568606573757</v>
      </c>
      <c r="AH259" s="91">
        <f t="shared" si="181"/>
        <v>16.207115117818063</v>
      </c>
      <c r="AJ259" s="91" t="str">
        <f t="shared" si="182"/>
        <v>46849.3583513319-1096.0359424624j</v>
      </c>
      <c r="AK259" s="91" t="str">
        <f t="shared" si="183"/>
        <v>14999.9999999999-0.00112295508603693j</v>
      </c>
      <c r="AL259" s="91" t="str">
        <f t="shared" si="197"/>
        <v>9999.99999999996-4452.53782824536j</v>
      </c>
      <c r="AM259" s="91" t="str">
        <f t="shared" si="198"/>
        <v>283.351028156291-1820.70550283739j</v>
      </c>
      <c r="AN259" s="91" t="str">
        <f t="shared" si="199"/>
        <v>10283.3510281563-1820.70550283739j</v>
      </c>
      <c r="AO259" s="91" t="str">
        <f t="shared" si="200"/>
        <v>6146.7736103972-637.539012635421j</v>
      </c>
      <c r="AP259" s="91" t="str">
        <f t="shared" si="201"/>
        <v>0.242448609838406+0.00429643163599657j</v>
      </c>
      <c r="AQ259" s="91" t="str">
        <f t="shared" si="184"/>
        <v>1+682.756692310458j</v>
      </c>
      <c r="AR259" s="91">
        <f t="shared" si="185"/>
        <v>-3.4065782229145949E-4</v>
      </c>
      <c r="AS259" s="91" t="str">
        <f t="shared" si="186"/>
        <v>0.0379997021109614j</v>
      </c>
      <c r="AT259" s="91" t="str">
        <f t="shared" si="187"/>
        <v>-0.000340657822291459+0.0379997021109614j</v>
      </c>
      <c r="AU259" s="91" t="str">
        <f t="shared" si="188"/>
        <v>5.38972273862565-0.0562123146296667j</v>
      </c>
      <c r="AW259" s="91" t="str">
        <f t="shared" si="202"/>
        <v>0.0584535654517096-0.367809745539164j</v>
      </c>
      <c r="AX259" s="91">
        <f t="shared" si="189"/>
        <v>-8.5792094560585479</v>
      </c>
      <c r="AY259" s="91">
        <f t="shared" si="190"/>
        <v>99.030120414901376</v>
      </c>
      <c r="AZ259" s="91" t="str">
        <f t="shared" si="191"/>
        <v>-0.000878414654436363+0.00151747022371941j</v>
      </c>
      <c r="BA259" s="91">
        <f t="shared" si="192"/>
        <v>-55.122497733592596</v>
      </c>
      <c r="BB259" s="91">
        <f t="shared" si="193"/>
        <v>-59.934831641475142</v>
      </c>
      <c r="BD259" s="91" t="str">
        <f t="shared" si="194"/>
        <v>-0.000876687709176549+0.00185991779313135j</v>
      </c>
      <c r="BE259" s="91">
        <f t="shared" si="195"/>
        <v>-53.738778062632313</v>
      </c>
      <c r="BF259" s="91">
        <f t="shared" si="196"/>
        <v>-64.762764467280462</v>
      </c>
      <c r="BH259" s="91">
        <f t="shared" si="203"/>
        <v>54.738778062632313</v>
      </c>
      <c r="BI259" s="112">
        <f t="shared" si="204"/>
        <v>64.762764467280462</v>
      </c>
      <c r="BJ259" s="95"/>
      <c r="BK259" s="95"/>
      <c r="BL259" s="95"/>
      <c r="BM259" s="95"/>
      <c r="BN259" s="46"/>
      <c r="BO259" s="46"/>
      <c r="BP259" s="46"/>
    </row>
    <row r="260" spans="1:68" s="91" customFormat="1">
      <c r="A260" s="91">
        <v>196</v>
      </c>
      <c r="B260" s="91">
        <f t="shared" si="154"/>
        <v>831763.77110267093</v>
      </c>
      <c r="C260" s="91" t="str">
        <f t="shared" si="155"/>
        <v>5226125.90563659j</v>
      </c>
      <c r="D260" s="91">
        <f t="shared" si="156"/>
        <v>-1.2870445319634314</v>
      </c>
      <c r="E260" s="91" t="str">
        <f t="shared" si="157"/>
        <v>-2.37551177528936j</v>
      </c>
      <c r="F260" s="91" t="str">
        <f t="shared" si="158"/>
        <v>-1.28704453196343-2.37551177528936j</v>
      </c>
      <c r="G260" s="91">
        <f t="shared" si="159"/>
        <v>8.6329548215409968</v>
      </c>
      <c r="H260" s="91">
        <f t="shared" si="160"/>
        <v>-118.44869029231842</v>
      </c>
      <c r="J260" s="91">
        <f t="shared" si="161"/>
        <v>7.1641791044776131</v>
      </c>
      <c r="K260" s="91" t="str">
        <f t="shared" si="162"/>
        <v>1+129.738575607428j</v>
      </c>
      <c r="L260" s="91">
        <f t="shared" si="163"/>
        <v>-2751.5999345720229</v>
      </c>
      <c r="M260" s="91" t="str">
        <f t="shared" si="164"/>
        <v>23.5390170921415j</v>
      </c>
      <c r="N260" s="91" t="str">
        <f t="shared" si="165"/>
        <v>-2751.59993457202+23.5390170921415j</v>
      </c>
      <c r="O260" s="91" t="str">
        <f t="shared" si="166"/>
        <v>0.000039926618093603-0.0471498905578588j</v>
      </c>
      <c r="P260" s="91" t="str">
        <f t="shared" si="167"/>
        <v>0.000286041443058648-0.337790260713018j</v>
      </c>
      <c r="R260" s="91">
        <f t="shared" si="168"/>
        <v>11.82089552238806</v>
      </c>
      <c r="S260" s="91" t="str">
        <f t="shared" si="169"/>
        <v>1+0.391959442922744j</v>
      </c>
      <c r="T260" s="91" t="str">
        <f t="shared" si="170"/>
        <v>-2751.59993457202+23.5390170921415j</v>
      </c>
      <c r="U260" s="91" t="str">
        <f t="shared" si="171"/>
        <v>-0.000362179826350283-0.000145546158441788j</v>
      </c>
      <c r="V260" s="91" t="str">
        <f t="shared" si="172"/>
        <v>-0.00428128988760334-0.00172048593262531j</v>
      </c>
      <c r="X260" s="91" t="str">
        <f t="shared" si="173"/>
        <v>-0.1502906711227+0.0812624462366002j</v>
      </c>
      <c r="Y260" s="91">
        <f t="shared" si="174"/>
        <v>-15.347529463747305</v>
      </c>
      <c r="Z260" s="91">
        <f t="shared" si="175"/>
        <v>-28.40017212752241</v>
      </c>
      <c r="AB260" s="91" t="str">
        <f t="shared" si="176"/>
        <v>-0.00400749644467538-0.0016104588661642j</v>
      </c>
      <c r="AC260" s="91">
        <f t="shared" si="177"/>
        <v>-47.292372119324433</v>
      </c>
      <c r="AD260" s="91">
        <f t="shared" si="178"/>
        <v>21.89329944170899</v>
      </c>
      <c r="AF260" s="91" t="str">
        <f t="shared" si="179"/>
        <v>-0.00485318514510821-0.00143116843361053j</v>
      </c>
      <c r="AG260" s="91">
        <f t="shared" si="180"/>
        <v>-45.917320585751682</v>
      </c>
      <c r="AH260" s="91">
        <f t="shared" si="181"/>
        <v>16.430398655036839</v>
      </c>
      <c r="AJ260" s="91" t="str">
        <f t="shared" si="182"/>
        <v>46846.8859750591-1147.62995809059j</v>
      </c>
      <c r="AK260" s="91" t="str">
        <f t="shared" si="183"/>
        <v>14999.9999999999-0.00117587832876823j</v>
      </c>
      <c r="AL260" s="91" t="str">
        <f t="shared" si="197"/>
        <v>10000-4252.1406149543j</v>
      </c>
      <c r="AM260" s="91" t="str">
        <f t="shared" si="198"/>
        <v>265.286413074869-1749.89818264292j</v>
      </c>
      <c r="AN260" s="91" t="str">
        <f t="shared" si="199"/>
        <v>10265.2864130749-1749.89818264292j</v>
      </c>
      <c r="AO260" s="91" t="str">
        <f t="shared" si="200"/>
        <v>6137.01673724945-613.858988378554j</v>
      </c>
      <c r="AP260" s="91" t="str">
        <f t="shared" si="201"/>
        <v>0.242450960679656+0.00449890225953374j</v>
      </c>
      <c r="AQ260" s="91" t="str">
        <f t="shared" si="184"/>
        <v>1+714.934023891085j</v>
      </c>
      <c r="AR260" s="91">
        <f t="shared" si="185"/>
        <v>-3.7353352230782151E-4</v>
      </c>
      <c r="AS260" s="91" t="str">
        <f t="shared" si="186"/>
        <v>0.0397905728978178j</v>
      </c>
      <c r="AT260" s="91" t="str">
        <f t="shared" si="187"/>
        <v>-0.000373533522307822+0.0397905728978178j</v>
      </c>
      <c r="AU260" s="91" t="str">
        <f t="shared" si="188"/>
        <v>5.38968092598798-0.0581350388279139j</v>
      </c>
      <c r="AW260" s="91" t="str">
        <f t="shared" si="202"/>
        <v>0.0494303769962027-0.353189658653843j</v>
      </c>
      <c r="AX260" s="91">
        <f t="shared" si="189"/>
        <v>-8.9555967636612106</v>
      </c>
      <c r="AY260" s="91">
        <f t="shared" si="190"/>
        <v>97.967036814585327</v>
      </c>
      <c r="AZ260" s="91" t="str">
        <f t="shared" si="191"/>
        <v>-0.000766889477287836+0.00133580071246001j</v>
      </c>
      <c r="BA260" s="91">
        <f t="shared" si="192"/>
        <v>-56.24796888298566</v>
      </c>
      <c r="BB260" s="91">
        <f t="shared" si="193"/>
        <v>-60.139663743705583</v>
      </c>
      <c r="BD260" s="91" t="str">
        <f t="shared" si="194"/>
        <v>-0.000745368661898128+0.00164335160956623j</v>
      </c>
      <c r="BE260" s="91">
        <f t="shared" si="195"/>
        <v>-54.87291734941293</v>
      </c>
      <c r="BF260" s="91">
        <f t="shared" si="196"/>
        <v>-65.602564530377734</v>
      </c>
      <c r="BH260" s="91">
        <f t="shared" si="203"/>
        <v>55.87291734941293</v>
      </c>
      <c r="BI260" s="112">
        <f t="shared" si="204"/>
        <v>65.602564530377734</v>
      </c>
      <c r="BJ260" s="95"/>
      <c r="BK260" s="95"/>
      <c r="BL260" s="95"/>
      <c r="BM260" s="95"/>
      <c r="BN260" s="46"/>
      <c r="BO260" s="46"/>
      <c r="BP260" s="46"/>
    </row>
    <row r="261" spans="1:68" s="91" customFormat="1">
      <c r="A261" s="91">
        <v>197</v>
      </c>
      <c r="B261" s="91">
        <f t="shared" si="154"/>
        <v>870963.58995608194</v>
      </c>
      <c r="C261" s="91" t="str">
        <f t="shared" si="155"/>
        <v>5472425.63150044j</v>
      </c>
      <c r="D261" s="91">
        <f t="shared" si="156"/>
        <v>-1.5076944629064011</v>
      </c>
      <c r="E261" s="91" t="str">
        <f t="shared" si="157"/>
        <v>-2.48746619613656j</v>
      </c>
      <c r="F261" s="91" t="str">
        <f t="shared" si="158"/>
        <v>-1.5076944629064-2.48746619613656j</v>
      </c>
      <c r="G261" s="91">
        <f t="shared" si="159"/>
        <v>9.2740273732582033</v>
      </c>
      <c r="H261" s="91">
        <f t="shared" si="160"/>
        <v>-121.22074755327223</v>
      </c>
      <c r="J261" s="91">
        <f t="shared" si="161"/>
        <v>7.1641791044776131</v>
      </c>
      <c r="K261" s="91" t="str">
        <f t="shared" si="162"/>
        <v>1+135.852966301998j</v>
      </c>
      <c r="L261" s="91">
        <f t="shared" si="163"/>
        <v>-3017.1658109633845</v>
      </c>
      <c r="M261" s="91" t="str">
        <f t="shared" si="164"/>
        <v>24.6483767902395j</v>
      </c>
      <c r="N261" s="91" t="str">
        <f t="shared" si="165"/>
        <v>-3017.16581096338+24.6483767902395j</v>
      </c>
      <c r="O261" s="91" t="str">
        <f t="shared" si="166"/>
        <v>0.0000364008169085061-0.0450263848898546j</v>
      </c>
      <c r="P261" s="91" t="str">
        <f t="shared" si="167"/>
        <v>0.000260781971881835-0.322577085778063j</v>
      </c>
      <c r="R261" s="91">
        <f t="shared" si="168"/>
        <v>11.82089552238806</v>
      </c>
      <c r="S261" s="91" t="str">
        <f t="shared" si="169"/>
        <v>1+0.410431922362533j</v>
      </c>
      <c r="T261" s="91" t="str">
        <f t="shared" si="170"/>
        <v>-3017.16581096338+24.6483767902395j</v>
      </c>
      <c r="U261" s="91" t="str">
        <f t="shared" si="171"/>
        <v>-0.000330303528925562-0.000138730648039852j</v>
      </c>
      <c r="V261" s="91" t="str">
        <f t="shared" si="172"/>
        <v>-0.00390448350610515-0.00163992049623228j</v>
      </c>
      <c r="X261" s="91" t="str">
        <f t="shared" si="173"/>
        <v>-0.150290649795607+0.0909275973257638j</v>
      </c>
      <c r="Y261" s="91">
        <f t="shared" si="174"/>
        <v>-15.106729379634183</v>
      </c>
      <c r="Z261" s="91">
        <f t="shared" si="175"/>
        <v>-31.174427762544468</v>
      </c>
      <c r="AB261" s="91" t="str">
        <f t="shared" si="176"/>
        <v>-0.00365478726734137-0.00153504568266461j</v>
      </c>
      <c r="AC261" s="91">
        <f t="shared" si="177"/>
        <v>-48.037178053819346</v>
      </c>
      <c r="AD261" s="91">
        <f t="shared" si="178"/>
        <v>22.782872549876174</v>
      </c>
      <c r="AF261" s="91" t="str">
        <f t="shared" si="179"/>
        <v>-0.00444365509923175-0.00133103725512145j</v>
      </c>
      <c r="AG261" s="91">
        <f t="shared" si="180"/>
        <v>-46.67203529766347</v>
      </c>
      <c r="AH261" s="91">
        <f t="shared" si="181"/>
        <v>16.674881533044726</v>
      </c>
      <c r="AJ261" s="91" t="str">
        <f t="shared" si="182"/>
        <v>46844.1753682931-1201.64655924351j</v>
      </c>
      <c r="AK261" s="91" t="str">
        <f t="shared" si="183"/>
        <v>14999.9999999999-0.00123129576708759j</v>
      </c>
      <c r="AL261" s="91" t="str">
        <f t="shared" si="197"/>
        <v>10000-4060.76276200199j</v>
      </c>
      <c r="AM261" s="91" t="str">
        <f t="shared" si="198"/>
        <v>247.953402892145-1681.34565085036j</v>
      </c>
      <c r="AN261" s="91" t="str">
        <f t="shared" si="199"/>
        <v>10247.9534028921-1681.34565085036j</v>
      </c>
      <c r="AO261" s="91" t="str">
        <f t="shared" si="200"/>
        <v>6127.73216591641-590.834186485709j</v>
      </c>
      <c r="AP261" s="91" t="str">
        <f t="shared" si="201"/>
        <v>0.242453538309059+0.00471091296127319j</v>
      </c>
      <c r="AQ261" s="91" t="str">
        <f t="shared" si="184"/>
        <v>1+748.62782638926j</v>
      </c>
      <c r="AR261" s="91">
        <f t="shared" si="185"/>
        <v>-4.0958101055870507E-4</v>
      </c>
      <c r="AS261" s="91" t="str">
        <f t="shared" si="186"/>
        <v>0.0416658448246054j</v>
      </c>
      <c r="AT261" s="91" t="str">
        <f t="shared" si="187"/>
        <v>-0.000409581010558705+0.0416658448246054j</v>
      </c>
      <c r="AU261" s="91" t="str">
        <f t="shared" si="188"/>
        <v>5.38963508042466-0.0601809994094301j</v>
      </c>
      <c r="AW261" s="91" t="str">
        <f t="shared" si="202"/>
        <v>0.0411019025016539-0.338892449948603j</v>
      </c>
      <c r="AX261" s="91">
        <f t="shared" si="189"/>
        <v>-9.3353445548394784</v>
      </c>
      <c r="AY261" s="91">
        <f t="shared" si="190"/>
        <v>96.915230919871959</v>
      </c>
      <c r="AZ261" s="91" t="str">
        <f t="shared" si="191"/>
        <v>-0.000670434102107786+0.00117548651308581j</v>
      </c>
      <c r="BA261" s="91">
        <f t="shared" si="192"/>
        <v>-57.372522608658826</v>
      </c>
      <c r="BB261" s="91">
        <f t="shared" si="193"/>
        <v>-60.301896530251881</v>
      </c>
      <c r="BD261" s="91" t="str">
        <f t="shared" si="194"/>
        <v>-0.000633721155000573+0.00145121299981918j</v>
      </c>
      <c r="BE261" s="91">
        <f t="shared" si="195"/>
        <v>-56.007379852502936</v>
      </c>
      <c r="BF261" s="91">
        <f t="shared" si="196"/>
        <v>-66.409887547083315</v>
      </c>
      <c r="BH261" s="91">
        <f t="shared" si="203"/>
        <v>57.007379852502936</v>
      </c>
      <c r="BI261" s="112">
        <f t="shared" si="204"/>
        <v>66.409887547083315</v>
      </c>
      <c r="BJ261" s="95"/>
      <c r="BK261" s="95"/>
      <c r="BL261" s="95"/>
      <c r="BM261" s="95"/>
      <c r="BN261" s="46"/>
      <c r="BO261" s="46"/>
      <c r="BP261" s="46"/>
    </row>
    <row r="262" spans="1:68" s="91" customFormat="1">
      <c r="A262" s="91">
        <v>198</v>
      </c>
      <c r="B262" s="91">
        <f t="shared" si="154"/>
        <v>912010.8393559109</v>
      </c>
      <c r="C262" s="91" t="str">
        <f t="shared" si="155"/>
        <v>5730333.10582958j</v>
      </c>
      <c r="D262" s="91">
        <f t="shared" si="156"/>
        <v>-1.7496323011658621</v>
      </c>
      <c r="E262" s="91" t="str">
        <f t="shared" si="157"/>
        <v>-2.60469686628617j</v>
      </c>
      <c r="F262" s="91" t="str">
        <f t="shared" si="158"/>
        <v>-1.74963230116586-2.60469686628617j</v>
      </c>
      <c r="G262" s="91">
        <f t="shared" si="159"/>
        <v>9.9324478809593035</v>
      </c>
      <c r="H262" s="91">
        <f t="shared" si="160"/>
        <v>-123.89012805026923</v>
      </c>
      <c r="J262" s="91">
        <f t="shared" si="161"/>
        <v>7.1641791044776131</v>
      </c>
      <c r="K262" s="91" t="str">
        <f t="shared" si="162"/>
        <v>1+142.255519352219j</v>
      </c>
      <c r="L262" s="91">
        <f t="shared" si="163"/>
        <v>-3308.3530040661626</v>
      </c>
      <c r="M262" s="91" t="str">
        <f t="shared" si="164"/>
        <v>25.810019000175j</v>
      </c>
      <c r="N262" s="91" t="str">
        <f t="shared" si="165"/>
        <v>-3308.35300406616+25.810019000175j</v>
      </c>
      <c r="O262" s="91" t="str">
        <f t="shared" si="166"/>
        <v>0.0000331873842939765-0.0429986348525567j</v>
      </c>
      <c r="P262" s="91" t="str">
        <f t="shared" si="167"/>
        <v>0.000237760365091175-0.30804992133175j</v>
      </c>
      <c r="R262" s="91">
        <f t="shared" si="168"/>
        <v>11.82089552238806</v>
      </c>
      <c r="S262" s="91" t="str">
        <f t="shared" si="169"/>
        <v>1+0.429774982937218j</v>
      </c>
      <c r="T262" s="91" t="str">
        <f t="shared" si="170"/>
        <v>-3308.35300406616+25.810019000175j</v>
      </c>
      <c r="U262" s="91" t="str">
        <f t="shared" si="171"/>
        <v>-0.000301233413319025-0.000132256087098534j</v>
      </c>
      <c r="V262" s="91" t="str">
        <f t="shared" si="172"/>
        <v>-0.00356084870669653-0.00156338538779163j</v>
      </c>
      <c r="X262" s="91" t="str">
        <f t="shared" si="173"/>
        <v>-0.150290627688193+0.10078527732667j</v>
      </c>
      <c r="Y262" s="91">
        <f t="shared" si="174"/>
        <v>-14.848557360664049</v>
      </c>
      <c r="Z262" s="91">
        <f t="shared" si="175"/>
        <v>-33.84590579339843</v>
      </c>
      <c r="AB262" s="91" t="str">
        <f t="shared" si="176"/>
        <v>-0.00333312831103377-0.00146340508298065j</v>
      </c>
      <c r="AC262" s="91">
        <f t="shared" si="177"/>
        <v>-48.777415539500723</v>
      </c>
      <c r="AD262" s="91">
        <f t="shared" si="178"/>
        <v>23.70380550951117</v>
      </c>
      <c r="AF262" s="91" t="str">
        <f t="shared" si="179"/>
        <v>-0.00406969110156877-0.00123952985690814j</v>
      </c>
      <c r="AG262" s="91">
        <f t="shared" si="180"/>
        <v>-47.423497408938687</v>
      </c>
      <c r="AH262" s="91">
        <f t="shared" si="181"/>
        <v>16.939472510676325</v>
      </c>
      <c r="AJ262" s="91" t="str">
        <f t="shared" si="182"/>
        <v>46841.203607584-1258.19859257551j</v>
      </c>
      <c r="AK262" s="91" t="str">
        <f t="shared" si="183"/>
        <v>14999.9999999999-0.00128932494881165j</v>
      </c>
      <c r="AL262" s="91" t="str">
        <f t="shared" si="197"/>
        <v>10000-3877.99833130383j</v>
      </c>
      <c r="AM262" s="91" t="str">
        <f t="shared" si="198"/>
        <v>231.377396182263-1614.99348142377j</v>
      </c>
      <c r="AN262" s="91" t="str">
        <f t="shared" si="199"/>
        <v>10231.3773961823-1614.99348142377j</v>
      </c>
      <c r="AO262" s="91" t="str">
        <f t="shared" si="200"/>
        <v>6118.91724607504-568.454739218533j</v>
      </c>
      <c r="AP262" s="91" t="str">
        <f t="shared" si="201"/>
        <v>0.242456364603335+0.00493291304484849j</v>
      </c>
      <c r="AQ262" s="91" t="str">
        <f t="shared" si="184"/>
        <v>1+783.909568877486j</v>
      </c>
      <c r="AR262" s="91">
        <f t="shared" si="185"/>
        <v>-4.4910629545152572E-4</v>
      </c>
      <c r="AS262" s="91" t="str">
        <f t="shared" si="186"/>
        <v>0.0436294955945031j</v>
      </c>
      <c r="AT262" s="91" t="str">
        <f t="shared" si="187"/>
        <v>-0.000449106295451526+0.0436294955945031j</v>
      </c>
      <c r="AU262" s="91" t="str">
        <f t="shared" si="188"/>
        <v>5.38958481296745-0.0623545248988935j</v>
      </c>
      <c r="AW262" s="91" t="str">
        <f t="shared" si="202"/>
        <v>0.0334264566010806-0.324935947657441j</v>
      </c>
      <c r="AX262" s="91">
        <f t="shared" si="189"/>
        <v>-9.7183273922867155</v>
      </c>
      <c r="AY262" s="91">
        <f t="shared" si="190"/>
        <v>95.873408816782359</v>
      </c>
      <c r="AZ262" s="91" t="str">
        <f t="shared" si="191"/>
        <v>-0.000586927586279638+0.00103413675991355j</v>
      </c>
      <c r="BA262" s="91">
        <f t="shared" si="192"/>
        <v>-58.49574293178744</v>
      </c>
      <c r="BB262" s="91">
        <f t="shared" si="193"/>
        <v>-60.422785673706414</v>
      </c>
      <c r="BD262" s="91" t="str">
        <f t="shared" si="194"/>
        <v>-0.000538803161690533+0.00128095584379362j</v>
      </c>
      <c r="BE262" s="91">
        <f t="shared" si="195"/>
        <v>-57.141824801225397</v>
      </c>
      <c r="BF262" s="91">
        <f t="shared" si="196"/>
        <v>-67.187118672541246</v>
      </c>
      <c r="BH262" s="91">
        <f t="shared" si="203"/>
        <v>58.141824801225397</v>
      </c>
      <c r="BI262" s="112">
        <f t="shared" si="204"/>
        <v>67.187118672541246</v>
      </c>
      <c r="BJ262" s="95"/>
      <c r="BK262" s="95"/>
      <c r="BL262" s="95"/>
      <c r="BM262" s="95"/>
      <c r="BN262" s="46"/>
      <c r="BO262" s="46"/>
      <c r="BP262" s="46"/>
    </row>
    <row r="263" spans="1:68" s="91" customFormat="1">
      <c r="A263" s="91">
        <v>199</v>
      </c>
      <c r="B263" s="91">
        <f t="shared" si="154"/>
        <v>954992.58602143696</v>
      </c>
      <c r="C263" s="91" t="str">
        <f t="shared" si="155"/>
        <v>6000395.38495533j</v>
      </c>
      <c r="D263" s="91">
        <f t="shared" si="156"/>
        <v>-2.0149118656393759</v>
      </c>
      <c r="E263" s="91" t="str">
        <f t="shared" si="157"/>
        <v>-2.72745244770697j</v>
      </c>
      <c r="F263" s="91" t="str">
        <f t="shared" si="158"/>
        <v>-2.01491186563938-2.72745244770697j</v>
      </c>
      <c r="G263" s="91">
        <f t="shared" si="159"/>
        <v>10.606550387422731</v>
      </c>
      <c r="H263" s="91">
        <f t="shared" si="160"/>
        <v>-126.45522209183456</v>
      </c>
      <c r="J263" s="91">
        <f t="shared" si="161"/>
        <v>7.1641791044776131</v>
      </c>
      <c r="K263" s="91" t="str">
        <f t="shared" si="162"/>
        <v>1+148.959815431516j</v>
      </c>
      <c r="L263" s="91">
        <f t="shared" si="163"/>
        <v>-3627.6334122994922</v>
      </c>
      <c r="M263" s="91" t="str">
        <f t="shared" si="164"/>
        <v>27.0264077208193j</v>
      </c>
      <c r="N263" s="91" t="str">
        <f t="shared" si="165"/>
        <v>-3627.63341229949+27.0264077208193j</v>
      </c>
      <c r="O263" s="91" t="str">
        <f t="shared" si="166"/>
        <v>0.0000302584755353422-0.0410623072189637j</v>
      </c>
      <c r="P263" s="91" t="str">
        <f t="shared" si="167"/>
        <v>0.000216777138163646-0.29417772335974j</v>
      </c>
      <c r="R263" s="91">
        <f t="shared" si="168"/>
        <v>11.82089552238806</v>
      </c>
      <c r="S263" s="91" t="str">
        <f t="shared" si="169"/>
        <v>1+0.45002965387165j</v>
      </c>
      <c r="T263" s="91" t="str">
        <f t="shared" si="170"/>
        <v>-3627.63341229949+27.0264077208193j</v>
      </c>
      <c r="U263" s="91" t="str">
        <f t="shared" si="171"/>
        <v>-0.000274722328146823-0.000126102712024638j</v>
      </c>
      <c r="V263" s="91" t="str">
        <f t="shared" si="172"/>
        <v>-0.0032474639386908-0.00149064698393303j</v>
      </c>
      <c r="X263" s="91" t="str">
        <f t="shared" si="173"/>
        <v>-0.15029060531645+0.110856439685426j</v>
      </c>
      <c r="Y263" s="91">
        <f t="shared" si="174"/>
        <v>-14.574681474726326</v>
      </c>
      <c r="Z263" s="91">
        <f t="shared" si="175"/>
        <v>-36.413001312090501</v>
      </c>
      <c r="AB263" s="91" t="str">
        <f t="shared" si="176"/>
        <v>-0.00303978486161334-0.00139531838422691j</v>
      </c>
      <c r="AC263" s="91">
        <f t="shared" si="177"/>
        <v>-49.512783881539512</v>
      </c>
      <c r="AD263" s="91">
        <f t="shared" si="178"/>
        <v>24.656012396708661</v>
      </c>
      <c r="AF263" s="91" t="str">
        <f t="shared" si="179"/>
        <v>-0.00372821960708833-0.00115571422225527j</v>
      </c>
      <c r="AG263" s="91">
        <f t="shared" si="180"/>
        <v>-48.171490807716296</v>
      </c>
      <c r="AH263" s="91">
        <f t="shared" si="181"/>
        <v>17.222961504514814</v>
      </c>
      <c r="AJ263" s="91" t="str">
        <f t="shared" si="182"/>
        <v>46837.9455701058-1317.40402706087j</v>
      </c>
      <c r="AK263" s="91" t="str">
        <f t="shared" si="183"/>
        <v>14999.9999999999-0.00135008896161494j</v>
      </c>
      <c r="AL263" s="91" t="str">
        <f t="shared" si="197"/>
        <v>10000-3703.45965499866j</v>
      </c>
      <c r="AM263" s="91" t="str">
        <f t="shared" si="198"/>
        <v>215.575498682452-1550.79244626278j</v>
      </c>
      <c r="AN263" s="91" t="str">
        <f t="shared" si="199"/>
        <v>10215.5754986825-1550.79244626278j</v>
      </c>
      <c r="AO263" s="91" t="str">
        <f t="shared" si="200"/>
        <v>6110.56720777694-546.712517768504j</v>
      </c>
      <c r="AP263" s="91" t="str">
        <f t="shared" si="201"/>
        <v>0.242459463549146+0.0051653729435339j</v>
      </c>
      <c r="AQ263" s="91" t="str">
        <f t="shared" si="184"/>
        <v>1+820.854088661889j</v>
      </c>
      <c r="AR263" s="91">
        <f t="shared" si="185"/>
        <v>-4.9244490853285114E-4</v>
      </c>
      <c r="AS263" s="91" t="str">
        <f t="shared" si="186"/>
        <v>0.0456856903740652j</v>
      </c>
      <c r="AT263" s="91" t="str">
        <f t="shared" si="187"/>
        <v>-0.000492444908532851+0.0456856903740652j</v>
      </c>
      <c r="AU263" s="91" t="str">
        <f t="shared" si="188"/>
        <v>5.38952969715426-0.0646602127397676j</v>
      </c>
      <c r="AW263" s="91" t="str">
        <f t="shared" si="202"/>
        <v>0.0263636053602821-0.31133400646096j</v>
      </c>
      <c r="AX263" s="91">
        <f t="shared" si="189"/>
        <v>-10.104438320690914</v>
      </c>
      <c r="AY263" s="91">
        <f t="shared" si="190"/>
        <v>94.840230369957894</v>
      </c>
      <c r="AZ263" s="91" t="str">
        <f t="shared" si="191"/>
        <v>-0.000514549751321731+0.00090960277651175j</v>
      </c>
      <c r="BA263" s="91">
        <f t="shared" si="192"/>
        <v>-59.617222202230437</v>
      </c>
      <c r="BB263" s="91">
        <f t="shared" si="193"/>
        <v>-60.503757233333431</v>
      </c>
      <c r="BD263" s="91" t="str">
        <f t="shared" si="194"/>
        <v>-0.00045810244955639+0.00113025275357631j</v>
      </c>
      <c r="BE263" s="91">
        <f t="shared" si="195"/>
        <v>-58.275929128407228</v>
      </c>
      <c r="BF263" s="91">
        <f t="shared" si="196"/>
        <v>-67.936808125527193</v>
      </c>
      <c r="BH263" s="91">
        <f t="shared" si="203"/>
        <v>59.275929128407228</v>
      </c>
      <c r="BI263" s="112">
        <f t="shared" si="204"/>
        <v>67.936808125527193</v>
      </c>
      <c r="BJ263" s="95"/>
      <c r="BK263" s="95"/>
      <c r="BL263" s="95"/>
      <c r="BM263" s="95"/>
      <c r="BN263" s="46"/>
      <c r="BO263" s="46"/>
      <c r="BP263" s="46"/>
    </row>
    <row r="264" spans="1:68" s="91" customFormat="1">
      <c r="A264" s="91">
        <v>200</v>
      </c>
      <c r="B264" s="91">
        <f t="shared" si="154"/>
        <v>1000000</v>
      </c>
      <c r="C264" s="91" t="str">
        <f t="shared" si="155"/>
        <v>6283185.30717959j</v>
      </c>
      <c r="D264" s="91">
        <f t="shared" si="156"/>
        <v>-2.305785123966948</v>
      </c>
      <c r="E264" s="91" t="str">
        <f t="shared" si="157"/>
        <v>-2.85599332144527j</v>
      </c>
      <c r="F264" s="91" t="str">
        <f t="shared" si="158"/>
        <v>-2.30578512396695-2.85599332144527j</v>
      </c>
      <c r="G264" s="91">
        <f t="shared" si="159"/>
        <v>11.29475362507123</v>
      </c>
      <c r="H264" s="91">
        <f t="shared" si="160"/>
        <v>-128.91565892932508</v>
      </c>
      <c r="J264" s="91">
        <f t="shared" si="161"/>
        <v>7.1641791044776131</v>
      </c>
      <c r="K264" s="91" t="str">
        <f t="shared" si="162"/>
        <v>1+155.980075250733j</v>
      </c>
      <c r="L264" s="91">
        <f t="shared" si="163"/>
        <v>-3977.717418383038</v>
      </c>
      <c r="M264" s="91" t="str">
        <f t="shared" si="164"/>
        <v>28.3001230757331j</v>
      </c>
      <c r="N264" s="91" t="str">
        <f t="shared" si="165"/>
        <v>-3977.71741838304+28.3001230757331j</v>
      </c>
      <c r="O264" s="91" t="str">
        <f t="shared" si="166"/>
        <v>0.000027588756524162-0.0392132668260115j</v>
      </c>
      <c r="P264" s="91" t="str">
        <f t="shared" si="167"/>
        <v>0.000197650793008922-0.280930866813217j</v>
      </c>
      <c r="R264" s="91">
        <f t="shared" si="168"/>
        <v>11.82089552238806</v>
      </c>
      <c r="S264" s="91" t="str">
        <f t="shared" si="169"/>
        <v>1+0.471238898038469j</v>
      </c>
      <c r="T264" s="91" t="str">
        <f t="shared" si="170"/>
        <v>-3977.71741838304+28.3001230757331j</v>
      </c>
      <c r="U264" s="91" t="str">
        <f t="shared" si="171"/>
        <v>-0.000250544908688146-0.000120252219923854j</v>
      </c>
      <c r="V264" s="91" t="str">
        <f t="shared" si="172"/>
        <v>-0.00296166518926883-0.00142148892805511j</v>
      </c>
      <c r="X264" s="91" t="str">
        <f t="shared" si="173"/>
        <v>-0.150290583075624+0.121162484992872j</v>
      </c>
      <c r="Y264" s="91">
        <f t="shared" si="174"/>
        <v>-14.286684914217926</v>
      </c>
      <c r="Z264" s="91">
        <f t="shared" si="175"/>
        <v>-38.875348106535142</v>
      </c>
      <c r="AB264" s="91" t="str">
        <f t="shared" si="176"/>
        <v>-0.00277226327296371-0.00133058306605704j</v>
      </c>
      <c r="AC264" s="91">
        <f t="shared" si="177"/>
        <v>-50.242973612045631</v>
      </c>
      <c r="AD264" s="91">
        <f t="shared" si="178"/>
        <v>25.639270545153636</v>
      </c>
      <c r="AF264" s="91" t="str">
        <f t="shared" si="179"/>
        <v>-0.00341642633826271-0.00107876921552302j</v>
      </c>
      <c r="AG264" s="91">
        <f t="shared" si="180"/>
        <v>-48.915800377624123</v>
      </c>
      <c r="AH264" s="91">
        <f t="shared" si="181"/>
        <v>17.524008908877676</v>
      </c>
      <c r="AJ264" s="91" t="str">
        <f t="shared" si="182"/>
        <v>46834.3737239331-1379.38616649925j</v>
      </c>
      <c r="AK264" s="91" t="str">
        <f t="shared" si="183"/>
        <v>14999.9999999999-0.0014137166941154j</v>
      </c>
      <c r="AL264" s="91" t="str">
        <f t="shared" si="197"/>
        <v>10000-3536.77651315322j</v>
      </c>
      <c r="AM264" s="91" t="str">
        <f t="shared" si="198"/>
        <v>200.55701239055-1488.69725792815j</v>
      </c>
      <c r="AN264" s="91" t="str">
        <f t="shared" si="199"/>
        <v>10200.5570123906-1488.69725792815j</v>
      </c>
      <c r="AO264" s="91" t="str">
        <f t="shared" si="200"/>
        <v>6102.67518996054-525.600637888011j</v>
      </c>
      <c r="AP264" s="91" t="str">
        <f t="shared" si="201"/>
        <v>0.242462861446517+0.00540878520933092j</v>
      </c>
      <c r="AQ264" s="91" t="str">
        <f t="shared" si="184"/>
        <v>1+859.539750022168j</v>
      </c>
      <c r="AR264" s="91">
        <f t="shared" si="185"/>
        <v>-5.3996475282761067E-4</v>
      </c>
      <c r="AS264" s="91" t="str">
        <f t="shared" si="186"/>
        <v>0.0478387906280978j</v>
      </c>
      <c r="AT264" s="91" t="str">
        <f t="shared" si="187"/>
        <v>-0.000539964752827611+0.0478387906280978j</v>
      </c>
      <c r="AU264" s="91" t="str">
        <f t="shared" si="188"/>
        <v>5.38946926541775-0.0671029387997916j</v>
      </c>
      <c r="AW264" s="91" t="str">
        <f t="shared" si="202"/>
        <v>0.0198743983788919-0.298096906908594j</v>
      </c>
      <c r="AX264" s="91">
        <f t="shared" si="189"/>
        <v>-10.493588935831173</v>
      </c>
      <c r="AY264" s="91">
        <f t="shared" si="190"/>
        <v>93.814318094260486</v>
      </c>
      <c r="AZ264" s="91" t="str">
        <f t="shared" si="191"/>
        <v>-0.00045173976107461+0.000799958568875752j</v>
      </c>
      <c r="BA264" s="91">
        <f t="shared" si="192"/>
        <v>-60.736562547876794</v>
      </c>
      <c r="BB264" s="91">
        <f t="shared" si="193"/>
        <v>-60.546411360585807</v>
      </c>
      <c r="BD264" s="91" t="str">
        <f t="shared" si="194"/>
        <v>-0.000389477184494396+0.000996986234968979j</v>
      </c>
      <c r="BE264" s="91">
        <f t="shared" si="195"/>
        <v>-59.409389313455286</v>
      </c>
      <c r="BF264" s="91">
        <f t="shared" si="196"/>
        <v>-68.661672996861796</v>
      </c>
      <c r="BH264" s="91">
        <f t="shared" si="203"/>
        <v>60.409389313455286</v>
      </c>
      <c r="BI264" s="112">
        <f t="shared" si="204"/>
        <v>68.661672996861796</v>
      </c>
      <c r="BJ264" s="95"/>
      <c r="BK264" s="95"/>
      <c r="BL264" s="95"/>
      <c r="BM264" s="95"/>
      <c r="BN264" s="46"/>
      <c r="BO264" s="46"/>
      <c r="BP264" s="46"/>
    </row>
    <row r="265" spans="1:68" s="87" customFormat="1">
      <c r="BN265" s="46"/>
      <c r="BO265" s="46"/>
      <c r="BP265" s="46"/>
    </row>
    <row r="266" spans="1:68" s="87" customFormat="1">
      <c r="BN266" s="46"/>
      <c r="BO266" s="46"/>
      <c r="BP266" s="46"/>
    </row>
    <row r="267" spans="1:68" s="87" customFormat="1">
      <c r="BN267" s="46"/>
      <c r="BO267" s="46"/>
      <c r="BP267" s="46"/>
    </row>
    <row r="268" spans="1:68" s="87" customFormat="1">
      <c r="BN268" s="46"/>
      <c r="BO268" s="46"/>
      <c r="BP268" s="46"/>
    </row>
    <row r="269" spans="1:68" s="87" customFormat="1">
      <c r="BN269" s="46"/>
      <c r="BO269" s="46"/>
      <c r="BP269" s="46"/>
    </row>
    <row r="270" spans="1:68" s="87" customFormat="1">
      <c r="BN270" s="46"/>
      <c r="BO270" s="46"/>
      <c r="BP270" s="46"/>
    </row>
    <row r="271" spans="1:68" s="87" customFormat="1">
      <c r="BN271" s="46"/>
      <c r="BO271" s="46"/>
      <c r="BP271" s="46"/>
    </row>
    <row r="272" spans="1:68" s="87" customFormat="1">
      <c r="BN272" s="46"/>
      <c r="BO272" s="46"/>
      <c r="BP272" s="46"/>
    </row>
    <row r="273" spans="1:68" s="87" customFormat="1">
      <c r="BN273" s="46"/>
      <c r="BO273" s="46"/>
      <c r="BP273" s="46"/>
    </row>
    <row r="274" spans="1:68" s="87" customFormat="1">
      <c r="BN274" s="46"/>
      <c r="BO274" s="46"/>
      <c r="BP274" s="46"/>
    </row>
    <row r="275" spans="1:68" s="45" customForma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BN275" s="46"/>
      <c r="BO275" s="46"/>
      <c r="BP275" s="46"/>
    </row>
    <row r="276" spans="1:68" s="45" customForma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BN276" s="46"/>
      <c r="BO276" s="46"/>
      <c r="BP276" s="46"/>
    </row>
    <row r="277" spans="1:68" s="45" customForma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BN277" s="46"/>
      <c r="BO277" s="46"/>
      <c r="BP277" s="46"/>
    </row>
    <row r="278" spans="1:68" s="45" customForma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BN278" s="46"/>
      <c r="BO278" s="46"/>
      <c r="BP278" s="46"/>
    </row>
    <row r="279" spans="1:68" s="45" customFormat="1">
      <c r="BN279" s="46"/>
      <c r="BO279" s="46"/>
      <c r="BP279" s="46"/>
    </row>
    <row r="280" spans="1:68">
      <c r="BN280" s="46"/>
      <c r="BO280" s="46"/>
      <c r="BP280" s="46"/>
    </row>
    <row r="281" spans="1:68">
      <c r="BN281" s="46"/>
      <c r="BO281" s="46"/>
      <c r="BP281" s="46"/>
    </row>
    <row r="282" spans="1:68">
      <c r="BN282" s="46"/>
      <c r="BO282" s="46"/>
      <c r="BP282" s="46"/>
    </row>
    <row r="283" spans="1:68">
      <c r="BN283" s="46"/>
      <c r="BO283" s="46"/>
      <c r="BP283" s="46"/>
    </row>
    <row r="284" spans="1:68">
      <c r="BN284" s="46"/>
      <c r="BO284" s="46"/>
      <c r="BP284" s="46"/>
    </row>
    <row r="285" spans="1:68">
      <c r="BN285" s="46"/>
      <c r="BO285" s="46"/>
      <c r="BP285" s="46"/>
    </row>
    <row r="286" spans="1:68">
      <c r="BN286" s="46"/>
      <c r="BO286" s="46"/>
      <c r="BP286" s="46"/>
    </row>
    <row r="287" spans="1:68">
      <c r="BN287" s="46"/>
      <c r="BO287" s="46"/>
      <c r="BP287" s="46"/>
    </row>
    <row r="288" spans="1:68">
      <c r="BN288" s="46"/>
      <c r="BO288" s="46"/>
      <c r="BP288" s="46"/>
    </row>
    <row r="289" spans="66:68">
      <c r="BN289" s="46"/>
      <c r="BO289" s="46"/>
      <c r="BP289" s="46"/>
    </row>
    <row r="290" spans="66:68">
      <c r="BN290" s="46"/>
      <c r="BO290" s="46"/>
      <c r="BP290" s="46"/>
    </row>
    <row r="291" spans="66:68">
      <c r="BN291" s="46"/>
      <c r="BO291" s="46"/>
      <c r="BP291" s="46"/>
    </row>
    <row r="292" spans="66:68">
      <c r="BN292" s="46"/>
      <c r="BO292" s="46"/>
      <c r="BP292" s="46"/>
    </row>
    <row r="293" spans="66:68">
      <c r="BN293" s="46"/>
      <c r="BO293" s="46"/>
      <c r="BP293" s="46"/>
    </row>
    <row r="294" spans="66:68">
      <c r="BN294" s="46"/>
      <c r="BO294" s="46"/>
      <c r="BP294" s="46"/>
    </row>
    <row r="295" spans="66:68">
      <c r="BN295" s="46"/>
      <c r="BO295" s="46"/>
      <c r="BP295" s="46"/>
    </row>
    <row r="296" spans="66:68">
      <c r="BN296" s="46"/>
      <c r="BO296" s="46"/>
      <c r="BP296" s="46"/>
    </row>
    <row r="297" spans="66:68">
      <c r="BN297" s="46"/>
      <c r="BO297" s="46"/>
      <c r="BP297" s="46"/>
    </row>
    <row r="298" spans="66:68">
      <c r="BN298" s="46"/>
      <c r="BO298" s="46"/>
      <c r="BP298" s="46"/>
    </row>
    <row r="299" spans="66:68">
      <c r="BN299" s="46"/>
      <c r="BO299" s="46"/>
      <c r="BP299" s="46"/>
    </row>
    <row r="300" spans="66:68">
      <c r="BN300" s="46"/>
      <c r="BO300" s="46"/>
      <c r="BP300" s="46"/>
    </row>
    <row r="301" spans="66:68">
      <c r="BN301" s="46"/>
      <c r="BO301" s="46"/>
      <c r="BP301" s="46"/>
    </row>
  </sheetData>
  <sheetProtection password="C6F9" sheet="1" objects="1" scenarios="1" selectLockedCells="1"/>
  <mergeCells count="18">
    <mergeCell ref="A19:E19"/>
    <mergeCell ref="J19:N19"/>
    <mergeCell ref="O19:P19"/>
    <mergeCell ref="BN1:BP1"/>
    <mergeCell ref="A16:N16"/>
    <mergeCell ref="O16:P17"/>
    <mergeCell ref="A17:N17"/>
    <mergeCell ref="O18:P18"/>
    <mergeCell ref="A32:B32"/>
    <mergeCell ref="A33:B33"/>
    <mergeCell ref="A34:B34"/>
    <mergeCell ref="AV62:AW62"/>
    <mergeCell ref="J20:L20"/>
    <mergeCell ref="O20:P21"/>
    <mergeCell ref="J27:L27"/>
    <mergeCell ref="M27:N27"/>
    <mergeCell ref="A30:G30"/>
    <mergeCell ref="A31:B31"/>
  </mergeCells>
  <conditionalFormatting sqref="M35">
    <cfRule type="cellIs" dxfId="1" priority="2" operator="lessThan">
      <formula>45</formula>
    </cfRule>
  </conditionalFormatting>
  <conditionalFormatting sqref="M36">
    <cfRule type="cellIs" dxfId="0" priority="1" operator="greaterThan">
      <formula>-10</formula>
    </cfRule>
  </conditionalFormatting>
  <pageMargins left="0.7" right="0.7" top="0.75" bottom="0.75" header="0.3" footer="0.3"/>
  <pageSetup orientation="portrait" verticalDpi="598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8750AB-314A-4EF5-8385-4D61CB2891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47426B-75AF-4C51-89AF-7CDAFDC972D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3203EC-A16B-4A9F-842B-938A00CDD1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47</vt:i4>
      </vt:variant>
    </vt:vector>
  </HeadingPairs>
  <TitlesOfParts>
    <vt:vector size="50" baseType="lpstr">
      <vt:lpstr>Power Loss</vt:lpstr>
      <vt:lpstr>Efficiency Summary</vt:lpstr>
      <vt:lpstr>Compensation</vt:lpstr>
      <vt:lpstr>_Cap1</vt:lpstr>
      <vt:lpstr>_cap2</vt:lpstr>
      <vt:lpstr>_Cfb1</vt:lpstr>
      <vt:lpstr>_Cfb2</vt:lpstr>
      <vt:lpstr>_res1</vt:lpstr>
      <vt:lpstr>_Rfb1</vt:lpstr>
      <vt:lpstr>_Rfb2</vt:lpstr>
      <vt:lpstr>Cap</vt:lpstr>
      <vt:lpstr>D</vt:lpstr>
      <vt:lpstr>DCR</vt:lpstr>
      <vt:lpstr>Dmax</vt:lpstr>
      <vt:lpstr>EA_BW</vt:lpstr>
      <vt:lpstr>EA_DC</vt:lpstr>
      <vt:lpstr>Efficiency</vt:lpstr>
      <vt:lpstr>ESR</vt:lpstr>
      <vt:lpstr>F0</vt:lpstr>
      <vt:lpstr>Fc</vt:lpstr>
      <vt:lpstr>Fm</vt:lpstr>
      <vt:lpstr>Fs</vt:lpstr>
      <vt:lpstr>Fstart</vt:lpstr>
      <vt:lpstr>Fstep</vt:lpstr>
      <vt:lpstr>Fstop</vt:lpstr>
      <vt:lpstr>Gdo</vt:lpstr>
      <vt:lpstr>Il_rms</vt:lpstr>
      <vt:lpstr>Imax</vt:lpstr>
      <vt:lpstr>Imin</vt:lpstr>
      <vt:lpstr>Iout</vt:lpstr>
      <vt:lpstr>Irip</vt:lpstr>
      <vt:lpstr>Iu_rms</vt:lpstr>
      <vt:lpstr>LIR</vt:lpstr>
      <vt:lpstr>Lout</vt:lpstr>
      <vt:lpstr>ncap</vt:lpstr>
      <vt:lpstr>Q</vt:lpstr>
      <vt:lpstr>Qn</vt:lpstr>
      <vt:lpstr>Roerr</vt:lpstr>
      <vt:lpstr>Ron_l</vt:lpstr>
      <vt:lpstr>Ron_u</vt:lpstr>
      <vt:lpstr>Rout</vt:lpstr>
      <vt:lpstr>RT</vt:lpstr>
      <vt:lpstr>Se</vt:lpstr>
      <vt:lpstr>Sn</vt:lpstr>
      <vt:lpstr>Step</vt:lpstr>
      <vt:lpstr>Tloss</vt:lpstr>
      <vt:lpstr>VFB</vt:lpstr>
      <vt:lpstr>Vin</vt:lpstr>
      <vt:lpstr>Vout</vt:lpstr>
      <vt:lpstr>wn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Bui/Analog/DAL</dc:creator>
  <cp:lastModifiedBy>Diodes</cp:lastModifiedBy>
  <dcterms:created xsi:type="dcterms:W3CDTF">2017-12-13T19:19:46Z</dcterms:created>
  <dcterms:modified xsi:type="dcterms:W3CDTF">2022-11-11T21:41:27Z</dcterms:modified>
</cp:coreProperties>
</file>